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ad Me" sheetId="1" state="visible" r:id="rId3"/>
    <sheet name="Settings" sheetId="2" state="visible" r:id="rId4"/>
    <sheet name="Register" sheetId="3" state="visible" r:id="rId5"/>
    <sheet name="JE summary" sheetId="4" state="visible" r:id="rId6"/>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<sst xmlns="http://schemas.openxmlformats.org/spreadsheetml/2006/main" count="159" uniqueCount="113">
  <si>
    <t xml:space="preserve">Template W: Journal Entry Register and Review</t>
  </si>
  <si>
    <t xml:space="preserve">Free template from sachinnagpal.in  |  Macro-free  |  All sample figures are ILLUSTRATIVE ONLY</t>
  </si>
  <si>
    <t xml:space="preserve">IMPORTANT DISCLAIMER: For computation and reconciliation assistance only; not a substitute for formal statutory audit or legal tax advice. All sample data in this file is made up for illustration and does not relate to any real company, trust or person. Rates, limits and rules must be checked against the current law and your own accounting policies before use. No tax saving, audit outcome or compliance result is promised.</t>
  </si>
  <si>
    <t xml:space="preserve">What this template does</t>
  </si>
  <si>
    <t xml:space="preserve">A register of manual journal entries with the review tests auditors use: every entry must balance, have support and be approved by someone other than the preparer. It also flags entries posted on a weekend or holiday, after the close date, to sensitive accounts, or with large round amounts, so the reviewer can focus on the riskier ones.</t>
  </si>
  <si>
    <t xml:space="preserve">How to use it (step by step)</t>
  </si>
  <si>
    <t xml:space="preserve">Step 1</t>
  </si>
  <si>
    <t xml:space="preserve">Go to 'Settings'. Type the period, the close date, the round-amount threshold and your company holidays. List the sensitive accounts (for example revenue, cash, suspense and related-party accounts).</t>
  </si>
  <si>
    <t xml:space="preserve">Step 2</t>
  </si>
  <si>
    <t xml:space="preserve">Go to 'Register'. Paste the journal lines from your ERP: JE number, posting date, account code and name, debit, credit, narration, preparer, approver and the supporting document reference. One row per line.</t>
  </si>
  <si>
    <t xml:space="preserve">Step 3</t>
  </si>
  <si>
    <t xml:space="preserve">Read the 'Flags' column. Blank means no flag. Each flag is a reason to look at the entry, not proof of an error.</t>
  </si>
  <si>
    <t xml:space="preserve">Step 4</t>
  </si>
  <si>
    <t xml:space="preserve">Go to 'JE summary' for one line per entry, showing whether it balances and how many flags it has.</t>
  </si>
  <si>
    <t xml:space="preserve">Step 5</t>
  </si>
  <si>
    <t xml:space="preserve">Record the reviewer's sign-off in the 'Reviewed by' column and keep the file with the month's close papers.</t>
  </si>
  <si>
    <t xml:space="preserve">Tabs in this file</t>
  </si>
  <si>
    <t xml:space="preserve">Settings</t>
  </si>
  <si>
    <t xml:space="preserve">Period, close date, thresholds, holidays and sensitive accounts.</t>
  </si>
  <si>
    <t xml:space="preserve">Register</t>
  </si>
  <si>
    <t xml:space="preserve">Journal lines with flags.</t>
  </si>
  <si>
    <t xml:space="preserve">JE summary</t>
  </si>
  <si>
    <t xml:space="preserve">One line per entry, with checks.</t>
  </si>
  <si>
    <t xml:space="preserve">Colour code</t>
  </si>
  <si>
    <t xml:space="preserve">1,00,000</t>
  </si>
  <si>
    <t xml:space="preserve">Yellow cell with blue text = an input. Type over it with your own data.</t>
  </si>
  <si>
    <t xml:space="preserve">Black text = a formula. Do not type over it; it updates by itself.</t>
  </si>
  <si>
    <t xml:space="preserve">Green text = a figure pulled from another tab.</t>
  </si>
  <si>
    <t xml:space="preserve">OK</t>
  </si>
  <si>
    <t xml:space="preserve">Checks area: every check should read OK. If one reads CHECK, something does not add up.</t>
  </si>
  <si>
    <t xml:space="preserve">Assumptions and limits</t>
  </si>
  <si>
    <t xml:space="preserve">•</t>
  </si>
  <si>
    <t xml:space="preserve">An entry balances when total debits equal total credits for the same JE number.</t>
  </si>
  <si>
    <t xml:space="preserve">Weekend means Saturday or Sunday. Add holidays on 'Settings'.</t>
  </si>
  <si>
    <t xml:space="preserve">Round amount: a line of at least the threshold that is an exact multiple of 1,00,000 (change the multiple on 'Settings').</t>
  </si>
  <si>
    <t xml:space="preserve">The sample includes deliberate exceptions so you can see each flag. Capacity: 2,000 lines and 300 entries.</t>
  </si>
  <si>
    <t xml:space="preserve">Version</t>
  </si>
  <si>
    <t xml:space="preserve">v1.0, October 2026. Works in Excel 2010 or later, Excel for Microsoft 365, LibreOffice and Google Sheets. Amounts in Indian Rupees (₹).</t>
  </si>
  <si>
    <t xml:space="preserve">For computation and reconciliation assistance only; not a substitute for formal statutory audit or legal tax advice.</t>
  </si>
  <si>
    <t xml:space="preserve">Company</t>
  </si>
  <si>
    <t xml:space="preserve">Sample Toll Road SPV Pvt Ltd</t>
  </si>
  <si>
    <t xml:space="preserve">Period start</t>
  </si>
  <si>
    <t xml:space="preserve">Period end</t>
  </si>
  <si>
    <t xml:space="preserve">Close date (entries after this are late)</t>
  </si>
  <si>
    <t xml:space="preserve">Round amount: minimum line amount (₹)</t>
  </si>
  <si>
    <t xml:space="preserve">Round amount: multiple of (₹)</t>
  </si>
  <si>
    <t xml:space="preserve">Holidays</t>
  </si>
  <si>
    <t xml:space="preserve">Sensitive account codes</t>
  </si>
  <si>
    <t xml:space="preserve">40100</t>
  </si>
  <si>
    <t xml:space="preserve">10100</t>
  </si>
  <si>
    <t xml:space="preserve">29900</t>
  </si>
  <si>
    <t xml:space="preserve">21500</t>
  </si>
  <si>
    <t xml:space="preserve">Journal Register (sample, illustrative)</t>
  </si>
  <si>
    <t xml:space="preserve">JE no.</t>
  </si>
  <si>
    <t xml:space="preserve">Posting date</t>
  </si>
  <si>
    <t xml:space="preserve">Account code</t>
  </si>
  <si>
    <t xml:space="preserve">Account name</t>
  </si>
  <si>
    <t xml:space="preserve">Debit (₹)</t>
  </si>
  <si>
    <t xml:space="preserve">Credit (₹)</t>
  </si>
  <si>
    <t xml:space="preserve">Narration</t>
  </si>
  <si>
    <t xml:space="preserve">Prepared by</t>
  </si>
  <si>
    <t xml:space="preserve">Approved by</t>
  </si>
  <si>
    <t xml:space="preserve">Support ref</t>
  </si>
  <si>
    <t xml:space="preserve">JE balances?</t>
  </si>
  <si>
    <t xml:space="preserve">Flags</t>
  </si>
  <si>
    <t xml:space="preserve">JE seq (helper)</t>
  </si>
  <si>
    <t xml:space="preserve">JE-0901</t>
  </si>
  <si>
    <t xml:space="preserve">51200</t>
  </si>
  <si>
    <t xml:space="preserve">Repairs and maintenance</t>
  </si>
  <si>
    <t xml:space="preserve">Accrual: Sept road patch work</t>
  </si>
  <si>
    <t xml:space="preserve">Asha</t>
  </si>
  <si>
    <t xml:space="preserve">Ravi</t>
  </si>
  <si>
    <t xml:space="preserve">WO-778</t>
  </si>
  <si>
    <t xml:space="preserve">21400</t>
  </si>
  <si>
    <t xml:space="preserve">Accrued expenses</t>
  </si>
  <si>
    <t xml:space="preserve">JE-0902</t>
  </si>
  <si>
    <t xml:space="preserve">Toll revenue</t>
  </si>
  <si>
    <t xml:space="preserve">Reclass of FASTag settlement</t>
  </si>
  <si>
    <t xml:space="preserve">Meena</t>
  </si>
  <si>
    <t xml:space="preserve">13200</t>
  </si>
  <si>
    <t xml:space="preserve">FASTag receivable</t>
  </si>
  <si>
    <t xml:space="preserve">JE-0903</t>
  </si>
  <si>
    <t xml:space="preserve">52100</t>
  </si>
  <si>
    <t xml:space="preserve">Insurance expense</t>
  </si>
  <si>
    <t xml:space="preserve">Prepaid insurance amortisation</t>
  </si>
  <si>
    <t xml:space="preserve">Template A</t>
  </si>
  <si>
    <t xml:space="preserve">14100</t>
  </si>
  <si>
    <t xml:space="preserve">Prepaid insurance</t>
  </si>
  <si>
    <t xml:space="preserve">JE-0904</t>
  </si>
  <si>
    <t xml:space="preserve">Suspense</t>
  </si>
  <si>
    <t xml:space="preserve">Unidentified receipt cleared</t>
  </si>
  <si>
    <t xml:space="preserve">BRS-SEP</t>
  </si>
  <si>
    <t xml:space="preserve">13100</t>
  </si>
  <si>
    <t xml:space="preserve">Trade receivables</t>
  </si>
  <si>
    <t xml:space="preserve">JE-0905</t>
  </si>
  <si>
    <t xml:space="preserve">61100</t>
  </si>
  <si>
    <t xml:space="preserve">Interest on loan</t>
  </si>
  <si>
    <t xml:space="preserve">Interest accrual, senior debt</t>
  </si>
  <si>
    <t xml:space="preserve">LOAN-SCH</t>
  </si>
  <si>
    <t xml:space="preserve">Interest accrued</t>
  </si>
  <si>
    <t xml:space="preserve">One Line per Journal Entry</t>
  </si>
  <si>
    <t xml:space="preserve">Total debit (₹)</t>
  </si>
  <si>
    <t xml:space="preserve">Total credit (₹)</t>
  </si>
  <si>
    <t xml:space="preserve">Balances?</t>
  </si>
  <si>
    <t xml:space="preserve">Lines</t>
  </si>
  <si>
    <t xml:space="preserve">Lines with flags</t>
  </si>
  <si>
    <t xml:space="preserve">Reviewed by</t>
  </si>
  <si>
    <t xml:space="preserve">Checks</t>
  </si>
  <si>
    <t xml:space="preserve">Every entry balances</t>
  </si>
  <si>
    <t xml:space="preserve">Total debits = total credits</t>
  </si>
  <si>
    <t xml:space="preserve">No self-approved or unapproved entries</t>
  </si>
  <si>
    <t xml:space="preserve">Every line has support</t>
  </si>
  <si>
    <t xml:space="preserve">Every entry is listed here (no overflow)</t>
  </si>
</sst>
</file>

<file path=xl/styles.xml><?xml version="1.0" encoding="utf-8"?>
<styleSheet xmlns="http://schemas.openxmlformats.org/spreadsheetml/2006/main">
  <numFmts count="5">
    <numFmt numFmtId="164" formatCode="General"/>
    <numFmt numFmtId="165" formatCode="dd\-mmm\-yyyy"/>
    <numFmt numFmtId="166" formatCode="#,##0;\(#,##0\);\-"/>
    <numFmt numFmtId="167" formatCode="@"/>
    <numFmt numFmtId="168" formatCode="0"/>
  </numFmts>
  <fonts count="15">
    <font>
      <sz val="11"/>
      <color theme="1"/>
      <name val="Calibri"/>
      <family val="2"/>
      <charset val="1"/>
    </font>
    <font>
      <sz val="10"/>
      <name val="Arial"/>
      <family val="0"/>
    </font>
    <font>
      <sz val="10"/>
      <name val="Arial"/>
      <family val="0"/>
    </font>
    <font>
      <sz val="10"/>
      <name val="Arial"/>
      <family val="0"/>
    </font>
    <font>
      <b val="true"/>
      <sz val="16"/>
      <color rgb="FF1F3864"/>
      <name val="Arial"/>
      <family val="0"/>
      <charset val="1"/>
    </font>
    <font>
      <i val="true"/>
      <sz val="9"/>
      <color rgb="FF595959"/>
      <name val="Arial"/>
      <family val="0"/>
      <charset val="1"/>
    </font>
    <font>
      <b val="true"/>
      <sz val="10"/>
      <color rgb="FFC00000"/>
      <name val="Arial"/>
      <family val="0"/>
      <charset val="1"/>
    </font>
    <font>
      <b val="true"/>
      <sz val="11"/>
      <color rgb="FF1F3864"/>
      <name val="Arial"/>
      <family val="0"/>
      <charset val="1"/>
    </font>
    <font>
      <sz val="10"/>
      <name val="Arial"/>
      <family val="0"/>
      <charset val="1"/>
    </font>
    <font>
      <b val="true"/>
      <sz val="10"/>
      <name val="Arial"/>
      <family val="0"/>
      <charset val="1"/>
    </font>
    <font>
      <sz val="10"/>
      <color rgb="FF0000FF"/>
      <name val="Arial"/>
      <family val="0"/>
      <charset val="1"/>
    </font>
    <font>
      <sz val="10"/>
      <color rgb="FF008000"/>
      <name val="Arial"/>
      <family val="0"/>
      <charset val="1"/>
    </font>
    <font>
      <b val="true"/>
      <sz val="14"/>
      <color rgb="FF1F3864"/>
      <name val="Arial"/>
      <family val="0"/>
      <charset val="1"/>
    </font>
    <font>
      <i val="true"/>
      <sz val="9"/>
      <color rgb="FFC00000"/>
      <name val="Arial"/>
      <family val="0"/>
      <charset val="1"/>
    </font>
    <font>
      <b val="true"/>
      <sz val="10"/>
      <color rgb="FFFFFFFF"/>
      <name val="Arial"/>
      <family val="0"/>
      <charset val="1"/>
    </font>
  </fonts>
  <fills count="6">
    <fill>
      <patternFill patternType="none"/>
    </fill>
    <fill>
      <patternFill patternType="gray125"/>
    </fill>
    <fill>
      <patternFill patternType="solid">
        <fgColor rgb="FFFCE4D6"/>
        <bgColor rgb="FFFFF2CC"/>
      </patternFill>
    </fill>
    <fill>
      <patternFill patternType="solid">
        <fgColor rgb="FFFFF2CC"/>
        <bgColor rgb="FFFCE4D6"/>
      </patternFill>
    </fill>
    <fill>
      <patternFill patternType="solid">
        <fgColor rgb="FFE2EFDA"/>
        <bgColor rgb="FFFCE4D6"/>
      </patternFill>
    </fill>
    <fill>
      <patternFill patternType="solid">
        <fgColor rgb="FF1F3864"/>
        <bgColor rgb="FF333333"/>
      </patternFill>
    </fill>
  </fills>
  <borders count="2">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true" applyAlignment="true" applyProtection="false">
      <alignment horizontal="general" vertical="top"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general" vertical="top" textRotation="0" wrapText="true" indent="0" shrinkToFit="false"/>
      <protection locked="true" hidden="false"/>
    </xf>
    <xf numFmtId="164" fontId="9" fillId="0" borderId="0" xfId="0" applyFont="true" applyBorder="false" applyAlignment="true" applyProtection="false">
      <alignment horizontal="general" vertical="top" textRotation="0" wrapText="false" indent="0" shrinkToFit="false"/>
      <protection locked="true" hidden="false"/>
    </xf>
    <xf numFmtId="164" fontId="8" fillId="0" borderId="0" xfId="0" applyFont="true" applyBorder="false" applyAlignment="true" applyProtection="false">
      <alignment horizontal="general" vertical="top" textRotation="0" wrapText="true" indent="0" shrinkToFit="false"/>
      <protection locked="true" hidden="false"/>
    </xf>
    <xf numFmtId="164" fontId="10" fillId="3"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8" fillId="0" borderId="1" xfId="0" applyFont="true" applyBorder="true" applyAlignment="false" applyProtection="false">
      <alignment horizontal="general" vertical="bottom" textRotation="0" wrapText="false" indent="0" shrinkToFit="false"/>
      <protection locked="true" hidden="false"/>
    </xf>
    <xf numFmtId="164" fontId="11"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right" vertical="top"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5" fontId="10" fillId="3" borderId="1" xfId="0" applyFont="true" applyBorder="true" applyAlignment="false" applyProtection="false">
      <alignment horizontal="general" vertical="bottom" textRotation="0" wrapText="false" indent="0" shrinkToFit="false"/>
      <protection locked="true" hidden="false"/>
    </xf>
    <xf numFmtId="166" fontId="10" fillId="3" borderId="1" xfId="0" applyFont="true" applyBorder="true" applyAlignment="false" applyProtection="false">
      <alignment horizontal="general" vertical="bottom" textRotation="0" wrapText="false" indent="0" shrinkToFit="false"/>
      <protection locked="true" hidden="false"/>
    </xf>
    <xf numFmtId="167" fontId="10" fillId="3" borderId="1" xfId="0" applyFont="true" applyBorder="true" applyAlignment="false" applyProtection="false">
      <alignment horizontal="general" vertical="bottom" textRotation="0" wrapText="false" indent="0" shrinkToFit="false"/>
      <protection locked="true" hidden="false"/>
    </xf>
    <xf numFmtId="164" fontId="14" fillId="5" borderId="1" xfId="0" applyFont="true" applyBorder="true" applyAlignment="true" applyProtection="false">
      <alignment horizontal="center" vertical="center" textRotation="0" wrapText="true" indent="0" shrinkToFit="false"/>
      <protection locked="true" hidden="false"/>
    </xf>
    <xf numFmtId="168" fontId="8" fillId="0" borderId="1" xfId="0" applyFont="true" applyBorder="true" applyAlignment="false" applyProtection="false">
      <alignment horizontal="general" vertical="bottom" textRotation="0" wrapText="false" indent="0" shrinkToFit="false"/>
      <protection locked="true" hidden="false"/>
    </xf>
    <xf numFmtId="165" fontId="8" fillId="0" borderId="1" xfId="0" applyFont="true" applyBorder="true" applyAlignment="false" applyProtection="false">
      <alignment horizontal="general" vertical="bottom" textRotation="0" wrapText="false" indent="0" shrinkToFit="false"/>
      <protection locked="true" hidden="false"/>
    </xf>
    <xf numFmtId="166" fontId="8"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3">
    <dxf>
      <fill>
        <patternFill>
          <bgColor rgb="FFFFEB9C"/>
        </patternFill>
      </fill>
    </dxf>
    <dxf>
      <fill>
        <patternFill>
          <bgColor rgb="FFFFC7CE"/>
        </patternFill>
      </fill>
    </dxf>
    <dxf>
      <font>
        <name val="Arial"/>
        <charset val="1"/>
        <family val="0"/>
        <b val="1"/>
        <color rgb="FF9C0006"/>
      </font>
      <fill>
        <patternFill>
          <bgColor rgb="FFFFC7CE"/>
        </patternFill>
      </fill>
    </dxf>
  </dxfs>
  <colors>
    <indexedColors>
      <rgbColor rgb="FF000000"/>
      <rgbColor rgb="FFFFFFFF"/>
      <rgbColor rgb="FFC0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2CC"/>
      <rgbColor rgb="FFCCFFFF"/>
      <rgbColor rgb="FF660066"/>
      <rgbColor rgb="FFFF8080"/>
      <rgbColor rgb="FF0066CC"/>
      <rgbColor rgb="FFFCE4D6"/>
      <rgbColor rgb="FF000080"/>
      <rgbColor rgb="FFFF00FF"/>
      <rgbColor rgb="FFFFFF00"/>
      <rgbColor rgb="FF00FFFF"/>
      <rgbColor rgb="FF800080"/>
      <rgbColor rgb="FF800000"/>
      <rgbColor rgb="FF008080"/>
      <rgbColor rgb="FF0000FF"/>
      <rgbColor rgb="FF00CCFF"/>
      <rgbColor rgb="FFCCFFFF"/>
      <rgbColor rgb="FFE2EFDA"/>
      <rgbColor rgb="FFFFEB9C"/>
      <rgbColor rgb="FF99CCFF"/>
      <rgbColor rgb="FFFF99CC"/>
      <rgbColor rgb="FFCC99FF"/>
      <rgbColor rgb="FFFFC7CE"/>
      <rgbColor rgb="FF3366FF"/>
      <rgbColor rgb="FF33CCCC"/>
      <rgbColor rgb="FF99CC00"/>
      <rgbColor rgb="FFFFCC00"/>
      <rgbColor rgb="FFFF9900"/>
      <rgbColor rgb="FFFF6600"/>
      <rgbColor rgb="FF595959"/>
      <rgbColor rgb="FF969696"/>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C33"/>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28"/>
    <col collapsed="false" customWidth="true" hidden="false" outlineLevel="0" max="3" min="3" style="0" width="95"/>
  </cols>
  <sheetData>
    <row r="1" customFormat="false" ht="19.7" hidden="false" customHeight="false" outlineLevel="0" collapsed="false">
      <c r="B1" s="1" t="s">
        <v>0</v>
      </c>
    </row>
    <row r="2" customFormat="false" ht="15" hidden="false" customHeight="false" outlineLevel="0" collapsed="false">
      <c r="B2" s="2" t="s">
        <v>1</v>
      </c>
    </row>
    <row r="4" customFormat="false" ht="61.5" hidden="false" customHeight="true" outlineLevel="0" collapsed="false">
      <c r="B4" s="3" t="s">
        <v>2</v>
      </c>
      <c r="C4" s="3"/>
    </row>
    <row r="6" customFormat="false" ht="15" hidden="false" customHeight="false" outlineLevel="0" collapsed="false">
      <c r="B6" s="4" t="s">
        <v>3</v>
      </c>
    </row>
    <row r="7" customFormat="false" ht="60" hidden="false" customHeight="true" outlineLevel="0" collapsed="false">
      <c r="B7" s="5" t="s">
        <v>4</v>
      </c>
      <c r="C7" s="5"/>
    </row>
    <row r="9" customFormat="false" ht="15" hidden="false" customHeight="false" outlineLevel="0" collapsed="false">
      <c r="B9" s="4" t="s">
        <v>5</v>
      </c>
    </row>
    <row r="10" customFormat="false" ht="45" hidden="false" customHeight="true" outlineLevel="0" collapsed="false">
      <c r="B10" s="6" t="s">
        <v>6</v>
      </c>
      <c r="C10" s="7" t="s">
        <v>7</v>
      </c>
    </row>
    <row r="11" customFormat="false" ht="45" hidden="false" customHeight="true" outlineLevel="0" collapsed="false">
      <c r="B11" s="6" t="s">
        <v>8</v>
      </c>
      <c r="C11" s="7" t="s">
        <v>9</v>
      </c>
    </row>
    <row r="12" customFormat="false" ht="30" hidden="false" customHeight="true" outlineLevel="0" collapsed="false">
      <c r="B12" s="6" t="s">
        <v>10</v>
      </c>
      <c r="C12" s="7" t="s">
        <v>11</v>
      </c>
    </row>
    <row r="13" customFormat="false" ht="30" hidden="false" customHeight="true" outlineLevel="0" collapsed="false">
      <c r="B13" s="6" t="s">
        <v>12</v>
      </c>
      <c r="C13" s="7" t="s">
        <v>13</v>
      </c>
    </row>
    <row r="14" customFormat="false" ht="30" hidden="false" customHeight="true" outlineLevel="0" collapsed="false">
      <c r="B14" s="6" t="s">
        <v>14</v>
      </c>
      <c r="C14" s="7" t="s">
        <v>15</v>
      </c>
    </row>
    <row r="16" customFormat="false" ht="15" hidden="false" customHeight="false" outlineLevel="0" collapsed="false">
      <c r="B16" s="4" t="s">
        <v>16</v>
      </c>
    </row>
    <row r="17" customFormat="false" ht="15" hidden="false" customHeight="true" outlineLevel="0" collapsed="false">
      <c r="B17" s="6" t="s">
        <v>17</v>
      </c>
      <c r="C17" s="7" t="s">
        <v>18</v>
      </c>
    </row>
    <row r="18" customFormat="false" ht="15" hidden="false" customHeight="true" outlineLevel="0" collapsed="false">
      <c r="B18" s="6" t="s">
        <v>19</v>
      </c>
      <c r="C18" s="7" t="s">
        <v>20</v>
      </c>
    </row>
    <row r="19" customFormat="false" ht="15" hidden="false" customHeight="true" outlineLevel="0" collapsed="false">
      <c r="B19" s="6" t="s">
        <v>21</v>
      </c>
      <c r="C19" s="7" t="s">
        <v>22</v>
      </c>
    </row>
    <row r="21" customFormat="false" ht="15" hidden="false" customHeight="false" outlineLevel="0" collapsed="false">
      <c r="B21" s="4" t="s">
        <v>23</v>
      </c>
    </row>
    <row r="22" customFormat="false" ht="15" hidden="false" customHeight="false" outlineLevel="0" collapsed="false">
      <c r="B22" s="8" t="s">
        <v>24</v>
      </c>
      <c r="C22" s="9" t="s">
        <v>25</v>
      </c>
    </row>
    <row r="23" customFormat="false" ht="15" hidden="false" customHeight="false" outlineLevel="0" collapsed="false">
      <c r="B23" s="10" t="s">
        <v>24</v>
      </c>
      <c r="C23" s="9" t="s">
        <v>26</v>
      </c>
    </row>
    <row r="24" customFormat="false" ht="15" hidden="false" customHeight="false" outlineLevel="0" collapsed="false">
      <c r="B24" s="11" t="s">
        <v>24</v>
      </c>
      <c r="C24" s="9" t="s">
        <v>27</v>
      </c>
    </row>
    <row r="25" customFormat="false" ht="15" hidden="false" customHeight="false" outlineLevel="0" collapsed="false">
      <c r="B25" s="12" t="s">
        <v>28</v>
      </c>
      <c r="C25" s="9" t="s">
        <v>29</v>
      </c>
    </row>
    <row r="27" customFormat="false" ht="15" hidden="false" customHeight="false" outlineLevel="0" collapsed="false">
      <c r="B27" s="4" t="s">
        <v>30</v>
      </c>
    </row>
    <row r="28" customFormat="false" ht="15" hidden="false" customHeight="true" outlineLevel="0" collapsed="false">
      <c r="B28" s="13" t="s">
        <v>31</v>
      </c>
      <c r="C28" s="7" t="s">
        <v>32</v>
      </c>
    </row>
    <row r="29" customFormat="false" ht="15" hidden="false" customHeight="true" outlineLevel="0" collapsed="false">
      <c r="B29" s="13" t="s">
        <v>31</v>
      </c>
      <c r="C29" s="7" t="s">
        <v>33</v>
      </c>
    </row>
    <row r="30" customFormat="false" ht="30" hidden="false" customHeight="true" outlineLevel="0" collapsed="false">
      <c r="B30" s="13" t="s">
        <v>31</v>
      </c>
      <c r="C30" s="7" t="s">
        <v>34</v>
      </c>
    </row>
    <row r="31" customFormat="false" ht="30" hidden="false" customHeight="true" outlineLevel="0" collapsed="false">
      <c r="B31" s="13" t="s">
        <v>31</v>
      </c>
      <c r="C31" s="7" t="s">
        <v>35</v>
      </c>
    </row>
    <row r="33" customFormat="false" ht="15" hidden="false" customHeight="false" outlineLevel="0" collapsed="false">
      <c r="B33" s="14" t="s">
        <v>36</v>
      </c>
      <c r="C33" s="9" t="s">
        <v>37</v>
      </c>
    </row>
  </sheetData>
  <mergeCells count="2">
    <mergeCell ref="B4:C4"/>
    <mergeCell ref="B7:C7"/>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E43"/>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2"/>
    <col collapsed="false" customWidth="true" hidden="false" outlineLevel="0" max="2" min="2" style="0" width="3"/>
    <col collapsed="false" customWidth="true" hidden="false" outlineLevel="0" max="3" min="3" style="0" width="22"/>
    <col collapsed="false" customWidth="true" hidden="false" outlineLevel="0" max="4" min="4" style="0" width="4"/>
    <col collapsed="false" customWidth="true" hidden="false" outlineLevel="0" max="5" min="5" style="0" width="24"/>
  </cols>
  <sheetData>
    <row r="1" customFormat="false" ht="17.35" hidden="false" customHeight="false" outlineLevel="0" collapsed="false">
      <c r="A1" s="15" t="s">
        <v>17</v>
      </c>
    </row>
    <row r="2" customFormat="false" ht="15" hidden="false" customHeight="false" outlineLevel="0" collapsed="false">
      <c r="A2" s="16" t="s">
        <v>38</v>
      </c>
    </row>
    <row r="5" customFormat="false" ht="15" hidden="false" customHeight="false" outlineLevel="0" collapsed="false">
      <c r="A5" s="14" t="s">
        <v>39</v>
      </c>
      <c r="C5" s="8" t="s">
        <v>40</v>
      </c>
    </row>
    <row r="6" customFormat="false" ht="15" hidden="false" customHeight="false" outlineLevel="0" collapsed="false">
      <c r="A6" s="14" t="s">
        <v>41</v>
      </c>
      <c r="C6" s="17" t="n">
        <v>46266</v>
      </c>
    </row>
    <row r="7" customFormat="false" ht="15" hidden="false" customHeight="false" outlineLevel="0" collapsed="false">
      <c r="A7" s="14" t="s">
        <v>42</v>
      </c>
      <c r="C7" s="17" t="n">
        <v>46295</v>
      </c>
    </row>
    <row r="8" customFormat="false" ht="15" hidden="false" customHeight="false" outlineLevel="0" collapsed="false">
      <c r="A8" s="14" t="s">
        <v>43</v>
      </c>
      <c r="C8" s="17" t="n">
        <v>46300</v>
      </c>
    </row>
    <row r="9" customFormat="false" ht="15" hidden="false" customHeight="false" outlineLevel="0" collapsed="false">
      <c r="A9" s="14" t="s">
        <v>44</v>
      </c>
      <c r="C9" s="18" t="n">
        <v>500000</v>
      </c>
    </row>
    <row r="10" customFormat="false" ht="15" hidden="false" customHeight="false" outlineLevel="0" collapsed="false">
      <c r="A10" s="14" t="s">
        <v>45</v>
      </c>
      <c r="C10" s="18" t="n">
        <v>100000</v>
      </c>
    </row>
    <row r="13" customFormat="false" ht="15" hidden="false" customHeight="false" outlineLevel="0" collapsed="false">
      <c r="A13" s="4" t="s">
        <v>46</v>
      </c>
      <c r="E13" s="4" t="s">
        <v>47</v>
      </c>
    </row>
    <row r="14" customFormat="false" ht="15" hidden="false" customHeight="false" outlineLevel="0" collapsed="false">
      <c r="A14" s="17" t="n">
        <v>46297</v>
      </c>
      <c r="E14" s="19" t="s">
        <v>48</v>
      </c>
    </row>
    <row r="15" customFormat="false" ht="15" hidden="false" customHeight="false" outlineLevel="0" collapsed="false">
      <c r="A15" s="17" t="n">
        <v>46315</v>
      </c>
      <c r="E15" s="19" t="s">
        <v>49</v>
      </c>
    </row>
    <row r="16" customFormat="false" ht="15" hidden="false" customHeight="false" outlineLevel="0" collapsed="false">
      <c r="A16" s="17"/>
      <c r="E16" s="19" t="s">
        <v>50</v>
      </c>
    </row>
    <row r="17" customFormat="false" ht="15" hidden="false" customHeight="false" outlineLevel="0" collapsed="false">
      <c r="A17" s="17"/>
      <c r="E17" s="19" t="s">
        <v>51</v>
      </c>
    </row>
    <row r="18" customFormat="false" ht="15" hidden="false" customHeight="false" outlineLevel="0" collapsed="false">
      <c r="A18" s="17"/>
      <c r="E18" s="19"/>
    </row>
    <row r="19" customFormat="false" ht="15" hidden="false" customHeight="false" outlineLevel="0" collapsed="false">
      <c r="A19" s="17"/>
      <c r="E19" s="19"/>
    </row>
    <row r="20" customFormat="false" ht="15" hidden="false" customHeight="false" outlineLevel="0" collapsed="false">
      <c r="A20" s="17"/>
      <c r="E20" s="19"/>
    </row>
    <row r="21" customFormat="false" ht="15" hidden="false" customHeight="false" outlineLevel="0" collapsed="false">
      <c r="A21" s="17"/>
      <c r="E21" s="19"/>
    </row>
    <row r="22" customFormat="false" ht="15" hidden="false" customHeight="false" outlineLevel="0" collapsed="false">
      <c r="A22" s="17"/>
      <c r="E22" s="19"/>
    </row>
    <row r="23" customFormat="false" ht="15" hidden="false" customHeight="false" outlineLevel="0" collapsed="false">
      <c r="A23" s="17"/>
      <c r="E23" s="19"/>
    </row>
    <row r="24" customFormat="false" ht="15" hidden="false" customHeight="false" outlineLevel="0" collapsed="false">
      <c r="A24" s="17"/>
      <c r="E24" s="19"/>
    </row>
    <row r="25" customFormat="false" ht="15" hidden="false" customHeight="false" outlineLevel="0" collapsed="false">
      <c r="A25" s="17"/>
      <c r="E25" s="19"/>
    </row>
    <row r="26" customFormat="false" ht="15" hidden="false" customHeight="false" outlineLevel="0" collapsed="false">
      <c r="A26" s="17"/>
      <c r="E26" s="19"/>
    </row>
    <row r="27" customFormat="false" ht="15" hidden="false" customHeight="false" outlineLevel="0" collapsed="false">
      <c r="A27" s="17"/>
      <c r="E27" s="19"/>
    </row>
    <row r="28" customFormat="false" ht="15" hidden="false" customHeight="false" outlineLevel="0" collapsed="false">
      <c r="A28" s="17"/>
      <c r="E28" s="19"/>
    </row>
    <row r="29" customFormat="false" ht="15" hidden="false" customHeight="false" outlineLevel="0" collapsed="false">
      <c r="A29" s="17"/>
      <c r="E29" s="19"/>
    </row>
    <row r="30" customFormat="false" ht="15" hidden="false" customHeight="false" outlineLevel="0" collapsed="false">
      <c r="A30" s="17"/>
      <c r="E30" s="19"/>
    </row>
    <row r="31" customFormat="false" ht="15" hidden="false" customHeight="false" outlineLevel="0" collapsed="false">
      <c r="A31" s="17"/>
      <c r="E31" s="19"/>
    </row>
    <row r="32" customFormat="false" ht="15" hidden="false" customHeight="false" outlineLevel="0" collapsed="false">
      <c r="A32" s="17"/>
      <c r="E32" s="19"/>
    </row>
    <row r="33" customFormat="false" ht="15" hidden="false" customHeight="false" outlineLevel="0" collapsed="false">
      <c r="A33" s="17"/>
      <c r="E33" s="19"/>
    </row>
    <row r="34" customFormat="false" ht="15" hidden="false" customHeight="false" outlineLevel="0" collapsed="false">
      <c r="A34" s="17"/>
      <c r="E34" s="19"/>
    </row>
    <row r="35" customFormat="false" ht="15" hidden="false" customHeight="false" outlineLevel="0" collapsed="false">
      <c r="A35" s="17"/>
      <c r="E35" s="19"/>
    </row>
    <row r="36" customFormat="false" ht="15" hidden="false" customHeight="false" outlineLevel="0" collapsed="false">
      <c r="A36" s="17"/>
      <c r="E36" s="19"/>
    </row>
    <row r="37" customFormat="false" ht="15" hidden="false" customHeight="false" outlineLevel="0" collapsed="false">
      <c r="A37" s="17"/>
      <c r="E37" s="19"/>
    </row>
    <row r="38" customFormat="false" ht="15" hidden="false" customHeight="false" outlineLevel="0" collapsed="false">
      <c r="A38" s="17"/>
      <c r="E38" s="19"/>
    </row>
    <row r="39" customFormat="false" ht="15" hidden="false" customHeight="false" outlineLevel="0" collapsed="false">
      <c r="A39" s="17"/>
      <c r="E39" s="19"/>
    </row>
    <row r="40" customFormat="false" ht="15" hidden="false" customHeight="false" outlineLevel="0" collapsed="false">
      <c r="A40" s="17"/>
      <c r="E40" s="19"/>
    </row>
    <row r="41" customFormat="false" ht="15" hidden="false" customHeight="false" outlineLevel="0" collapsed="false">
      <c r="A41" s="17"/>
      <c r="E41" s="19"/>
    </row>
    <row r="42" customFormat="false" ht="15" hidden="false" customHeight="false" outlineLevel="0" collapsed="false">
      <c r="A42" s="17"/>
      <c r="E42" s="19"/>
    </row>
    <row r="43" customFormat="false" ht="15" hidden="false" customHeight="false" outlineLevel="0" collapsed="false">
      <c r="A43" s="17"/>
      <c r="E43" s="19"/>
    </row>
  </sheetData>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M200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2" ySplit="8" topLeftCell="C9" activePane="bottomRight" state="frozen"/>
      <selection pane="topLeft" activeCell="A1" activeCellId="0" sqref="A1"/>
      <selection pane="topRight" activeCell="C1" activeCellId="0" sqref="C1"/>
      <selection pane="bottomLeft" activeCell="A9" activeCellId="0" sqref="A9"/>
      <selection pane="bottomRight" activeCell="A1" activeCellId="0" sqref="A1"/>
    </sheetView>
  </sheetViews>
  <sheetFormatPr defaultColWidth="8.6796875" defaultRowHeight="15" zeroHeight="false" outlineLevelRow="0" outlineLevelCol="0"/>
  <cols>
    <col collapsed="false" customWidth="true" hidden="false" outlineLevel="0" max="1" min="1" style="0" width="10"/>
    <col collapsed="false" customWidth="true" hidden="false" outlineLevel="0" max="2" min="2" style="0" width="12"/>
    <col collapsed="false" customWidth="true" hidden="false" outlineLevel="0" max="3" min="3" style="0" width="10"/>
    <col collapsed="false" customWidth="true" hidden="false" outlineLevel="0" max="4" min="4" style="0" width="24"/>
    <col collapsed="false" customWidth="true" hidden="false" outlineLevel="0" max="6" min="5" style="0" width="13"/>
    <col collapsed="false" customWidth="true" hidden="false" outlineLevel="0" max="7" min="7" style="0" width="32"/>
    <col collapsed="false" customWidth="true" hidden="false" outlineLevel="0" max="9" min="8" style="0" width="10"/>
    <col collapsed="false" customWidth="true" hidden="false" outlineLevel="0" max="10" min="10" style="0" width="12"/>
    <col collapsed="false" customWidth="true" hidden="false" outlineLevel="0" max="11" min="11" style="0" width="9"/>
    <col collapsed="false" customWidth="true" hidden="false" outlineLevel="0" max="12" min="12" style="0" width="60"/>
    <col collapsed="false" customWidth="true" hidden="false" outlineLevel="0" max="13" min="13" style="0" width="9"/>
  </cols>
  <sheetData>
    <row r="1" customFormat="false" ht="17.35" hidden="false" customHeight="false" outlineLevel="0" collapsed="false">
      <c r="A1" s="15" t="s">
        <v>52</v>
      </c>
    </row>
    <row r="2" customFormat="false" ht="15" hidden="false" customHeight="false" outlineLevel="0" collapsed="false">
      <c r="A2" s="16" t="s">
        <v>38</v>
      </c>
    </row>
    <row r="8" customFormat="false" ht="36" hidden="false" customHeight="true" outlineLevel="0" collapsed="false">
      <c r="A8" s="20" t="s">
        <v>53</v>
      </c>
      <c r="B8" s="20" t="s">
        <v>54</v>
      </c>
      <c r="C8" s="20" t="s">
        <v>55</v>
      </c>
      <c r="D8" s="20" t="s">
        <v>56</v>
      </c>
      <c r="E8" s="20" t="s">
        <v>57</v>
      </c>
      <c r="F8" s="20" t="s">
        <v>58</v>
      </c>
      <c r="G8" s="20" t="s">
        <v>59</v>
      </c>
      <c r="H8" s="20" t="s">
        <v>60</v>
      </c>
      <c r="I8" s="20" t="s">
        <v>61</v>
      </c>
      <c r="J8" s="20" t="s">
        <v>62</v>
      </c>
      <c r="K8" s="20" t="s">
        <v>63</v>
      </c>
      <c r="L8" s="20" t="s">
        <v>64</v>
      </c>
      <c r="M8" s="20" t="s">
        <v>65</v>
      </c>
    </row>
    <row r="9" customFormat="false" ht="15" hidden="false" customHeight="false" outlineLevel="0" collapsed="false">
      <c r="A9" s="8" t="s">
        <v>66</v>
      </c>
      <c r="B9" s="17" t="n">
        <v>46295</v>
      </c>
      <c r="C9" s="19" t="s">
        <v>67</v>
      </c>
      <c r="D9" s="8" t="s">
        <v>68</v>
      </c>
      <c r="E9" s="18" t="n">
        <v>125000</v>
      </c>
      <c r="F9" s="18"/>
      <c r="G9" s="8" t="s">
        <v>69</v>
      </c>
      <c r="H9" s="8" t="s">
        <v>70</v>
      </c>
      <c r="I9" s="8" t="s">
        <v>71</v>
      </c>
      <c r="J9" s="8" t="s">
        <v>72</v>
      </c>
      <c r="K9" s="10" t="str">
        <f aca="false">IF(A9="","",IF(ABS(SUMIFS($E$9:$E$2008,$A$9:$A$2008,A9)-SUMIFS($F$9:$F$2008,$A$9:$A$2008,A9))&lt;0.5,"Yes","No"))</f>
        <v>Yes</v>
      </c>
      <c r="L9" s="10" t="str">
        <f aca="false">IF(A9="","",IF(IF(K9="No","Does not balance | ","")&amp;IF(I9="","Not approved | ",IF(UPPER(TRIM(H9))=UPPER(TRIM(I9)),"Self-approved | ",""))&amp;IF(J9="","No support | ","")&amp;IF(WEEKDAY(B9,2)&gt;5,"Weekend posting | ","")&amp;IF(COUNTIF(Settings!$A$14:$A$43,B9)&gt;0,"Holiday posting | ","")&amp;IF(B9&gt;Settings!$C$8,"Posted after close | ","")&amp;IF(OR(B9&lt;Settings!$C$6,B9&gt;Settings!$C$7),"Outside period | ","")&amp;IF(COUNTIF(Settings!$E$14:$E$43,C9&amp;"")&gt;0,"Sensitive account | ","")&amp;IF(AND(MAX(N(E9),N(F9))&gt;=Settings!$C$9,MOD(MAX(N(E9),N(F9)),Settings!$C$10)=0),"Round amount | ","")="","",LEFT(IF(K9="No","Does not balance | ","")&amp;IF(I9="","Not approved | ",IF(UPPER(TRIM(H9))=UPPER(TRIM(I9)),"Self-approved | ",""))&amp;IF(J9="","No support | ","")&amp;IF(WEEKDAY(B9,2)&gt;5,"Weekend posting | ","")&amp;IF(COUNTIF(Settings!$A$14:$A$43,B9)&gt;0,"Holiday posting | ","")&amp;IF(B9&gt;Settings!$C$8,"Posted after close | ","")&amp;IF(OR(B9&lt;Settings!$C$6,B9&gt;Settings!$C$7),"Outside period | ","")&amp;IF(COUNTIF(Settings!$E$14:$E$43,C9&amp;"")&gt;0,"Sensitive account | ","")&amp;IF(AND(MAX(N(E9),N(F9))&gt;=Settings!$C$9,MOD(MAX(N(E9),N(F9)),Settings!$C$10)=0),"Round amount | ",""),LEN(IF(K9="No","Does not balance | ","")&amp;IF(I9="","Not approved | ",IF(UPPER(TRIM(H9))=UPPER(TRIM(I9)),"Self-approved | ",""))&amp;IF(J9="","No support | ","")&amp;IF(WEEKDAY(B9,2)&gt;5,"Weekend posting | ","")&amp;IF(COUNTIF(Settings!$A$14:$A$43,B9)&gt;0,"Holiday posting | ","")&amp;IF(B9&gt;Settings!$C$8,"Posted after close | ","")&amp;IF(OR(B9&lt;Settings!$C$6,B9&gt;Settings!$C$7),"Outside period | ","")&amp;IF(COUNTIF(Settings!$E$14:$E$43,C9&amp;"")&gt;0,"Sensitive account | ","")&amp;IF(AND(MAX(N(E9),N(F9))&gt;=Settings!$C$9,MOD(MAX(N(E9),N(F9)),Settings!$C$10)=0),"Round amount | ",""))-3)))</f>
        <v/>
      </c>
      <c r="M9" s="21" t="n">
        <f aca="false">IF(A9="","",IF(COUNTIF($A$9:A9,A9)=1,MAX($M$8:M8)+1,""))</f>
        <v>1</v>
      </c>
    </row>
    <row r="10" customFormat="false" ht="15" hidden="false" customHeight="false" outlineLevel="0" collapsed="false">
      <c r="A10" s="8" t="s">
        <v>66</v>
      </c>
      <c r="B10" s="17" t="n">
        <v>46295</v>
      </c>
      <c r="C10" s="19" t="s">
        <v>73</v>
      </c>
      <c r="D10" s="8" t="s">
        <v>74</v>
      </c>
      <c r="E10" s="18"/>
      <c r="F10" s="18" t="n">
        <v>125000</v>
      </c>
      <c r="G10" s="8" t="s">
        <v>69</v>
      </c>
      <c r="H10" s="8" t="s">
        <v>70</v>
      </c>
      <c r="I10" s="8" t="s">
        <v>71</v>
      </c>
      <c r="J10" s="8" t="s">
        <v>72</v>
      </c>
      <c r="K10" s="10" t="str">
        <f aca="false">IF(A10="","",IF(ABS(SUMIFS($E$9:$E$2008,$A$9:$A$2008,A10)-SUMIFS($F$9:$F$2008,$A$9:$A$2008,A10))&lt;0.5,"Yes","No"))</f>
        <v>Yes</v>
      </c>
      <c r="L10" s="10" t="str">
        <f aca="false">IF(A10="","",IF(IF(K10="No","Does not balance | ","")&amp;IF(I10="","Not approved | ",IF(UPPER(TRIM(H10))=UPPER(TRIM(I10)),"Self-approved | ",""))&amp;IF(J10="","No support | ","")&amp;IF(WEEKDAY(B10,2)&gt;5,"Weekend posting | ","")&amp;IF(COUNTIF(Settings!$A$14:$A$43,B10)&gt;0,"Holiday posting | ","")&amp;IF(B10&gt;Settings!$C$8,"Posted after close | ","")&amp;IF(OR(B10&lt;Settings!$C$6,B10&gt;Settings!$C$7),"Outside period | ","")&amp;IF(COUNTIF(Settings!$E$14:$E$43,C10&amp;"")&gt;0,"Sensitive account | ","")&amp;IF(AND(MAX(N(E10),N(F10))&gt;=Settings!$C$9,MOD(MAX(N(E10),N(F10)),Settings!$C$10)=0),"Round amount | ","")="","",LEFT(IF(K10="No","Does not balance | ","")&amp;IF(I10="","Not approved | ",IF(UPPER(TRIM(H10))=UPPER(TRIM(I10)),"Self-approved | ",""))&amp;IF(J10="","No support | ","")&amp;IF(WEEKDAY(B10,2)&gt;5,"Weekend posting | ","")&amp;IF(COUNTIF(Settings!$A$14:$A$43,B10)&gt;0,"Holiday posting | ","")&amp;IF(B10&gt;Settings!$C$8,"Posted after close | ","")&amp;IF(OR(B10&lt;Settings!$C$6,B10&gt;Settings!$C$7),"Outside period | ","")&amp;IF(COUNTIF(Settings!$E$14:$E$43,C10&amp;"")&gt;0,"Sensitive account | ","")&amp;IF(AND(MAX(N(E10),N(F10))&gt;=Settings!$C$9,MOD(MAX(N(E10),N(F10)),Settings!$C$10)=0),"Round amount | ",""),LEN(IF(K10="No","Does not balance | ","")&amp;IF(I10="","Not approved | ",IF(UPPER(TRIM(H10))=UPPER(TRIM(I10)),"Self-approved | ",""))&amp;IF(J10="","No support | ","")&amp;IF(WEEKDAY(B10,2)&gt;5,"Weekend posting | ","")&amp;IF(COUNTIF(Settings!$A$14:$A$43,B10)&gt;0,"Holiday posting | ","")&amp;IF(B10&gt;Settings!$C$8,"Posted after close | ","")&amp;IF(OR(B10&lt;Settings!$C$6,B10&gt;Settings!$C$7),"Outside period | ","")&amp;IF(COUNTIF(Settings!$E$14:$E$43,C10&amp;"")&gt;0,"Sensitive account | ","")&amp;IF(AND(MAX(N(E10),N(F10))&gt;=Settings!$C$9,MOD(MAX(N(E10),N(F10)),Settings!$C$10)=0),"Round amount | ",""))-3)))</f>
        <v/>
      </c>
      <c r="M10" s="21" t="str">
        <f aca="false">IF(A10="","",IF(COUNTIF($A$9:A10,A10)=1,MAX($M$8:M9)+1,""))</f>
        <v/>
      </c>
    </row>
    <row r="11" customFormat="false" ht="15" hidden="false" customHeight="false" outlineLevel="0" collapsed="false">
      <c r="A11" s="8" t="s">
        <v>75</v>
      </c>
      <c r="B11" s="17" t="n">
        <v>46292</v>
      </c>
      <c r="C11" s="19" t="s">
        <v>48</v>
      </c>
      <c r="D11" s="8" t="s">
        <v>76</v>
      </c>
      <c r="E11" s="18"/>
      <c r="F11" s="18" t="n">
        <v>1500000</v>
      </c>
      <c r="G11" s="8" t="s">
        <v>77</v>
      </c>
      <c r="H11" s="8" t="s">
        <v>78</v>
      </c>
      <c r="I11" s="8" t="s">
        <v>78</v>
      </c>
      <c r="J11" s="8"/>
      <c r="K11" s="10" t="str">
        <f aca="false">IF(A11="","",IF(ABS(SUMIFS($E$9:$E$2008,$A$9:$A$2008,A11)-SUMIFS($F$9:$F$2008,$A$9:$A$2008,A11))&lt;0.5,"Yes","No"))</f>
        <v>Yes</v>
      </c>
      <c r="L11" s="10" t="str">
        <f aca="false">IF(A11="","",IF(IF(K11="No","Does not balance | ","")&amp;IF(I11="","Not approved | ",IF(UPPER(TRIM(H11))=UPPER(TRIM(I11)),"Self-approved | ",""))&amp;IF(J11="","No support | ","")&amp;IF(WEEKDAY(B11,2)&gt;5,"Weekend posting | ","")&amp;IF(COUNTIF(Settings!$A$14:$A$43,B11)&gt;0,"Holiday posting | ","")&amp;IF(B11&gt;Settings!$C$8,"Posted after close | ","")&amp;IF(OR(B11&lt;Settings!$C$6,B11&gt;Settings!$C$7),"Outside period | ","")&amp;IF(COUNTIF(Settings!$E$14:$E$43,C11&amp;"")&gt;0,"Sensitive account | ","")&amp;IF(AND(MAX(N(E11),N(F11))&gt;=Settings!$C$9,MOD(MAX(N(E11),N(F11)),Settings!$C$10)=0),"Round amount | ","")="","",LEFT(IF(K11="No","Does not balance | ","")&amp;IF(I11="","Not approved | ",IF(UPPER(TRIM(H11))=UPPER(TRIM(I11)),"Self-approved | ",""))&amp;IF(J11="","No support | ","")&amp;IF(WEEKDAY(B11,2)&gt;5,"Weekend posting | ","")&amp;IF(COUNTIF(Settings!$A$14:$A$43,B11)&gt;0,"Holiday posting | ","")&amp;IF(B11&gt;Settings!$C$8,"Posted after close | ","")&amp;IF(OR(B11&lt;Settings!$C$6,B11&gt;Settings!$C$7),"Outside period | ","")&amp;IF(COUNTIF(Settings!$E$14:$E$43,C11&amp;"")&gt;0,"Sensitive account | ","")&amp;IF(AND(MAX(N(E11),N(F11))&gt;=Settings!$C$9,MOD(MAX(N(E11),N(F11)),Settings!$C$10)=0),"Round amount | ",""),LEN(IF(K11="No","Does not balance | ","")&amp;IF(I11="","Not approved | ",IF(UPPER(TRIM(H11))=UPPER(TRIM(I11)),"Self-approved | ",""))&amp;IF(J11="","No support | ","")&amp;IF(WEEKDAY(B11,2)&gt;5,"Weekend posting | ","")&amp;IF(COUNTIF(Settings!$A$14:$A$43,B11)&gt;0,"Holiday posting | ","")&amp;IF(B11&gt;Settings!$C$8,"Posted after close | ","")&amp;IF(OR(B11&lt;Settings!$C$6,B11&gt;Settings!$C$7),"Outside period | ","")&amp;IF(COUNTIF(Settings!$E$14:$E$43,C11&amp;"")&gt;0,"Sensitive account | ","")&amp;IF(AND(MAX(N(E11),N(F11))&gt;=Settings!$C$9,MOD(MAX(N(E11),N(F11)),Settings!$C$10)=0),"Round amount | ",""))-3)))</f>
        <v>Self-approved | No support | Weekend posting | Sensitive account | Round amount</v>
      </c>
      <c r="M11" s="21" t="n">
        <f aca="false">IF(A11="","",IF(COUNTIF($A$9:A11,A11)=1,MAX($M$8:M10)+1,""))</f>
        <v>2</v>
      </c>
    </row>
    <row r="12" customFormat="false" ht="15" hidden="false" customHeight="false" outlineLevel="0" collapsed="false">
      <c r="A12" s="8" t="s">
        <v>75</v>
      </c>
      <c r="B12" s="17" t="n">
        <v>46292</v>
      </c>
      <c r="C12" s="19" t="s">
        <v>79</v>
      </c>
      <c r="D12" s="8" t="s">
        <v>80</v>
      </c>
      <c r="E12" s="18" t="n">
        <v>1500000</v>
      </c>
      <c r="F12" s="18"/>
      <c r="G12" s="8" t="s">
        <v>77</v>
      </c>
      <c r="H12" s="8" t="s">
        <v>78</v>
      </c>
      <c r="I12" s="8" t="s">
        <v>78</v>
      </c>
      <c r="J12" s="8"/>
      <c r="K12" s="10" t="str">
        <f aca="false">IF(A12="","",IF(ABS(SUMIFS($E$9:$E$2008,$A$9:$A$2008,A12)-SUMIFS($F$9:$F$2008,$A$9:$A$2008,A12))&lt;0.5,"Yes","No"))</f>
        <v>Yes</v>
      </c>
      <c r="L12" s="10" t="str">
        <f aca="false">IF(A12="","",IF(IF(K12="No","Does not balance | ","")&amp;IF(I12="","Not approved | ",IF(UPPER(TRIM(H12))=UPPER(TRIM(I12)),"Self-approved | ",""))&amp;IF(J12="","No support | ","")&amp;IF(WEEKDAY(B12,2)&gt;5,"Weekend posting | ","")&amp;IF(COUNTIF(Settings!$A$14:$A$43,B12)&gt;0,"Holiday posting | ","")&amp;IF(B12&gt;Settings!$C$8,"Posted after close | ","")&amp;IF(OR(B12&lt;Settings!$C$6,B12&gt;Settings!$C$7),"Outside period | ","")&amp;IF(COUNTIF(Settings!$E$14:$E$43,C12&amp;"")&gt;0,"Sensitive account | ","")&amp;IF(AND(MAX(N(E12),N(F12))&gt;=Settings!$C$9,MOD(MAX(N(E12),N(F12)),Settings!$C$10)=0),"Round amount | ","")="","",LEFT(IF(K12="No","Does not balance | ","")&amp;IF(I12="","Not approved | ",IF(UPPER(TRIM(H12))=UPPER(TRIM(I12)),"Self-approved | ",""))&amp;IF(J12="","No support | ","")&amp;IF(WEEKDAY(B12,2)&gt;5,"Weekend posting | ","")&amp;IF(COUNTIF(Settings!$A$14:$A$43,B12)&gt;0,"Holiday posting | ","")&amp;IF(B12&gt;Settings!$C$8,"Posted after close | ","")&amp;IF(OR(B12&lt;Settings!$C$6,B12&gt;Settings!$C$7),"Outside period | ","")&amp;IF(COUNTIF(Settings!$E$14:$E$43,C12&amp;"")&gt;0,"Sensitive account | ","")&amp;IF(AND(MAX(N(E12),N(F12))&gt;=Settings!$C$9,MOD(MAX(N(E12),N(F12)),Settings!$C$10)=0),"Round amount | ",""),LEN(IF(K12="No","Does not balance | ","")&amp;IF(I12="","Not approved | ",IF(UPPER(TRIM(H12))=UPPER(TRIM(I12)),"Self-approved | ",""))&amp;IF(J12="","No support | ","")&amp;IF(WEEKDAY(B12,2)&gt;5,"Weekend posting | ","")&amp;IF(COUNTIF(Settings!$A$14:$A$43,B12)&gt;0,"Holiday posting | ","")&amp;IF(B12&gt;Settings!$C$8,"Posted after close | ","")&amp;IF(OR(B12&lt;Settings!$C$6,B12&gt;Settings!$C$7),"Outside period | ","")&amp;IF(COUNTIF(Settings!$E$14:$E$43,C12&amp;"")&gt;0,"Sensitive account | ","")&amp;IF(AND(MAX(N(E12),N(F12))&gt;=Settings!$C$9,MOD(MAX(N(E12),N(F12)),Settings!$C$10)=0),"Round amount | ",""))-3)))</f>
        <v>Self-approved | No support | Weekend posting | Round amount</v>
      </c>
      <c r="M12" s="21" t="str">
        <f aca="false">IF(A12="","",IF(COUNTIF($A$9:A12,A12)=1,MAX($M$8:M11)+1,""))</f>
        <v/>
      </c>
    </row>
    <row r="13" customFormat="false" ht="15" hidden="false" customHeight="false" outlineLevel="0" collapsed="false">
      <c r="A13" s="8" t="s">
        <v>81</v>
      </c>
      <c r="B13" s="17" t="n">
        <v>46295</v>
      </c>
      <c r="C13" s="19" t="s">
        <v>82</v>
      </c>
      <c r="D13" s="8" t="s">
        <v>83</v>
      </c>
      <c r="E13" s="18" t="n">
        <v>48000</v>
      </c>
      <c r="F13" s="18"/>
      <c r="G13" s="8" t="s">
        <v>84</v>
      </c>
      <c r="H13" s="8" t="s">
        <v>70</v>
      </c>
      <c r="I13" s="8" t="s">
        <v>71</v>
      </c>
      <c r="J13" s="8" t="s">
        <v>85</v>
      </c>
      <c r="K13" s="10" t="str">
        <f aca="false">IF(A13="","",IF(ABS(SUMIFS($E$9:$E$2008,$A$9:$A$2008,A13)-SUMIFS($F$9:$F$2008,$A$9:$A$2008,A13))&lt;0.5,"Yes","No"))</f>
        <v>No</v>
      </c>
      <c r="L13" s="10" t="str">
        <f aca="false">IF(A13="","",IF(IF(K13="No","Does not balance | ","")&amp;IF(I13="","Not approved | ",IF(UPPER(TRIM(H13))=UPPER(TRIM(I13)),"Self-approved | ",""))&amp;IF(J13="","No support | ","")&amp;IF(WEEKDAY(B13,2)&gt;5,"Weekend posting | ","")&amp;IF(COUNTIF(Settings!$A$14:$A$43,B13)&gt;0,"Holiday posting | ","")&amp;IF(B13&gt;Settings!$C$8,"Posted after close | ","")&amp;IF(OR(B13&lt;Settings!$C$6,B13&gt;Settings!$C$7),"Outside period | ","")&amp;IF(COUNTIF(Settings!$E$14:$E$43,C13&amp;"")&gt;0,"Sensitive account | ","")&amp;IF(AND(MAX(N(E13),N(F13))&gt;=Settings!$C$9,MOD(MAX(N(E13),N(F13)),Settings!$C$10)=0),"Round amount | ","")="","",LEFT(IF(K13="No","Does not balance | ","")&amp;IF(I13="","Not approved | ",IF(UPPER(TRIM(H13))=UPPER(TRIM(I13)),"Self-approved | ",""))&amp;IF(J13="","No support | ","")&amp;IF(WEEKDAY(B13,2)&gt;5,"Weekend posting | ","")&amp;IF(COUNTIF(Settings!$A$14:$A$43,B13)&gt;0,"Holiday posting | ","")&amp;IF(B13&gt;Settings!$C$8,"Posted after close | ","")&amp;IF(OR(B13&lt;Settings!$C$6,B13&gt;Settings!$C$7),"Outside period | ","")&amp;IF(COUNTIF(Settings!$E$14:$E$43,C13&amp;"")&gt;0,"Sensitive account | ","")&amp;IF(AND(MAX(N(E13),N(F13))&gt;=Settings!$C$9,MOD(MAX(N(E13),N(F13)),Settings!$C$10)=0),"Round amount | ",""),LEN(IF(K13="No","Does not balance | ","")&amp;IF(I13="","Not approved | ",IF(UPPER(TRIM(H13))=UPPER(TRIM(I13)),"Self-approved | ",""))&amp;IF(J13="","No support | ","")&amp;IF(WEEKDAY(B13,2)&gt;5,"Weekend posting | ","")&amp;IF(COUNTIF(Settings!$A$14:$A$43,B13)&gt;0,"Holiday posting | ","")&amp;IF(B13&gt;Settings!$C$8,"Posted after close | ","")&amp;IF(OR(B13&lt;Settings!$C$6,B13&gt;Settings!$C$7),"Outside period | ","")&amp;IF(COUNTIF(Settings!$E$14:$E$43,C13&amp;"")&gt;0,"Sensitive account | ","")&amp;IF(AND(MAX(N(E13),N(F13))&gt;=Settings!$C$9,MOD(MAX(N(E13),N(F13)),Settings!$C$10)=0),"Round amount | ",""))-3)))</f>
        <v>Does not balance</v>
      </c>
      <c r="M13" s="21" t="n">
        <f aca="false">IF(A13="","",IF(COUNTIF($A$9:A13,A13)=1,MAX($M$8:M12)+1,""))</f>
        <v>3</v>
      </c>
    </row>
    <row r="14" customFormat="false" ht="15" hidden="false" customHeight="false" outlineLevel="0" collapsed="false">
      <c r="A14" s="8" t="s">
        <v>81</v>
      </c>
      <c r="B14" s="17" t="n">
        <v>46295</v>
      </c>
      <c r="C14" s="19" t="s">
        <v>86</v>
      </c>
      <c r="D14" s="8" t="s">
        <v>87</v>
      </c>
      <c r="E14" s="18"/>
      <c r="F14" s="18" t="n">
        <v>47000</v>
      </c>
      <c r="G14" s="8" t="s">
        <v>84</v>
      </c>
      <c r="H14" s="8" t="s">
        <v>70</v>
      </c>
      <c r="I14" s="8" t="s">
        <v>71</v>
      </c>
      <c r="J14" s="8" t="s">
        <v>85</v>
      </c>
      <c r="K14" s="10" t="str">
        <f aca="false">IF(A14="","",IF(ABS(SUMIFS($E$9:$E$2008,$A$9:$A$2008,A14)-SUMIFS($F$9:$F$2008,$A$9:$A$2008,A14))&lt;0.5,"Yes","No"))</f>
        <v>No</v>
      </c>
      <c r="L14" s="10" t="str">
        <f aca="false">IF(A14="","",IF(IF(K14="No","Does not balance | ","")&amp;IF(I14="","Not approved | ",IF(UPPER(TRIM(H14))=UPPER(TRIM(I14)),"Self-approved | ",""))&amp;IF(J14="","No support | ","")&amp;IF(WEEKDAY(B14,2)&gt;5,"Weekend posting | ","")&amp;IF(COUNTIF(Settings!$A$14:$A$43,B14)&gt;0,"Holiday posting | ","")&amp;IF(B14&gt;Settings!$C$8,"Posted after close | ","")&amp;IF(OR(B14&lt;Settings!$C$6,B14&gt;Settings!$C$7),"Outside period | ","")&amp;IF(COUNTIF(Settings!$E$14:$E$43,C14&amp;"")&gt;0,"Sensitive account | ","")&amp;IF(AND(MAX(N(E14),N(F14))&gt;=Settings!$C$9,MOD(MAX(N(E14),N(F14)),Settings!$C$10)=0),"Round amount | ","")="","",LEFT(IF(K14="No","Does not balance | ","")&amp;IF(I14="","Not approved | ",IF(UPPER(TRIM(H14))=UPPER(TRIM(I14)),"Self-approved | ",""))&amp;IF(J14="","No support | ","")&amp;IF(WEEKDAY(B14,2)&gt;5,"Weekend posting | ","")&amp;IF(COUNTIF(Settings!$A$14:$A$43,B14)&gt;0,"Holiday posting | ","")&amp;IF(B14&gt;Settings!$C$8,"Posted after close | ","")&amp;IF(OR(B14&lt;Settings!$C$6,B14&gt;Settings!$C$7),"Outside period | ","")&amp;IF(COUNTIF(Settings!$E$14:$E$43,C14&amp;"")&gt;0,"Sensitive account | ","")&amp;IF(AND(MAX(N(E14),N(F14))&gt;=Settings!$C$9,MOD(MAX(N(E14),N(F14)),Settings!$C$10)=0),"Round amount | ",""),LEN(IF(K14="No","Does not balance | ","")&amp;IF(I14="","Not approved | ",IF(UPPER(TRIM(H14))=UPPER(TRIM(I14)),"Self-approved | ",""))&amp;IF(J14="","No support | ","")&amp;IF(WEEKDAY(B14,2)&gt;5,"Weekend posting | ","")&amp;IF(COUNTIF(Settings!$A$14:$A$43,B14)&gt;0,"Holiday posting | ","")&amp;IF(B14&gt;Settings!$C$8,"Posted after close | ","")&amp;IF(OR(B14&lt;Settings!$C$6,B14&gt;Settings!$C$7),"Outside period | ","")&amp;IF(COUNTIF(Settings!$E$14:$E$43,C14&amp;"")&gt;0,"Sensitive account | ","")&amp;IF(AND(MAX(N(E14),N(F14))&gt;=Settings!$C$9,MOD(MAX(N(E14),N(F14)),Settings!$C$10)=0),"Round amount | ",""))-3)))</f>
        <v>Does not balance</v>
      </c>
      <c r="M14" s="21" t="str">
        <f aca="false">IF(A14="","",IF(COUNTIF($A$9:A14,A14)=1,MAX($M$8:M13)+1,""))</f>
        <v/>
      </c>
    </row>
    <row r="15" customFormat="false" ht="15" hidden="false" customHeight="false" outlineLevel="0" collapsed="false">
      <c r="A15" s="8" t="s">
        <v>88</v>
      </c>
      <c r="B15" s="17" t="n">
        <v>46302</v>
      </c>
      <c r="C15" s="19" t="s">
        <v>50</v>
      </c>
      <c r="D15" s="8" t="s">
        <v>89</v>
      </c>
      <c r="E15" s="18" t="n">
        <v>260000</v>
      </c>
      <c r="F15" s="18"/>
      <c r="G15" s="8" t="s">
        <v>90</v>
      </c>
      <c r="H15" s="8" t="s">
        <v>71</v>
      </c>
      <c r="I15" s="8" t="s">
        <v>70</v>
      </c>
      <c r="J15" s="8" t="s">
        <v>91</v>
      </c>
      <c r="K15" s="10" t="str">
        <f aca="false">IF(A15="","",IF(ABS(SUMIFS($E$9:$E$2008,$A$9:$A$2008,A15)-SUMIFS($F$9:$F$2008,$A$9:$A$2008,A15))&lt;0.5,"Yes","No"))</f>
        <v>Yes</v>
      </c>
      <c r="L15" s="10" t="str">
        <f aca="false">IF(A15="","",IF(IF(K15="No","Does not balance | ","")&amp;IF(I15="","Not approved | ",IF(UPPER(TRIM(H15))=UPPER(TRIM(I15)),"Self-approved | ",""))&amp;IF(J15="","No support | ","")&amp;IF(WEEKDAY(B15,2)&gt;5,"Weekend posting | ","")&amp;IF(COUNTIF(Settings!$A$14:$A$43,B15)&gt;0,"Holiday posting | ","")&amp;IF(B15&gt;Settings!$C$8,"Posted after close | ","")&amp;IF(OR(B15&lt;Settings!$C$6,B15&gt;Settings!$C$7),"Outside period | ","")&amp;IF(COUNTIF(Settings!$E$14:$E$43,C15&amp;"")&gt;0,"Sensitive account | ","")&amp;IF(AND(MAX(N(E15),N(F15))&gt;=Settings!$C$9,MOD(MAX(N(E15),N(F15)),Settings!$C$10)=0),"Round amount | ","")="","",LEFT(IF(K15="No","Does not balance | ","")&amp;IF(I15="","Not approved | ",IF(UPPER(TRIM(H15))=UPPER(TRIM(I15)),"Self-approved | ",""))&amp;IF(J15="","No support | ","")&amp;IF(WEEKDAY(B15,2)&gt;5,"Weekend posting | ","")&amp;IF(COUNTIF(Settings!$A$14:$A$43,B15)&gt;0,"Holiday posting | ","")&amp;IF(B15&gt;Settings!$C$8,"Posted after close | ","")&amp;IF(OR(B15&lt;Settings!$C$6,B15&gt;Settings!$C$7),"Outside period | ","")&amp;IF(COUNTIF(Settings!$E$14:$E$43,C15&amp;"")&gt;0,"Sensitive account | ","")&amp;IF(AND(MAX(N(E15),N(F15))&gt;=Settings!$C$9,MOD(MAX(N(E15),N(F15)),Settings!$C$10)=0),"Round amount | ",""),LEN(IF(K15="No","Does not balance | ","")&amp;IF(I15="","Not approved | ",IF(UPPER(TRIM(H15))=UPPER(TRIM(I15)),"Self-approved | ",""))&amp;IF(J15="","No support | ","")&amp;IF(WEEKDAY(B15,2)&gt;5,"Weekend posting | ","")&amp;IF(COUNTIF(Settings!$A$14:$A$43,B15)&gt;0,"Holiday posting | ","")&amp;IF(B15&gt;Settings!$C$8,"Posted after close | ","")&amp;IF(OR(B15&lt;Settings!$C$6,B15&gt;Settings!$C$7),"Outside period | ","")&amp;IF(COUNTIF(Settings!$E$14:$E$43,C15&amp;"")&gt;0,"Sensitive account | ","")&amp;IF(AND(MAX(N(E15),N(F15))&gt;=Settings!$C$9,MOD(MAX(N(E15),N(F15)),Settings!$C$10)=0),"Round amount | ",""))-3)))</f>
        <v>Posted after close | Outside period | Sensitive account</v>
      </c>
      <c r="M15" s="21" t="n">
        <f aca="false">IF(A15="","",IF(COUNTIF($A$9:A15,A15)=1,MAX($M$8:M14)+1,""))</f>
        <v>4</v>
      </c>
    </row>
    <row r="16" customFormat="false" ht="15" hidden="false" customHeight="false" outlineLevel="0" collapsed="false">
      <c r="A16" s="8" t="s">
        <v>88</v>
      </c>
      <c r="B16" s="17" t="n">
        <v>46302</v>
      </c>
      <c r="C16" s="19" t="s">
        <v>92</v>
      </c>
      <c r="D16" s="8" t="s">
        <v>93</v>
      </c>
      <c r="E16" s="18"/>
      <c r="F16" s="18" t="n">
        <v>260000</v>
      </c>
      <c r="G16" s="8" t="s">
        <v>90</v>
      </c>
      <c r="H16" s="8" t="s">
        <v>71</v>
      </c>
      <c r="I16" s="8" t="s">
        <v>70</v>
      </c>
      <c r="J16" s="8" t="s">
        <v>91</v>
      </c>
      <c r="K16" s="10" t="str">
        <f aca="false">IF(A16="","",IF(ABS(SUMIFS($E$9:$E$2008,$A$9:$A$2008,A16)-SUMIFS($F$9:$F$2008,$A$9:$A$2008,A16))&lt;0.5,"Yes","No"))</f>
        <v>Yes</v>
      </c>
      <c r="L16" s="10" t="str">
        <f aca="false">IF(A16="","",IF(IF(K16="No","Does not balance | ","")&amp;IF(I16="","Not approved | ",IF(UPPER(TRIM(H16))=UPPER(TRIM(I16)),"Self-approved | ",""))&amp;IF(J16="","No support | ","")&amp;IF(WEEKDAY(B16,2)&gt;5,"Weekend posting | ","")&amp;IF(COUNTIF(Settings!$A$14:$A$43,B16)&gt;0,"Holiday posting | ","")&amp;IF(B16&gt;Settings!$C$8,"Posted after close | ","")&amp;IF(OR(B16&lt;Settings!$C$6,B16&gt;Settings!$C$7),"Outside period | ","")&amp;IF(COUNTIF(Settings!$E$14:$E$43,C16&amp;"")&gt;0,"Sensitive account | ","")&amp;IF(AND(MAX(N(E16),N(F16))&gt;=Settings!$C$9,MOD(MAX(N(E16),N(F16)),Settings!$C$10)=0),"Round amount | ","")="","",LEFT(IF(K16="No","Does not balance | ","")&amp;IF(I16="","Not approved | ",IF(UPPER(TRIM(H16))=UPPER(TRIM(I16)),"Self-approved | ",""))&amp;IF(J16="","No support | ","")&amp;IF(WEEKDAY(B16,2)&gt;5,"Weekend posting | ","")&amp;IF(COUNTIF(Settings!$A$14:$A$43,B16)&gt;0,"Holiday posting | ","")&amp;IF(B16&gt;Settings!$C$8,"Posted after close | ","")&amp;IF(OR(B16&lt;Settings!$C$6,B16&gt;Settings!$C$7),"Outside period | ","")&amp;IF(COUNTIF(Settings!$E$14:$E$43,C16&amp;"")&gt;0,"Sensitive account | ","")&amp;IF(AND(MAX(N(E16),N(F16))&gt;=Settings!$C$9,MOD(MAX(N(E16),N(F16)),Settings!$C$10)=0),"Round amount | ",""),LEN(IF(K16="No","Does not balance | ","")&amp;IF(I16="","Not approved | ",IF(UPPER(TRIM(H16))=UPPER(TRIM(I16)),"Self-approved | ",""))&amp;IF(J16="","No support | ","")&amp;IF(WEEKDAY(B16,2)&gt;5,"Weekend posting | ","")&amp;IF(COUNTIF(Settings!$A$14:$A$43,B16)&gt;0,"Holiday posting | ","")&amp;IF(B16&gt;Settings!$C$8,"Posted after close | ","")&amp;IF(OR(B16&lt;Settings!$C$6,B16&gt;Settings!$C$7),"Outside period | ","")&amp;IF(COUNTIF(Settings!$E$14:$E$43,C16&amp;"")&gt;0,"Sensitive account | ","")&amp;IF(AND(MAX(N(E16),N(F16))&gt;=Settings!$C$9,MOD(MAX(N(E16),N(F16)),Settings!$C$10)=0),"Round amount | ",""))-3)))</f>
        <v>Posted after close | Outside period</v>
      </c>
      <c r="M16" s="21" t="str">
        <f aca="false">IF(A16="","",IF(COUNTIF($A$9:A16,A16)=1,MAX($M$8:M15)+1,""))</f>
        <v/>
      </c>
    </row>
    <row r="17" customFormat="false" ht="15" hidden="false" customHeight="false" outlineLevel="0" collapsed="false">
      <c r="A17" s="8" t="s">
        <v>94</v>
      </c>
      <c r="B17" s="17" t="n">
        <v>46295</v>
      </c>
      <c r="C17" s="19" t="s">
        <v>95</v>
      </c>
      <c r="D17" s="8" t="s">
        <v>96</v>
      </c>
      <c r="E17" s="18" t="n">
        <v>3842000</v>
      </c>
      <c r="F17" s="18"/>
      <c r="G17" s="8" t="s">
        <v>97</v>
      </c>
      <c r="H17" s="8" t="s">
        <v>70</v>
      </c>
      <c r="I17" s="8" t="s">
        <v>71</v>
      </c>
      <c r="J17" s="8" t="s">
        <v>98</v>
      </c>
      <c r="K17" s="10" t="str">
        <f aca="false">IF(A17="","",IF(ABS(SUMIFS($E$9:$E$2008,$A$9:$A$2008,A17)-SUMIFS($F$9:$F$2008,$A$9:$A$2008,A17))&lt;0.5,"Yes","No"))</f>
        <v>Yes</v>
      </c>
      <c r="L17" s="10" t="str">
        <f aca="false">IF(A17="","",IF(IF(K17="No","Does not balance | ","")&amp;IF(I17="","Not approved | ",IF(UPPER(TRIM(H17))=UPPER(TRIM(I17)),"Self-approved | ",""))&amp;IF(J17="","No support | ","")&amp;IF(WEEKDAY(B17,2)&gt;5,"Weekend posting | ","")&amp;IF(COUNTIF(Settings!$A$14:$A$43,B17)&gt;0,"Holiday posting | ","")&amp;IF(B17&gt;Settings!$C$8,"Posted after close | ","")&amp;IF(OR(B17&lt;Settings!$C$6,B17&gt;Settings!$C$7),"Outside period | ","")&amp;IF(COUNTIF(Settings!$E$14:$E$43,C17&amp;"")&gt;0,"Sensitive account | ","")&amp;IF(AND(MAX(N(E17),N(F17))&gt;=Settings!$C$9,MOD(MAX(N(E17),N(F17)),Settings!$C$10)=0),"Round amount | ","")="","",LEFT(IF(K17="No","Does not balance | ","")&amp;IF(I17="","Not approved | ",IF(UPPER(TRIM(H17))=UPPER(TRIM(I17)),"Self-approved | ",""))&amp;IF(J17="","No support | ","")&amp;IF(WEEKDAY(B17,2)&gt;5,"Weekend posting | ","")&amp;IF(COUNTIF(Settings!$A$14:$A$43,B17)&gt;0,"Holiday posting | ","")&amp;IF(B17&gt;Settings!$C$8,"Posted after close | ","")&amp;IF(OR(B17&lt;Settings!$C$6,B17&gt;Settings!$C$7),"Outside period | ","")&amp;IF(COUNTIF(Settings!$E$14:$E$43,C17&amp;"")&gt;0,"Sensitive account | ","")&amp;IF(AND(MAX(N(E17),N(F17))&gt;=Settings!$C$9,MOD(MAX(N(E17),N(F17)),Settings!$C$10)=0),"Round amount | ",""),LEN(IF(K17="No","Does not balance | ","")&amp;IF(I17="","Not approved | ",IF(UPPER(TRIM(H17))=UPPER(TRIM(I17)),"Self-approved | ",""))&amp;IF(J17="","No support | ","")&amp;IF(WEEKDAY(B17,2)&gt;5,"Weekend posting | ","")&amp;IF(COUNTIF(Settings!$A$14:$A$43,B17)&gt;0,"Holiday posting | ","")&amp;IF(B17&gt;Settings!$C$8,"Posted after close | ","")&amp;IF(OR(B17&lt;Settings!$C$6,B17&gt;Settings!$C$7),"Outside period | ","")&amp;IF(COUNTIF(Settings!$E$14:$E$43,C17&amp;"")&gt;0,"Sensitive account | ","")&amp;IF(AND(MAX(N(E17),N(F17))&gt;=Settings!$C$9,MOD(MAX(N(E17),N(F17)),Settings!$C$10)=0),"Round amount | ",""))-3)))</f>
        <v/>
      </c>
      <c r="M17" s="21" t="n">
        <f aca="false">IF(A17="","",IF(COUNTIF($A$9:A17,A17)=1,MAX($M$8:M16)+1,""))</f>
        <v>5</v>
      </c>
    </row>
    <row r="18" customFormat="false" ht="15" hidden="false" customHeight="false" outlineLevel="0" collapsed="false">
      <c r="A18" s="8" t="s">
        <v>94</v>
      </c>
      <c r="B18" s="17" t="n">
        <v>46295</v>
      </c>
      <c r="C18" s="19" t="s">
        <v>51</v>
      </c>
      <c r="D18" s="8" t="s">
        <v>99</v>
      </c>
      <c r="E18" s="18"/>
      <c r="F18" s="18" t="n">
        <v>3842000</v>
      </c>
      <c r="G18" s="8" t="s">
        <v>97</v>
      </c>
      <c r="H18" s="8" t="s">
        <v>70</v>
      </c>
      <c r="I18" s="8" t="s">
        <v>71</v>
      </c>
      <c r="J18" s="8" t="s">
        <v>98</v>
      </c>
      <c r="K18" s="10" t="str">
        <f aca="false">IF(A18="","",IF(ABS(SUMIFS($E$9:$E$2008,$A$9:$A$2008,A18)-SUMIFS($F$9:$F$2008,$A$9:$A$2008,A18))&lt;0.5,"Yes","No"))</f>
        <v>Yes</v>
      </c>
      <c r="L18" s="10" t="str">
        <f aca="false">IF(A18="","",IF(IF(K18="No","Does not balance | ","")&amp;IF(I18="","Not approved | ",IF(UPPER(TRIM(H18))=UPPER(TRIM(I18)),"Self-approved | ",""))&amp;IF(J18="","No support | ","")&amp;IF(WEEKDAY(B18,2)&gt;5,"Weekend posting | ","")&amp;IF(COUNTIF(Settings!$A$14:$A$43,B18)&gt;0,"Holiday posting | ","")&amp;IF(B18&gt;Settings!$C$8,"Posted after close | ","")&amp;IF(OR(B18&lt;Settings!$C$6,B18&gt;Settings!$C$7),"Outside period | ","")&amp;IF(COUNTIF(Settings!$E$14:$E$43,C18&amp;"")&gt;0,"Sensitive account | ","")&amp;IF(AND(MAX(N(E18),N(F18))&gt;=Settings!$C$9,MOD(MAX(N(E18),N(F18)),Settings!$C$10)=0),"Round amount | ","")="","",LEFT(IF(K18="No","Does not balance | ","")&amp;IF(I18="","Not approved | ",IF(UPPER(TRIM(H18))=UPPER(TRIM(I18)),"Self-approved | ",""))&amp;IF(J18="","No support | ","")&amp;IF(WEEKDAY(B18,2)&gt;5,"Weekend posting | ","")&amp;IF(COUNTIF(Settings!$A$14:$A$43,B18)&gt;0,"Holiday posting | ","")&amp;IF(B18&gt;Settings!$C$8,"Posted after close | ","")&amp;IF(OR(B18&lt;Settings!$C$6,B18&gt;Settings!$C$7),"Outside period | ","")&amp;IF(COUNTIF(Settings!$E$14:$E$43,C18&amp;"")&gt;0,"Sensitive account | ","")&amp;IF(AND(MAX(N(E18),N(F18))&gt;=Settings!$C$9,MOD(MAX(N(E18),N(F18)),Settings!$C$10)=0),"Round amount | ",""),LEN(IF(K18="No","Does not balance | ","")&amp;IF(I18="","Not approved | ",IF(UPPER(TRIM(H18))=UPPER(TRIM(I18)),"Self-approved | ",""))&amp;IF(J18="","No support | ","")&amp;IF(WEEKDAY(B18,2)&gt;5,"Weekend posting | ","")&amp;IF(COUNTIF(Settings!$A$14:$A$43,B18)&gt;0,"Holiday posting | ","")&amp;IF(B18&gt;Settings!$C$8,"Posted after close | ","")&amp;IF(OR(B18&lt;Settings!$C$6,B18&gt;Settings!$C$7),"Outside period | ","")&amp;IF(COUNTIF(Settings!$E$14:$E$43,C18&amp;"")&gt;0,"Sensitive account | ","")&amp;IF(AND(MAX(N(E18),N(F18))&gt;=Settings!$C$9,MOD(MAX(N(E18),N(F18)),Settings!$C$10)=0),"Round amount | ",""))-3)))</f>
        <v>Sensitive account</v>
      </c>
      <c r="M18" s="21" t="str">
        <f aca="false">IF(A18="","",IF(COUNTIF($A$9:A18,A18)=1,MAX($M$8:M17)+1,""))</f>
        <v/>
      </c>
    </row>
    <row r="19" customFormat="false" ht="15" hidden="false" customHeight="false" outlineLevel="0" collapsed="false">
      <c r="A19" s="8"/>
      <c r="B19" s="17"/>
      <c r="C19" s="19"/>
      <c r="D19" s="8"/>
      <c r="E19" s="18"/>
      <c r="F19" s="18"/>
      <c r="G19" s="8"/>
      <c r="H19" s="8"/>
      <c r="I19" s="8"/>
      <c r="J19" s="8"/>
      <c r="K19" s="10" t="str">
        <f aca="false">IF(A19="","",IF(ABS(SUMIFS($E$9:$E$2008,$A$9:$A$2008,A19)-SUMIFS($F$9:$F$2008,$A$9:$A$2008,A19))&lt;0.5,"Yes","No"))</f>
        <v/>
      </c>
      <c r="L19" s="10" t="str">
        <f aca="false">IF(A19="","",IF(IF(K19="No","Does not balance | ","")&amp;IF(I19="","Not approved | ",IF(UPPER(TRIM(H19))=UPPER(TRIM(I19)),"Self-approved | ",""))&amp;IF(J19="","No support | ","")&amp;IF(WEEKDAY(B19,2)&gt;5,"Weekend posting | ","")&amp;IF(COUNTIF(Settings!$A$14:$A$43,B19)&gt;0,"Holiday posting | ","")&amp;IF(B19&gt;Settings!$C$8,"Posted after close | ","")&amp;IF(OR(B19&lt;Settings!$C$6,B19&gt;Settings!$C$7),"Outside period | ","")&amp;IF(COUNTIF(Settings!$E$14:$E$43,C19&amp;"")&gt;0,"Sensitive account | ","")&amp;IF(AND(MAX(N(E19),N(F19))&gt;=Settings!$C$9,MOD(MAX(N(E19),N(F19)),Settings!$C$10)=0),"Round amount | ","")="","",LEFT(IF(K19="No","Does not balance | ","")&amp;IF(I19="","Not approved | ",IF(UPPER(TRIM(H19))=UPPER(TRIM(I19)),"Self-approved | ",""))&amp;IF(J19="","No support | ","")&amp;IF(WEEKDAY(B19,2)&gt;5,"Weekend posting | ","")&amp;IF(COUNTIF(Settings!$A$14:$A$43,B19)&gt;0,"Holiday posting | ","")&amp;IF(B19&gt;Settings!$C$8,"Posted after close | ","")&amp;IF(OR(B19&lt;Settings!$C$6,B19&gt;Settings!$C$7),"Outside period | ","")&amp;IF(COUNTIF(Settings!$E$14:$E$43,C19&amp;"")&gt;0,"Sensitive account | ","")&amp;IF(AND(MAX(N(E19),N(F19))&gt;=Settings!$C$9,MOD(MAX(N(E19),N(F19)),Settings!$C$10)=0),"Round amount | ",""),LEN(IF(K19="No","Does not balance | ","")&amp;IF(I19="","Not approved | ",IF(UPPER(TRIM(H19))=UPPER(TRIM(I19)),"Self-approved | ",""))&amp;IF(J19="","No support | ","")&amp;IF(WEEKDAY(B19,2)&gt;5,"Weekend posting | ","")&amp;IF(COUNTIF(Settings!$A$14:$A$43,B19)&gt;0,"Holiday posting | ","")&amp;IF(B19&gt;Settings!$C$8,"Posted after close | ","")&amp;IF(OR(B19&lt;Settings!$C$6,B19&gt;Settings!$C$7),"Outside period | ","")&amp;IF(COUNTIF(Settings!$E$14:$E$43,C19&amp;"")&gt;0,"Sensitive account | ","")&amp;IF(AND(MAX(N(E19),N(F19))&gt;=Settings!$C$9,MOD(MAX(N(E19),N(F19)),Settings!$C$10)=0),"Round amount | ",""))-3)))</f>
        <v/>
      </c>
      <c r="M19" s="21" t="str">
        <f aca="false">IF(A19="","",IF(COUNTIF($A$9:A19,A19)=1,MAX($M$8:M18)+1,""))</f>
        <v/>
      </c>
    </row>
    <row r="20" customFormat="false" ht="15" hidden="false" customHeight="false" outlineLevel="0" collapsed="false">
      <c r="A20" s="8"/>
      <c r="B20" s="17"/>
      <c r="C20" s="19"/>
      <c r="D20" s="8"/>
      <c r="E20" s="18"/>
      <c r="F20" s="18"/>
      <c r="G20" s="8"/>
      <c r="H20" s="8"/>
      <c r="I20" s="8"/>
      <c r="J20" s="8"/>
      <c r="K20" s="10" t="str">
        <f aca="false">IF(A20="","",IF(ABS(SUMIFS($E$9:$E$2008,$A$9:$A$2008,A20)-SUMIFS($F$9:$F$2008,$A$9:$A$2008,A20))&lt;0.5,"Yes","No"))</f>
        <v/>
      </c>
      <c r="L20" s="10" t="str">
        <f aca="false">IF(A20="","",IF(IF(K20="No","Does not balance | ","")&amp;IF(I20="","Not approved | ",IF(UPPER(TRIM(H20))=UPPER(TRIM(I20)),"Self-approved | ",""))&amp;IF(J20="","No support | ","")&amp;IF(WEEKDAY(B20,2)&gt;5,"Weekend posting | ","")&amp;IF(COUNTIF(Settings!$A$14:$A$43,B20)&gt;0,"Holiday posting | ","")&amp;IF(B20&gt;Settings!$C$8,"Posted after close | ","")&amp;IF(OR(B20&lt;Settings!$C$6,B20&gt;Settings!$C$7),"Outside period | ","")&amp;IF(COUNTIF(Settings!$E$14:$E$43,C20&amp;"")&gt;0,"Sensitive account | ","")&amp;IF(AND(MAX(N(E20),N(F20))&gt;=Settings!$C$9,MOD(MAX(N(E20),N(F20)),Settings!$C$10)=0),"Round amount | ","")="","",LEFT(IF(K20="No","Does not balance | ","")&amp;IF(I20="","Not approved | ",IF(UPPER(TRIM(H20))=UPPER(TRIM(I20)),"Self-approved | ",""))&amp;IF(J20="","No support | ","")&amp;IF(WEEKDAY(B20,2)&gt;5,"Weekend posting | ","")&amp;IF(COUNTIF(Settings!$A$14:$A$43,B20)&gt;0,"Holiday posting | ","")&amp;IF(B20&gt;Settings!$C$8,"Posted after close | ","")&amp;IF(OR(B20&lt;Settings!$C$6,B20&gt;Settings!$C$7),"Outside period | ","")&amp;IF(COUNTIF(Settings!$E$14:$E$43,C20&amp;"")&gt;0,"Sensitive account | ","")&amp;IF(AND(MAX(N(E20),N(F20))&gt;=Settings!$C$9,MOD(MAX(N(E20),N(F20)),Settings!$C$10)=0),"Round amount | ",""),LEN(IF(K20="No","Does not balance | ","")&amp;IF(I20="","Not approved | ",IF(UPPER(TRIM(H20))=UPPER(TRIM(I20)),"Self-approved | ",""))&amp;IF(J20="","No support | ","")&amp;IF(WEEKDAY(B20,2)&gt;5,"Weekend posting | ","")&amp;IF(COUNTIF(Settings!$A$14:$A$43,B20)&gt;0,"Holiday posting | ","")&amp;IF(B20&gt;Settings!$C$8,"Posted after close | ","")&amp;IF(OR(B20&lt;Settings!$C$6,B20&gt;Settings!$C$7),"Outside period | ","")&amp;IF(COUNTIF(Settings!$E$14:$E$43,C20&amp;"")&gt;0,"Sensitive account | ","")&amp;IF(AND(MAX(N(E20),N(F20))&gt;=Settings!$C$9,MOD(MAX(N(E20),N(F20)),Settings!$C$10)=0),"Round amount | ",""))-3)))</f>
        <v/>
      </c>
      <c r="M20" s="21" t="str">
        <f aca="false">IF(A20="","",IF(COUNTIF($A$9:A20,A20)=1,MAX($M$8:M19)+1,""))</f>
        <v/>
      </c>
    </row>
    <row r="21" customFormat="false" ht="15" hidden="false" customHeight="false" outlineLevel="0" collapsed="false">
      <c r="A21" s="8"/>
      <c r="B21" s="17"/>
      <c r="C21" s="19"/>
      <c r="D21" s="8"/>
      <c r="E21" s="18"/>
      <c r="F21" s="18"/>
      <c r="G21" s="8"/>
      <c r="H21" s="8"/>
      <c r="I21" s="8"/>
      <c r="J21" s="8"/>
      <c r="K21" s="10" t="str">
        <f aca="false">IF(A21="","",IF(ABS(SUMIFS($E$9:$E$2008,$A$9:$A$2008,A21)-SUMIFS($F$9:$F$2008,$A$9:$A$2008,A21))&lt;0.5,"Yes","No"))</f>
        <v/>
      </c>
      <c r="L21" s="10" t="str">
        <f aca="false">IF(A21="","",IF(IF(K21="No","Does not balance | ","")&amp;IF(I21="","Not approved | ",IF(UPPER(TRIM(H21))=UPPER(TRIM(I21)),"Self-approved | ",""))&amp;IF(J21="","No support | ","")&amp;IF(WEEKDAY(B21,2)&gt;5,"Weekend posting | ","")&amp;IF(COUNTIF(Settings!$A$14:$A$43,B21)&gt;0,"Holiday posting | ","")&amp;IF(B21&gt;Settings!$C$8,"Posted after close | ","")&amp;IF(OR(B21&lt;Settings!$C$6,B21&gt;Settings!$C$7),"Outside period | ","")&amp;IF(COUNTIF(Settings!$E$14:$E$43,C21&amp;"")&gt;0,"Sensitive account | ","")&amp;IF(AND(MAX(N(E21),N(F21))&gt;=Settings!$C$9,MOD(MAX(N(E21),N(F21)),Settings!$C$10)=0),"Round amount | ","")="","",LEFT(IF(K21="No","Does not balance | ","")&amp;IF(I21="","Not approved | ",IF(UPPER(TRIM(H21))=UPPER(TRIM(I21)),"Self-approved | ",""))&amp;IF(J21="","No support | ","")&amp;IF(WEEKDAY(B21,2)&gt;5,"Weekend posting | ","")&amp;IF(COUNTIF(Settings!$A$14:$A$43,B21)&gt;0,"Holiday posting | ","")&amp;IF(B21&gt;Settings!$C$8,"Posted after close | ","")&amp;IF(OR(B21&lt;Settings!$C$6,B21&gt;Settings!$C$7),"Outside period | ","")&amp;IF(COUNTIF(Settings!$E$14:$E$43,C21&amp;"")&gt;0,"Sensitive account | ","")&amp;IF(AND(MAX(N(E21),N(F21))&gt;=Settings!$C$9,MOD(MAX(N(E21),N(F21)),Settings!$C$10)=0),"Round amount | ",""),LEN(IF(K21="No","Does not balance | ","")&amp;IF(I21="","Not approved | ",IF(UPPER(TRIM(H21))=UPPER(TRIM(I21)),"Self-approved | ",""))&amp;IF(J21="","No support | ","")&amp;IF(WEEKDAY(B21,2)&gt;5,"Weekend posting | ","")&amp;IF(COUNTIF(Settings!$A$14:$A$43,B21)&gt;0,"Holiday posting | ","")&amp;IF(B21&gt;Settings!$C$8,"Posted after close | ","")&amp;IF(OR(B21&lt;Settings!$C$6,B21&gt;Settings!$C$7),"Outside period | ","")&amp;IF(COUNTIF(Settings!$E$14:$E$43,C21&amp;"")&gt;0,"Sensitive account | ","")&amp;IF(AND(MAX(N(E21),N(F21))&gt;=Settings!$C$9,MOD(MAX(N(E21),N(F21)),Settings!$C$10)=0),"Round amount | ",""))-3)))</f>
        <v/>
      </c>
      <c r="M21" s="21" t="str">
        <f aca="false">IF(A21="","",IF(COUNTIF($A$9:A21,A21)=1,MAX($M$8:M20)+1,""))</f>
        <v/>
      </c>
    </row>
    <row r="22" customFormat="false" ht="15" hidden="false" customHeight="false" outlineLevel="0" collapsed="false">
      <c r="A22" s="8"/>
      <c r="B22" s="17"/>
      <c r="C22" s="19"/>
      <c r="D22" s="8"/>
      <c r="E22" s="18"/>
      <c r="F22" s="18"/>
      <c r="G22" s="8"/>
      <c r="H22" s="8"/>
      <c r="I22" s="8"/>
      <c r="J22" s="8"/>
      <c r="K22" s="10" t="str">
        <f aca="false">IF(A22="","",IF(ABS(SUMIFS($E$9:$E$2008,$A$9:$A$2008,A22)-SUMIFS($F$9:$F$2008,$A$9:$A$2008,A22))&lt;0.5,"Yes","No"))</f>
        <v/>
      </c>
      <c r="L22" s="10" t="str">
        <f aca="false">IF(A22="","",IF(IF(K22="No","Does not balance | ","")&amp;IF(I22="","Not approved | ",IF(UPPER(TRIM(H22))=UPPER(TRIM(I22)),"Self-approved | ",""))&amp;IF(J22="","No support | ","")&amp;IF(WEEKDAY(B22,2)&gt;5,"Weekend posting | ","")&amp;IF(COUNTIF(Settings!$A$14:$A$43,B22)&gt;0,"Holiday posting | ","")&amp;IF(B22&gt;Settings!$C$8,"Posted after close | ","")&amp;IF(OR(B22&lt;Settings!$C$6,B22&gt;Settings!$C$7),"Outside period | ","")&amp;IF(COUNTIF(Settings!$E$14:$E$43,C22&amp;"")&gt;0,"Sensitive account | ","")&amp;IF(AND(MAX(N(E22),N(F22))&gt;=Settings!$C$9,MOD(MAX(N(E22),N(F22)),Settings!$C$10)=0),"Round amount | ","")="","",LEFT(IF(K22="No","Does not balance | ","")&amp;IF(I22="","Not approved | ",IF(UPPER(TRIM(H22))=UPPER(TRIM(I22)),"Self-approved | ",""))&amp;IF(J22="","No support | ","")&amp;IF(WEEKDAY(B22,2)&gt;5,"Weekend posting | ","")&amp;IF(COUNTIF(Settings!$A$14:$A$43,B22)&gt;0,"Holiday posting | ","")&amp;IF(B22&gt;Settings!$C$8,"Posted after close | ","")&amp;IF(OR(B22&lt;Settings!$C$6,B22&gt;Settings!$C$7),"Outside period | ","")&amp;IF(COUNTIF(Settings!$E$14:$E$43,C22&amp;"")&gt;0,"Sensitive account | ","")&amp;IF(AND(MAX(N(E22),N(F22))&gt;=Settings!$C$9,MOD(MAX(N(E22),N(F22)),Settings!$C$10)=0),"Round amount | ",""),LEN(IF(K22="No","Does not balance | ","")&amp;IF(I22="","Not approved | ",IF(UPPER(TRIM(H22))=UPPER(TRIM(I22)),"Self-approved | ",""))&amp;IF(J22="","No support | ","")&amp;IF(WEEKDAY(B22,2)&gt;5,"Weekend posting | ","")&amp;IF(COUNTIF(Settings!$A$14:$A$43,B22)&gt;0,"Holiday posting | ","")&amp;IF(B22&gt;Settings!$C$8,"Posted after close | ","")&amp;IF(OR(B22&lt;Settings!$C$6,B22&gt;Settings!$C$7),"Outside period | ","")&amp;IF(COUNTIF(Settings!$E$14:$E$43,C22&amp;"")&gt;0,"Sensitive account | ","")&amp;IF(AND(MAX(N(E22),N(F22))&gt;=Settings!$C$9,MOD(MAX(N(E22),N(F22)),Settings!$C$10)=0),"Round amount | ",""))-3)))</f>
        <v/>
      </c>
      <c r="M22" s="21" t="str">
        <f aca="false">IF(A22="","",IF(COUNTIF($A$9:A22,A22)=1,MAX($M$8:M21)+1,""))</f>
        <v/>
      </c>
    </row>
    <row r="23" customFormat="false" ht="15" hidden="false" customHeight="false" outlineLevel="0" collapsed="false">
      <c r="A23" s="8"/>
      <c r="B23" s="17"/>
      <c r="C23" s="19"/>
      <c r="D23" s="8"/>
      <c r="E23" s="18"/>
      <c r="F23" s="18"/>
      <c r="G23" s="8"/>
      <c r="H23" s="8"/>
      <c r="I23" s="8"/>
      <c r="J23" s="8"/>
      <c r="K23" s="10" t="str">
        <f aca="false">IF(A23="","",IF(ABS(SUMIFS($E$9:$E$2008,$A$9:$A$2008,A23)-SUMIFS($F$9:$F$2008,$A$9:$A$2008,A23))&lt;0.5,"Yes","No"))</f>
        <v/>
      </c>
      <c r="L23" s="10" t="str">
        <f aca="false">IF(A23="","",IF(IF(K23="No","Does not balance | ","")&amp;IF(I23="","Not approved | ",IF(UPPER(TRIM(H23))=UPPER(TRIM(I23)),"Self-approved | ",""))&amp;IF(J23="","No support | ","")&amp;IF(WEEKDAY(B23,2)&gt;5,"Weekend posting | ","")&amp;IF(COUNTIF(Settings!$A$14:$A$43,B23)&gt;0,"Holiday posting | ","")&amp;IF(B23&gt;Settings!$C$8,"Posted after close | ","")&amp;IF(OR(B23&lt;Settings!$C$6,B23&gt;Settings!$C$7),"Outside period | ","")&amp;IF(COUNTIF(Settings!$E$14:$E$43,C23&amp;"")&gt;0,"Sensitive account | ","")&amp;IF(AND(MAX(N(E23),N(F23))&gt;=Settings!$C$9,MOD(MAX(N(E23),N(F23)),Settings!$C$10)=0),"Round amount | ","")="","",LEFT(IF(K23="No","Does not balance | ","")&amp;IF(I23="","Not approved | ",IF(UPPER(TRIM(H23))=UPPER(TRIM(I23)),"Self-approved | ",""))&amp;IF(J23="","No support | ","")&amp;IF(WEEKDAY(B23,2)&gt;5,"Weekend posting | ","")&amp;IF(COUNTIF(Settings!$A$14:$A$43,B23)&gt;0,"Holiday posting | ","")&amp;IF(B23&gt;Settings!$C$8,"Posted after close | ","")&amp;IF(OR(B23&lt;Settings!$C$6,B23&gt;Settings!$C$7),"Outside period | ","")&amp;IF(COUNTIF(Settings!$E$14:$E$43,C23&amp;"")&gt;0,"Sensitive account | ","")&amp;IF(AND(MAX(N(E23),N(F23))&gt;=Settings!$C$9,MOD(MAX(N(E23),N(F23)),Settings!$C$10)=0),"Round amount | ",""),LEN(IF(K23="No","Does not balance | ","")&amp;IF(I23="","Not approved | ",IF(UPPER(TRIM(H23))=UPPER(TRIM(I23)),"Self-approved | ",""))&amp;IF(J23="","No support | ","")&amp;IF(WEEKDAY(B23,2)&gt;5,"Weekend posting | ","")&amp;IF(COUNTIF(Settings!$A$14:$A$43,B23)&gt;0,"Holiday posting | ","")&amp;IF(B23&gt;Settings!$C$8,"Posted after close | ","")&amp;IF(OR(B23&lt;Settings!$C$6,B23&gt;Settings!$C$7),"Outside period | ","")&amp;IF(COUNTIF(Settings!$E$14:$E$43,C23&amp;"")&gt;0,"Sensitive account | ","")&amp;IF(AND(MAX(N(E23),N(F23))&gt;=Settings!$C$9,MOD(MAX(N(E23),N(F23)),Settings!$C$10)=0),"Round amount | ",""))-3)))</f>
        <v/>
      </c>
      <c r="M23" s="21" t="str">
        <f aca="false">IF(A23="","",IF(COUNTIF($A$9:A23,A23)=1,MAX($M$8:M22)+1,""))</f>
        <v/>
      </c>
    </row>
    <row r="24" customFormat="false" ht="15" hidden="false" customHeight="false" outlineLevel="0" collapsed="false">
      <c r="A24" s="8"/>
      <c r="B24" s="17"/>
      <c r="C24" s="19"/>
      <c r="D24" s="8"/>
      <c r="E24" s="18"/>
      <c r="F24" s="18"/>
      <c r="G24" s="8"/>
      <c r="H24" s="8"/>
      <c r="I24" s="8"/>
      <c r="J24" s="8"/>
      <c r="K24" s="10" t="str">
        <f aca="false">IF(A24="","",IF(ABS(SUMIFS($E$9:$E$2008,$A$9:$A$2008,A24)-SUMIFS($F$9:$F$2008,$A$9:$A$2008,A24))&lt;0.5,"Yes","No"))</f>
        <v/>
      </c>
      <c r="L24" s="10" t="str">
        <f aca="false">IF(A24="","",IF(IF(K24="No","Does not balance | ","")&amp;IF(I24="","Not approved | ",IF(UPPER(TRIM(H24))=UPPER(TRIM(I24)),"Self-approved | ",""))&amp;IF(J24="","No support | ","")&amp;IF(WEEKDAY(B24,2)&gt;5,"Weekend posting | ","")&amp;IF(COUNTIF(Settings!$A$14:$A$43,B24)&gt;0,"Holiday posting | ","")&amp;IF(B24&gt;Settings!$C$8,"Posted after close | ","")&amp;IF(OR(B24&lt;Settings!$C$6,B24&gt;Settings!$C$7),"Outside period | ","")&amp;IF(COUNTIF(Settings!$E$14:$E$43,C24&amp;"")&gt;0,"Sensitive account | ","")&amp;IF(AND(MAX(N(E24),N(F24))&gt;=Settings!$C$9,MOD(MAX(N(E24),N(F24)),Settings!$C$10)=0),"Round amount | ","")="","",LEFT(IF(K24="No","Does not balance | ","")&amp;IF(I24="","Not approved | ",IF(UPPER(TRIM(H24))=UPPER(TRIM(I24)),"Self-approved | ",""))&amp;IF(J24="","No support | ","")&amp;IF(WEEKDAY(B24,2)&gt;5,"Weekend posting | ","")&amp;IF(COUNTIF(Settings!$A$14:$A$43,B24)&gt;0,"Holiday posting | ","")&amp;IF(B24&gt;Settings!$C$8,"Posted after close | ","")&amp;IF(OR(B24&lt;Settings!$C$6,B24&gt;Settings!$C$7),"Outside period | ","")&amp;IF(COUNTIF(Settings!$E$14:$E$43,C24&amp;"")&gt;0,"Sensitive account | ","")&amp;IF(AND(MAX(N(E24),N(F24))&gt;=Settings!$C$9,MOD(MAX(N(E24),N(F24)),Settings!$C$10)=0),"Round amount | ",""),LEN(IF(K24="No","Does not balance | ","")&amp;IF(I24="","Not approved | ",IF(UPPER(TRIM(H24))=UPPER(TRIM(I24)),"Self-approved | ",""))&amp;IF(J24="","No support | ","")&amp;IF(WEEKDAY(B24,2)&gt;5,"Weekend posting | ","")&amp;IF(COUNTIF(Settings!$A$14:$A$43,B24)&gt;0,"Holiday posting | ","")&amp;IF(B24&gt;Settings!$C$8,"Posted after close | ","")&amp;IF(OR(B24&lt;Settings!$C$6,B24&gt;Settings!$C$7),"Outside period | ","")&amp;IF(COUNTIF(Settings!$E$14:$E$43,C24&amp;"")&gt;0,"Sensitive account | ","")&amp;IF(AND(MAX(N(E24),N(F24))&gt;=Settings!$C$9,MOD(MAX(N(E24),N(F24)),Settings!$C$10)=0),"Round amount | ",""))-3)))</f>
        <v/>
      </c>
      <c r="M24" s="21" t="str">
        <f aca="false">IF(A24="","",IF(COUNTIF($A$9:A24,A24)=1,MAX($M$8:M23)+1,""))</f>
        <v/>
      </c>
    </row>
    <row r="25" customFormat="false" ht="15" hidden="false" customHeight="false" outlineLevel="0" collapsed="false">
      <c r="A25" s="8"/>
      <c r="B25" s="17"/>
      <c r="C25" s="19"/>
      <c r="D25" s="8"/>
      <c r="E25" s="18"/>
      <c r="F25" s="18"/>
      <c r="G25" s="8"/>
      <c r="H25" s="8"/>
      <c r="I25" s="8"/>
      <c r="J25" s="8"/>
      <c r="K25" s="10" t="str">
        <f aca="false">IF(A25="","",IF(ABS(SUMIFS($E$9:$E$2008,$A$9:$A$2008,A25)-SUMIFS($F$9:$F$2008,$A$9:$A$2008,A25))&lt;0.5,"Yes","No"))</f>
        <v/>
      </c>
      <c r="L25" s="10" t="str">
        <f aca="false">IF(A25="","",IF(IF(K25="No","Does not balance | ","")&amp;IF(I25="","Not approved | ",IF(UPPER(TRIM(H25))=UPPER(TRIM(I25)),"Self-approved | ",""))&amp;IF(J25="","No support | ","")&amp;IF(WEEKDAY(B25,2)&gt;5,"Weekend posting | ","")&amp;IF(COUNTIF(Settings!$A$14:$A$43,B25)&gt;0,"Holiday posting | ","")&amp;IF(B25&gt;Settings!$C$8,"Posted after close | ","")&amp;IF(OR(B25&lt;Settings!$C$6,B25&gt;Settings!$C$7),"Outside period | ","")&amp;IF(COUNTIF(Settings!$E$14:$E$43,C25&amp;"")&gt;0,"Sensitive account | ","")&amp;IF(AND(MAX(N(E25),N(F25))&gt;=Settings!$C$9,MOD(MAX(N(E25),N(F25)),Settings!$C$10)=0),"Round amount | ","")="","",LEFT(IF(K25="No","Does not balance | ","")&amp;IF(I25="","Not approved | ",IF(UPPER(TRIM(H25))=UPPER(TRIM(I25)),"Self-approved | ",""))&amp;IF(J25="","No support | ","")&amp;IF(WEEKDAY(B25,2)&gt;5,"Weekend posting | ","")&amp;IF(COUNTIF(Settings!$A$14:$A$43,B25)&gt;0,"Holiday posting | ","")&amp;IF(B25&gt;Settings!$C$8,"Posted after close | ","")&amp;IF(OR(B25&lt;Settings!$C$6,B25&gt;Settings!$C$7),"Outside period | ","")&amp;IF(COUNTIF(Settings!$E$14:$E$43,C25&amp;"")&gt;0,"Sensitive account | ","")&amp;IF(AND(MAX(N(E25),N(F25))&gt;=Settings!$C$9,MOD(MAX(N(E25),N(F25)),Settings!$C$10)=0),"Round amount | ",""),LEN(IF(K25="No","Does not balance | ","")&amp;IF(I25="","Not approved | ",IF(UPPER(TRIM(H25))=UPPER(TRIM(I25)),"Self-approved | ",""))&amp;IF(J25="","No support | ","")&amp;IF(WEEKDAY(B25,2)&gt;5,"Weekend posting | ","")&amp;IF(COUNTIF(Settings!$A$14:$A$43,B25)&gt;0,"Holiday posting | ","")&amp;IF(B25&gt;Settings!$C$8,"Posted after close | ","")&amp;IF(OR(B25&lt;Settings!$C$6,B25&gt;Settings!$C$7),"Outside period | ","")&amp;IF(COUNTIF(Settings!$E$14:$E$43,C25&amp;"")&gt;0,"Sensitive account | ","")&amp;IF(AND(MAX(N(E25),N(F25))&gt;=Settings!$C$9,MOD(MAX(N(E25),N(F25)),Settings!$C$10)=0),"Round amount | ",""))-3)))</f>
        <v/>
      </c>
      <c r="M25" s="21" t="str">
        <f aca="false">IF(A25="","",IF(COUNTIF($A$9:A25,A25)=1,MAX($M$8:M24)+1,""))</f>
        <v/>
      </c>
    </row>
    <row r="26" customFormat="false" ht="15" hidden="false" customHeight="false" outlineLevel="0" collapsed="false">
      <c r="A26" s="8"/>
      <c r="B26" s="17"/>
      <c r="C26" s="19"/>
      <c r="D26" s="8"/>
      <c r="E26" s="18"/>
      <c r="F26" s="18"/>
      <c r="G26" s="8"/>
      <c r="H26" s="8"/>
      <c r="I26" s="8"/>
      <c r="J26" s="8"/>
      <c r="K26" s="10" t="str">
        <f aca="false">IF(A26="","",IF(ABS(SUMIFS($E$9:$E$2008,$A$9:$A$2008,A26)-SUMIFS($F$9:$F$2008,$A$9:$A$2008,A26))&lt;0.5,"Yes","No"))</f>
        <v/>
      </c>
      <c r="L26" s="10" t="str">
        <f aca="false">IF(A26="","",IF(IF(K26="No","Does not balance | ","")&amp;IF(I26="","Not approved | ",IF(UPPER(TRIM(H26))=UPPER(TRIM(I26)),"Self-approved | ",""))&amp;IF(J26="","No support | ","")&amp;IF(WEEKDAY(B26,2)&gt;5,"Weekend posting | ","")&amp;IF(COUNTIF(Settings!$A$14:$A$43,B26)&gt;0,"Holiday posting | ","")&amp;IF(B26&gt;Settings!$C$8,"Posted after close | ","")&amp;IF(OR(B26&lt;Settings!$C$6,B26&gt;Settings!$C$7),"Outside period | ","")&amp;IF(COUNTIF(Settings!$E$14:$E$43,C26&amp;"")&gt;0,"Sensitive account | ","")&amp;IF(AND(MAX(N(E26),N(F26))&gt;=Settings!$C$9,MOD(MAX(N(E26),N(F26)),Settings!$C$10)=0),"Round amount | ","")="","",LEFT(IF(K26="No","Does not balance | ","")&amp;IF(I26="","Not approved | ",IF(UPPER(TRIM(H26))=UPPER(TRIM(I26)),"Self-approved | ",""))&amp;IF(J26="","No support | ","")&amp;IF(WEEKDAY(B26,2)&gt;5,"Weekend posting | ","")&amp;IF(COUNTIF(Settings!$A$14:$A$43,B26)&gt;0,"Holiday posting | ","")&amp;IF(B26&gt;Settings!$C$8,"Posted after close | ","")&amp;IF(OR(B26&lt;Settings!$C$6,B26&gt;Settings!$C$7),"Outside period | ","")&amp;IF(COUNTIF(Settings!$E$14:$E$43,C26&amp;"")&gt;0,"Sensitive account | ","")&amp;IF(AND(MAX(N(E26),N(F26))&gt;=Settings!$C$9,MOD(MAX(N(E26),N(F26)),Settings!$C$10)=0),"Round amount | ",""),LEN(IF(K26="No","Does not balance | ","")&amp;IF(I26="","Not approved | ",IF(UPPER(TRIM(H26))=UPPER(TRIM(I26)),"Self-approved | ",""))&amp;IF(J26="","No support | ","")&amp;IF(WEEKDAY(B26,2)&gt;5,"Weekend posting | ","")&amp;IF(COUNTIF(Settings!$A$14:$A$43,B26)&gt;0,"Holiday posting | ","")&amp;IF(B26&gt;Settings!$C$8,"Posted after close | ","")&amp;IF(OR(B26&lt;Settings!$C$6,B26&gt;Settings!$C$7),"Outside period | ","")&amp;IF(COUNTIF(Settings!$E$14:$E$43,C26&amp;"")&gt;0,"Sensitive account | ","")&amp;IF(AND(MAX(N(E26),N(F26))&gt;=Settings!$C$9,MOD(MAX(N(E26),N(F26)),Settings!$C$10)=0),"Round amount | ",""))-3)))</f>
        <v/>
      </c>
      <c r="M26" s="21" t="str">
        <f aca="false">IF(A26="","",IF(COUNTIF($A$9:A26,A26)=1,MAX($M$8:M25)+1,""))</f>
        <v/>
      </c>
    </row>
    <row r="27" customFormat="false" ht="15" hidden="false" customHeight="false" outlineLevel="0" collapsed="false">
      <c r="A27" s="8"/>
      <c r="B27" s="17"/>
      <c r="C27" s="19"/>
      <c r="D27" s="8"/>
      <c r="E27" s="18"/>
      <c r="F27" s="18"/>
      <c r="G27" s="8"/>
      <c r="H27" s="8"/>
      <c r="I27" s="8"/>
      <c r="J27" s="8"/>
      <c r="K27" s="10" t="str">
        <f aca="false">IF(A27="","",IF(ABS(SUMIFS($E$9:$E$2008,$A$9:$A$2008,A27)-SUMIFS($F$9:$F$2008,$A$9:$A$2008,A27))&lt;0.5,"Yes","No"))</f>
        <v/>
      </c>
      <c r="L27" s="10" t="str">
        <f aca="false">IF(A27="","",IF(IF(K27="No","Does not balance | ","")&amp;IF(I27="","Not approved | ",IF(UPPER(TRIM(H27))=UPPER(TRIM(I27)),"Self-approved | ",""))&amp;IF(J27="","No support | ","")&amp;IF(WEEKDAY(B27,2)&gt;5,"Weekend posting | ","")&amp;IF(COUNTIF(Settings!$A$14:$A$43,B27)&gt;0,"Holiday posting | ","")&amp;IF(B27&gt;Settings!$C$8,"Posted after close | ","")&amp;IF(OR(B27&lt;Settings!$C$6,B27&gt;Settings!$C$7),"Outside period | ","")&amp;IF(COUNTIF(Settings!$E$14:$E$43,C27&amp;"")&gt;0,"Sensitive account | ","")&amp;IF(AND(MAX(N(E27),N(F27))&gt;=Settings!$C$9,MOD(MAX(N(E27),N(F27)),Settings!$C$10)=0),"Round amount | ","")="","",LEFT(IF(K27="No","Does not balance | ","")&amp;IF(I27="","Not approved | ",IF(UPPER(TRIM(H27))=UPPER(TRIM(I27)),"Self-approved | ",""))&amp;IF(J27="","No support | ","")&amp;IF(WEEKDAY(B27,2)&gt;5,"Weekend posting | ","")&amp;IF(COUNTIF(Settings!$A$14:$A$43,B27)&gt;0,"Holiday posting | ","")&amp;IF(B27&gt;Settings!$C$8,"Posted after close | ","")&amp;IF(OR(B27&lt;Settings!$C$6,B27&gt;Settings!$C$7),"Outside period | ","")&amp;IF(COUNTIF(Settings!$E$14:$E$43,C27&amp;"")&gt;0,"Sensitive account | ","")&amp;IF(AND(MAX(N(E27),N(F27))&gt;=Settings!$C$9,MOD(MAX(N(E27),N(F27)),Settings!$C$10)=0),"Round amount | ",""),LEN(IF(K27="No","Does not balance | ","")&amp;IF(I27="","Not approved | ",IF(UPPER(TRIM(H27))=UPPER(TRIM(I27)),"Self-approved | ",""))&amp;IF(J27="","No support | ","")&amp;IF(WEEKDAY(B27,2)&gt;5,"Weekend posting | ","")&amp;IF(COUNTIF(Settings!$A$14:$A$43,B27)&gt;0,"Holiday posting | ","")&amp;IF(B27&gt;Settings!$C$8,"Posted after close | ","")&amp;IF(OR(B27&lt;Settings!$C$6,B27&gt;Settings!$C$7),"Outside period | ","")&amp;IF(COUNTIF(Settings!$E$14:$E$43,C27&amp;"")&gt;0,"Sensitive account | ","")&amp;IF(AND(MAX(N(E27),N(F27))&gt;=Settings!$C$9,MOD(MAX(N(E27),N(F27)),Settings!$C$10)=0),"Round amount | ",""))-3)))</f>
        <v/>
      </c>
      <c r="M27" s="21" t="str">
        <f aca="false">IF(A27="","",IF(COUNTIF($A$9:A27,A27)=1,MAX($M$8:M26)+1,""))</f>
        <v/>
      </c>
    </row>
    <row r="28" customFormat="false" ht="15" hidden="false" customHeight="false" outlineLevel="0" collapsed="false">
      <c r="A28" s="8"/>
      <c r="B28" s="17"/>
      <c r="C28" s="19"/>
      <c r="D28" s="8"/>
      <c r="E28" s="18"/>
      <c r="F28" s="18"/>
      <c r="G28" s="8"/>
      <c r="H28" s="8"/>
      <c r="I28" s="8"/>
      <c r="J28" s="8"/>
      <c r="K28" s="10" t="str">
        <f aca="false">IF(A28="","",IF(ABS(SUMIFS($E$9:$E$2008,$A$9:$A$2008,A28)-SUMIFS($F$9:$F$2008,$A$9:$A$2008,A28))&lt;0.5,"Yes","No"))</f>
        <v/>
      </c>
      <c r="L28" s="10" t="str">
        <f aca="false">IF(A28="","",IF(IF(K28="No","Does not balance | ","")&amp;IF(I28="","Not approved | ",IF(UPPER(TRIM(H28))=UPPER(TRIM(I28)),"Self-approved | ",""))&amp;IF(J28="","No support | ","")&amp;IF(WEEKDAY(B28,2)&gt;5,"Weekend posting | ","")&amp;IF(COUNTIF(Settings!$A$14:$A$43,B28)&gt;0,"Holiday posting | ","")&amp;IF(B28&gt;Settings!$C$8,"Posted after close | ","")&amp;IF(OR(B28&lt;Settings!$C$6,B28&gt;Settings!$C$7),"Outside period | ","")&amp;IF(COUNTIF(Settings!$E$14:$E$43,C28&amp;"")&gt;0,"Sensitive account | ","")&amp;IF(AND(MAX(N(E28),N(F28))&gt;=Settings!$C$9,MOD(MAX(N(E28),N(F28)),Settings!$C$10)=0),"Round amount | ","")="","",LEFT(IF(K28="No","Does not balance | ","")&amp;IF(I28="","Not approved | ",IF(UPPER(TRIM(H28))=UPPER(TRIM(I28)),"Self-approved | ",""))&amp;IF(J28="","No support | ","")&amp;IF(WEEKDAY(B28,2)&gt;5,"Weekend posting | ","")&amp;IF(COUNTIF(Settings!$A$14:$A$43,B28)&gt;0,"Holiday posting | ","")&amp;IF(B28&gt;Settings!$C$8,"Posted after close | ","")&amp;IF(OR(B28&lt;Settings!$C$6,B28&gt;Settings!$C$7),"Outside period | ","")&amp;IF(COUNTIF(Settings!$E$14:$E$43,C28&amp;"")&gt;0,"Sensitive account | ","")&amp;IF(AND(MAX(N(E28),N(F28))&gt;=Settings!$C$9,MOD(MAX(N(E28),N(F28)),Settings!$C$10)=0),"Round amount | ",""),LEN(IF(K28="No","Does not balance | ","")&amp;IF(I28="","Not approved | ",IF(UPPER(TRIM(H28))=UPPER(TRIM(I28)),"Self-approved | ",""))&amp;IF(J28="","No support | ","")&amp;IF(WEEKDAY(B28,2)&gt;5,"Weekend posting | ","")&amp;IF(COUNTIF(Settings!$A$14:$A$43,B28)&gt;0,"Holiday posting | ","")&amp;IF(B28&gt;Settings!$C$8,"Posted after close | ","")&amp;IF(OR(B28&lt;Settings!$C$6,B28&gt;Settings!$C$7),"Outside period | ","")&amp;IF(COUNTIF(Settings!$E$14:$E$43,C28&amp;"")&gt;0,"Sensitive account | ","")&amp;IF(AND(MAX(N(E28),N(F28))&gt;=Settings!$C$9,MOD(MAX(N(E28),N(F28)),Settings!$C$10)=0),"Round amount | ",""))-3)))</f>
        <v/>
      </c>
      <c r="M28" s="21" t="str">
        <f aca="false">IF(A28="","",IF(COUNTIF($A$9:A28,A28)=1,MAX($M$8:M27)+1,""))</f>
        <v/>
      </c>
    </row>
    <row r="29" customFormat="false" ht="15" hidden="false" customHeight="false" outlineLevel="0" collapsed="false">
      <c r="A29" s="8"/>
      <c r="B29" s="17"/>
      <c r="C29" s="19"/>
      <c r="D29" s="8"/>
      <c r="E29" s="18"/>
      <c r="F29" s="18"/>
      <c r="G29" s="8"/>
      <c r="H29" s="8"/>
      <c r="I29" s="8"/>
      <c r="J29" s="8"/>
      <c r="K29" s="10" t="str">
        <f aca="false">IF(A29="","",IF(ABS(SUMIFS($E$9:$E$2008,$A$9:$A$2008,A29)-SUMIFS($F$9:$F$2008,$A$9:$A$2008,A29))&lt;0.5,"Yes","No"))</f>
        <v/>
      </c>
      <c r="L29" s="10" t="str">
        <f aca="false">IF(A29="","",IF(IF(K29="No","Does not balance | ","")&amp;IF(I29="","Not approved | ",IF(UPPER(TRIM(H29))=UPPER(TRIM(I29)),"Self-approved | ",""))&amp;IF(J29="","No support | ","")&amp;IF(WEEKDAY(B29,2)&gt;5,"Weekend posting | ","")&amp;IF(COUNTIF(Settings!$A$14:$A$43,B29)&gt;0,"Holiday posting | ","")&amp;IF(B29&gt;Settings!$C$8,"Posted after close | ","")&amp;IF(OR(B29&lt;Settings!$C$6,B29&gt;Settings!$C$7),"Outside period | ","")&amp;IF(COUNTIF(Settings!$E$14:$E$43,C29&amp;"")&gt;0,"Sensitive account | ","")&amp;IF(AND(MAX(N(E29),N(F29))&gt;=Settings!$C$9,MOD(MAX(N(E29),N(F29)),Settings!$C$10)=0),"Round amount | ","")="","",LEFT(IF(K29="No","Does not balance | ","")&amp;IF(I29="","Not approved | ",IF(UPPER(TRIM(H29))=UPPER(TRIM(I29)),"Self-approved | ",""))&amp;IF(J29="","No support | ","")&amp;IF(WEEKDAY(B29,2)&gt;5,"Weekend posting | ","")&amp;IF(COUNTIF(Settings!$A$14:$A$43,B29)&gt;0,"Holiday posting | ","")&amp;IF(B29&gt;Settings!$C$8,"Posted after close | ","")&amp;IF(OR(B29&lt;Settings!$C$6,B29&gt;Settings!$C$7),"Outside period | ","")&amp;IF(COUNTIF(Settings!$E$14:$E$43,C29&amp;"")&gt;0,"Sensitive account | ","")&amp;IF(AND(MAX(N(E29),N(F29))&gt;=Settings!$C$9,MOD(MAX(N(E29),N(F29)),Settings!$C$10)=0),"Round amount | ",""),LEN(IF(K29="No","Does not balance | ","")&amp;IF(I29="","Not approved | ",IF(UPPER(TRIM(H29))=UPPER(TRIM(I29)),"Self-approved | ",""))&amp;IF(J29="","No support | ","")&amp;IF(WEEKDAY(B29,2)&gt;5,"Weekend posting | ","")&amp;IF(COUNTIF(Settings!$A$14:$A$43,B29)&gt;0,"Holiday posting | ","")&amp;IF(B29&gt;Settings!$C$8,"Posted after close | ","")&amp;IF(OR(B29&lt;Settings!$C$6,B29&gt;Settings!$C$7),"Outside period | ","")&amp;IF(COUNTIF(Settings!$E$14:$E$43,C29&amp;"")&gt;0,"Sensitive account | ","")&amp;IF(AND(MAX(N(E29),N(F29))&gt;=Settings!$C$9,MOD(MAX(N(E29),N(F29)),Settings!$C$10)=0),"Round amount | ",""))-3)))</f>
        <v/>
      </c>
      <c r="M29" s="21" t="str">
        <f aca="false">IF(A29="","",IF(COUNTIF($A$9:A29,A29)=1,MAX($M$8:M28)+1,""))</f>
        <v/>
      </c>
    </row>
    <row r="30" customFormat="false" ht="15" hidden="false" customHeight="false" outlineLevel="0" collapsed="false">
      <c r="A30" s="8"/>
      <c r="B30" s="17"/>
      <c r="C30" s="19"/>
      <c r="D30" s="8"/>
      <c r="E30" s="18"/>
      <c r="F30" s="18"/>
      <c r="G30" s="8"/>
      <c r="H30" s="8"/>
      <c r="I30" s="8"/>
      <c r="J30" s="8"/>
      <c r="K30" s="10" t="str">
        <f aca="false">IF(A30="","",IF(ABS(SUMIFS($E$9:$E$2008,$A$9:$A$2008,A30)-SUMIFS($F$9:$F$2008,$A$9:$A$2008,A30))&lt;0.5,"Yes","No"))</f>
        <v/>
      </c>
      <c r="L30" s="10" t="str">
        <f aca="false">IF(A30="","",IF(IF(K30="No","Does not balance | ","")&amp;IF(I30="","Not approved | ",IF(UPPER(TRIM(H30))=UPPER(TRIM(I30)),"Self-approved | ",""))&amp;IF(J30="","No support | ","")&amp;IF(WEEKDAY(B30,2)&gt;5,"Weekend posting | ","")&amp;IF(COUNTIF(Settings!$A$14:$A$43,B30)&gt;0,"Holiday posting | ","")&amp;IF(B30&gt;Settings!$C$8,"Posted after close | ","")&amp;IF(OR(B30&lt;Settings!$C$6,B30&gt;Settings!$C$7),"Outside period | ","")&amp;IF(COUNTIF(Settings!$E$14:$E$43,C30&amp;"")&gt;0,"Sensitive account | ","")&amp;IF(AND(MAX(N(E30),N(F30))&gt;=Settings!$C$9,MOD(MAX(N(E30),N(F30)),Settings!$C$10)=0),"Round amount | ","")="","",LEFT(IF(K30="No","Does not balance | ","")&amp;IF(I30="","Not approved | ",IF(UPPER(TRIM(H30))=UPPER(TRIM(I30)),"Self-approved | ",""))&amp;IF(J30="","No support | ","")&amp;IF(WEEKDAY(B30,2)&gt;5,"Weekend posting | ","")&amp;IF(COUNTIF(Settings!$A$14:$A$43,B30)&gt;0,"Holiday posting | ","")&amp;IF(B30&gt;Settings!$C$8,"Posted after close | ","")&amp;IF(OR(B30&lt;Settings!$C$6,B30&gt;Settings!$C$7),"Outside period | ","")&amp;IF(COUNTIF(Settings!$E$14:$E$43,C30&amp;"")&gt;0,"Sensitive account | ","")&amp;IF(AND(MAX(N(E30),N(F30))&gt;=Settings!$C$9,MOD(MAX(N(E30),N(F30)),Settings!$C$10)=0),"Round amount | ",""),LEN(IF(K30="No","Does not balance | ","")&amp;IF(I30="","Not approved | ",IF(UPPER(TRIM(H30))=UPPER(TRIM(I30)),"Self-approved | ",""))&amp;IF(J30="","No support | ","")&amp;IF(WEEKDAY(B30,2)&gt;5,"Weekend posting | ","")&amp;IF(COUNTIF(Settings!$A$14:$A$43,B30)&gt;0,"Holiday posting | ","")&amp;IF(B30&gt;Settings!$C$8,"Posted after close | ","")&amp;IF(OR(B30&lt;Settings!$C$6,B30&gt;Settings!$C$7),"Outside period | ","")&amp;IF(COUNTIF(Settings!$E$14:$E$43,C30&amp;"")&gt;0,"Sensitive account | ","")&amp;IF(AND(MAX(N(E30),N(F30))&gt;=Settings!$C$9,MOD(MAX(N(E30),N(F30)),Settings!$C$10)=0),"Round amount | ",""))-3)))</f>
        <v/>
      </c>
      <c r="M30" s="21" t="str">
        <f aca="false">IF(A30="","",IF(COUNTIF($A$9:A30,A30)=1,MAX($M$8:M29)+1,""))</f>
        <v/>
      </c>
    </row>
    <row r="31" customFormat="false" ht="15" hidden="false" customHeight="false" outlineLevel="0" collapsed="false">
      <c r="A31" s="8"/>
      <c r="B31" s="17"/>
      <c r="C31" s="19"/>
      <c r="D31" s="8"/>
      <c r="E31" s="18"/>
      <c r="F31" s="18"/>
      <c r="G31" s="8"/>
      <c r="H31" s="8"/>
      <c r="I31" s="8"/>
      <c r="J31" s="8"/>
      <c r="K31" s="10" t="str">
        <f aca="false">IF(A31="","",IF(ABS(SUMIFS($E$9:$E$2008,$A$9:$A$2008,A31)-SUMIFS($F$9:$F$2008,$A$9:$A$2008,A31))&lt;0.5,"Yes","No"))</f>
        <v/>
      </c>
      <c r="L31" s="10" t="str">
        <f aca="false">IF(A31="","",IF(IF(K31="No","Does not balance | ","")&amp;IF(I31="","Not approved | ",IF(UPPER(TRIM(H31))=UPPER(TRIM(I31)),"Self-approved | ",""))&amp;IF(J31="","No support | ","")&amp;IF(WEEKDAY(B31,2)&gt;5,"Weekend posting | ","")&amp;IF(COUNTIF(Settings!$A$14:$A$43,B31)&gt;0,"Holiday posting | ","")&amp;IF(B31&gt;Settings!$C$8,"Posted after close | ","")&amp;IF(OR(B31&lt;Settings!$C$6,B31&gt;Settings!$C$7),"Outside period | ","")&amp;IF(COUNTIF(Settings!$E$14:$E$43,C31&amp;"")&gt;0,"Sensitive account | ","")&amp;IF(AND(MAX(N(E31),N(F31))&gt;=Settings!$C$9,MOD(MAX(N(E31),N(F31)),Settings!$C$10)=0),"Round amount | ","")="","",LEFT(IF(K31="No","Does not balance | ","")&amp;IF(I31="","Not approved | ",IF(UPPER(TRIM(H31))=UPPER(TRIM(I31)),"Self-approved | ",""))&amp;IF(J31="","No support | ","")&amp;IF(WEEKDAY(B31,2)&gt;5,"Weekend posting | ","")&amp;IF(COUNTIF(Settings!$A$14:$A$43,B31)&gt;0,"Holiday posting | ","")&amp;IF(B31&gt;Settings!$C$8,"Posted after close | ","")&amp;IF(OR(B31&lt;Settings!$C$6,B31&gt;Settings!$C$7),"Outside period | ","")&amp;IF(COUNTIF(Settings!$E$14:$E$43,C31&amp;"")&gt;0,"Sensitive account | ","")&amp;IF(AND(MAX(N(E31),N(F31))&gt;=Settings!$C$9,MOD(MAX(N(E31),N(F31)),Settings!$C$10)=0),"Round amount | ",""),LEN(IF(K31="No","Does not balance | ","")&amp;IF(I31="","Not approved | ",IF(UPPER(TRIM(H31))=UPPER(TRIM(I31)),"Self-approved | ",""))&amp;IF(J31="","No support | ","")&amp;IF(WEEKDAY(B31,2)&gt;5,"Weekend posting | ","")&amp;IF(COUNTIF(Settings!$A$14:$A$43,B31)&gt;0,"Holiday posting | ","")&amp;IF(B31&gt;Settings!$C$8,"Posted after close | ","")&amp;IF(OR(B31&lt;Settings!$C$6,B31&gt;Settings!$C$7),"Outside period | ","")&amp;IF(COUNTIF(Settings!$E$14:$E$43,C31&amp;"")&gt;0,"Sensitive account | ","")&amp;IF(AND(MAX(N(E31),N(F31))&gt;=Settings!$C$9,MOD(MAX(N(E31),N(F31)),Settings!$C$10)=0),"Round amount | ",""))-3)))</f>
        <v/>
      </c>
      <c r="M31" s="21" t="str">
        <f aca="false">IF(A31="","",IF(COUNTIF($A$9:A31,A31)=1,MAX($M$8:M30)+1,""))</f>
        <v/>
      </c>
    </row>
    <row r="32" customFormat="false" ht="15" hidden="false" customHeight="false" outlineLevel="0" collapsed="false">
      <c r="A32" s="8"/>
      <c r="B32" s="17"/>
      <c r="C32" s="19"/>
      <c r="D32" s="8"/>
      <c r="E32" s="18"/>
      <c r="F32" s="18"/>
      <c r="G32" s="8"/>
      <c r="H32" s="8"/>
      <c r="I32" s="8"/>
      <c r="J32" s="8"/>
      <c r="K32" s="10" t="str">
        <f aca="false">IF(A32="","",IF(ABS(SUMIFS($E$9:$E$2008,$A$9:$A$2008,A32)-SUMIFS($F$9:$F$2008,$A$9:$A$2008,A32))&lt;0.5,"Yes","No"))</f>
        <v/>
      </c>
      <c r="L32" s="10" t="str">
        <f aca="false">IF(A32="","",IF(IF(K32="No","Does not balance | ","")&amp;IF(I32="","Not approved | ",IF(UPPER(TRIM(H32))=UPPER(TRIM(I32)),"Self-approved | ",""))&amp;IF(J32="","No support | ","")&amp;IF(WEEKDAY(B32,2)&gt;5,"Weekend posting | ","")&amp;IF(COUNTIF(Settings!$A$14:$A$43,B32)&gt;0,"Holiday posting | ","")&amp;IF(B32&gt;Settings!$C$8,"Posted after close | ","")&amp;IF(OR(B32&lt;Settings!$C$6,B32&gt;Settings!$C$7),"Outside period | ","")&amp;IF(COUNTIF(Settings!$E$14:$E$43,C32&amp;"")&gt;0,"Sensitive account | ","")&amp;IF(AND(MAX(N(E32),N(F32))&gt;=Settings!$C$9,MOD(MAX(N(E32),N(F32)),Settings!$C$10)=0),"Round amount | ","")="","",LEFT(IF(K32="No","Does not balance | ","")&amp;IF(I32="","Not approved | ",IF(UPPER(TRIM(H32))=UPPER(TRIM(I32)),"Self-approved | ",""))&amp;IF(J32="","No support | ","")&amp;IF(WEEKDAY(B32,2)&gt;5,"Weekend posting | ","")&amp;IF(COUNTIF(Settings!$A$14:$A$43,B32)&gt;0,"Holiday posting | ","")&amp;IF(B32&gt;Settings!$C$8,"Posted after close | ","")&amp;IF(OR(B32&lt;Settings!$C$6,B32&gt;Settings!$C$7),"Outside period | ","")&amp;IF(COUNTIF(Settings!$E$14:$E$43,C32&amp;"")&gt;0,"Sensitive account | ","")&amp;IF(AND(MAX(N(E32),N(F32))&gt;=Settings!$C$9,MOD(MAX(N(E32),N(F32)),Settings!$C$10)=0),"Round amount | ",""),LEN(IF(K32="No","Does not balance | ","")&amp;IF(I32="","Not approved | ",IF(UPPER(TRIM(H32))=UPPER(TRIM(I32)),"Self-approved | ",""))&amp;IF(J32="","No support | ","")&amp;IF(WEEKDAY(B32,2)&gt;5,"Weekend posting | ","")&amp;IF(COUNTIF(Settings!$A$14:$A$43,B32)&gt;0,"Holiday posting | ","")&amp;IF(B32&gt;Settings!$C$8,"Posted after close | ","")&amp;IF(OR(B32&lt;Settings!$C$6,B32&gt;Settings!$C$7),"Outside period | ","")&amp;IF(COUNTIF(Settings!$E$14:$E$43,C32&amp;"")&gt;0,"Sensitive account | ","")&amp;IF(AND(MAX(N(E32),N(F32))&gt;=Settings!$C$9,MOD(MAX(N(E32),N(F32)),Settings!$C$10)=0),"Round amount | ",""))-3)))</f>
        <v/>
      </c>
      <c r="M32" s="21" t="str">
        <f aca="false">IF(A32="","",IF(COUNTIF($A$9:A32,A32)=1,MAX($M$8:M31)+1,""))</f>
        <v/>
      </c>
    </row>
    <row r="33" customFormat="false" ht="15" hidden="false" customHeight="false" outlineLevel="0" collapsed="false">
      <c r="A33" s="8"/>
      <c r="B33" s="17"/>
      <c r="C33" s="19"/>
      <c r="D33" s="8"/>
      <c r="E33" s="18"/>
      <c r="F33" s="18"/>
      <c r="G33" s="8"/>
      <c r="H33" s="8"/>
      <c r="I33" s="8"/>
      <c r="J33" s="8"/>
      <c r="K33" s="10" t="str">
        <f aca="false">IF(A33="","",IF(ABS(SUMIFS($E$9:$E$2008,$A$9:$A$2008,A33)-SUMIFS($F$9:$F$2008,$A$9:$A$2008,A33))&lt;0.5,"Yes","No"))</f>
        <v/>
      </c>
      <c r="L33" s="10" t="str">
        <f aca="false">IF(A33="","",IF(IF(K33="No","Does not balance | ","")&amp;IF(I33="","Not approved | ",IF(UPPER(TRIM(H33))=UPPER(TRIM(I33)),"Self-approved | ",""))&amp;IF(J33="","No support | ","")&amp;IF(WEEKDAY(B33,2)&gt;5,"Weekend posting | ","")&amp;IF(COUNTIF(Settings!$A$14:$A$43,B33)&gt;0,"Holiday posting | ","")&amp;IF(B33&gt;Settings!$C$8,"Posted after close | ","")&amp;IF(OR(B33&lt;Settings!$C$6,B33&gt;Settings!$C$7),"Outside period | ","")&amp;IF(COUNTIF(Settings!$E$14:$E$43,C33&amp;"")&gt;0,"Sensitive account | ","")&amp;IF(AND(MAX(N(E33),N(F33))&gt;=Settings!$C$9,MOD(MAX(N(E33),N(F33)),Settings!$C$10)=0),"Round amount | ","")="","",LEFT(IF(K33="No","Does not balance | ","")&amp;IF(I33="","Not approved | ",IF(UPPER(TRIM(H33))=UPPER(TRIM(I33)),"Self-approved | ",""))&amp;IF(J33="","No support | ","")&amp;IF(WEEKDAY(B33,2)&gt;5,"Weekend posting | ","")&amp;IF(COUNTIF(Settings!$A$14:$A$43,B33)&gt;0,"Holiday posting | ","")&amp;IF(B33&gt;Settings!$C$8,"Posted after close | ","")&amp;IF(OR(B33&lt;Settings!$C$6,B33&gt;Settings!$C$7),"Outside period | ","")&amp;IF(COUNTIF(Settings!$E$14:$E$43,C33&amp;"")&gt;0,"Sensitive account | ","")&amp;IF(AND(MAX(N(E33),N(F33))&gt;=Settings!$C$9,MOD(MAX(N(E33),N(F33)),Settings!$C$10)=0),"Round amount | ",""),LEN(IF(K33="No","Does not balance | ","")&amp;IF(I33="","Not approved | ",IF(UPPER(TRIM(H33))=UPPER(TRIM(I33)),"Self-approved | ",""))&amp;IF(J33="","No support | ","")&amp;IF(WEEKDAY(B33,2)&gt;5,"Weekend posting | ","")&amp;IF(COUNTIF(Settings!$A$14:$A$43,B33)&gt;0,"Holiday posting | ","")&amp;IF(B33&gt;Settings!$C$8,"Posted after close | ","")&amp;IF(OR(B33&lt;Settings!$C$6,B33&gt;Settings!$C$7),"Outside period | ","")&amp;IF(COUNTIF(Settings!$E$14:$E$43,C33&amp;"")&gt;0,"Sensitive account | ","")&amp;IF(AND(MAX(N(E33),N(F33))&gt;=Settings!$C$9,MOD(MAX(N(E33),N(F33)),Settings!$C$10)=0),"Round amount | ",""))-3)))</f>
        <v/>
      </c>
      <c r="M33" s="21" t="str">
        <f aca="false">IF(A33="","",IF(COUNTIF($A$9:A33,A33)=1,MAX($M$8:M32)+1,""))</f>
        <v/>
      </c>
    </row>
    <row r="34" customFormat="false" ht="15" hidden="false" customHeight="false" outlineLevel="0" collapsed="false">
      <c r="A34" s="8"/>
      <c r="B34" s="17"/>
      <c r="C34" s="19"/>
      <c r="D34" s="8"/>
      <c r="E34" s="18"/>
      <c r="F34" s="18"/>
      <c r="G34" s="8"/>
      <c r="H34" s="8"/>
      <c r="I34" s="8"/>
      <c r="J34" s="8"/>
      <c r="K34" s="10" t="str">
        <f aca="false">IF(A34="","",IF(ABS(SUMIFS($E$9:$E$2008,$A$9:$A$2008,A34)-SUMIFS($F$9:$F$2008,$A$9:$A$2008,A34))&lt;0.5,"Yes","No"))</f>
        <v/>
      </c>
      <c r="L34" s="10" t="str">
        <f aca="false">IF(A34="","",IF(IF(K34="No","Does not balance | ","")&amp;IF(I34="","Not approved | ",IF(UPPER(TRIM(H34))=UPPER(TRIM(I34)),"Self-approved | ",""))&amp;IF(J34="","No support | ","")&amp;IF(WEEKDAY(B34,2)&gt;5,"Weekend posting | ","")&amp;IF(COUNTIF(Settings!$A$14:$A$43,B34)&gt;0,"Holiday posting | ","")&amp;IF(B34&gt;Settings!$C$8,"Posted after close | ","")&amp;IF(OR(B34&lt;Settings!$C$6,B34&gt;Settings!$C$7),"Outside period | ","")&amp;IF(COUNTIF(Settings!$E$14:$E$43,C34&amp;"")&gt;0,"Sensitive account | ","")&amp;IF(AND(MAX(N(E34),N(F34))&gt;=Settings!$C$9,MOD(MAX(N(E34),N(F34)),Settings!$C$10)=0),"Round amount | ","")="","",LEFT(IF(K34="No","Does not balance | ","")&amp;IF(I34="","Not approved | ",IF(UPPER(TRIM(H34))=UPPER(TRIM(I34)),"Self-approved | ",""))&amp;IF(J34="","No support | ","")&amp;IF(WEEKDAY(B34,2)&gt;5,"Weekend posting | ","")&amp;IF(COUNTIF(Settings!$A$14:$A$43,B34)&gt;0,"Holiday posting | ","")&amp;IF(B34&gt;Settings!$C$8,"Posted after close | ","")&amp;IF(OR(B34&lt;Settings!$C$6,B34&gt;Settings!$C$7),"Outside period | ","")&amp;IF(COUNTIF(Settings!$E$14:$E$43,C34&amp;"")&gt;0,"Sensitive account | ","")&amp;IF(AND(MAX(N(E34),N(F34))&gt;=Settings!$C$9,MOD(MAX(N(E34),N(F34)),Settings!$C$10)=0),"Round amount | ",""),LEN(IF(K34="No","Does not balance | ","")&amp;IF(I34="","Not approved | ",IF(UPPER(TRIM(H34))=UPPER(TRIM(I34)),"Self-approved | ",""))&amp;IF(J34="","No support | ","")&amp;IF(WEEKDAY(B34,2)&gt;5,"Weekend posting | ","")&amp;IF(COUNTIF(Settings!$A$14:$A$43,B34)&gt;0,"Holiday posting | ","")&amp;IF(B34&gt;Settings!$C$8,"Posted after close | ","")&amp;IF(OR(B34&lt;Settings!$C$6,B34&gt;Settings!$C$7),"Outside period | ","")&amp;IF(COUNTIF(Settings!$E$14:$E$43,C34&amp;"")&gt;0,"Sensitive account | ","")&amp;IF(AND(MAX(N(E34),N(F34))&gt;=Settings!$C$9,MOD(MAX(N(E34),N(F34)),Settings!$C$10)=0),"Round amount | ",""))-3)))</f>
        <v/>
      </c>
      <c r="M34" s="21" t="str">
        <f aca="false">IF(A34="","",IF(COUNTIF($A$9:A34,A34)=1,MAX($M$8:M33)+1,""))</f>
        <v/>
      </c>
    </row>
    <row r="35" customFormat="false" ht="15" hidden="false" customHeight="false" outlineLevel="0" collapsed="false">
      <c r="A35" s="8"/>
      <c r="B35" s="17"/>
      <c r="C35" s="19"/>
      <c r="D35" s="8"/>
      <c r="E35" s="18"/>
      <c r="F35" s="18"/>
      <c r="G35" s="8"/>
      <c r="H35" s="8"/>
      <c r="I35" s="8"/>
      <c r="J35" s="8"/>
      <c r="K35" s="10" t="str">
        <f aca="false">IF(A35="","",IF(ABS(SUMIFS($E$9:$E$2008,$A$9:$A$2008,A35)-SUMIFS($F$9:$F$2008,$A$9:$A$2008,A35))&lt;0.5,"Yes","No"))</f>
        <v/>
      </c>
      <c r="L35" s="10" t="str">
        <f aca="false">IF(A35="","",IF(IF(K35="No","Does not balance | ","")&amp;IF(I35="","Not approved | ",IF(UPPER(TRIM(H35))=UPPER(TRIM(I35)),"Self-approved | ",""))&amp;IF(J35="","No support | ","")&amp;IF(WEEKDAY(B35,2)&gt;5,"Weekend posting | ","")&amp;IF(COUNTIF(Settings!$A$14:$A$43,B35)&gt;0,"Holiday posting | ","")&amp;IF(B35&gt;Settings!$C$8,"Posted after close | ","")&amp;IF(OR(B35&lt;Settings!$C$6,B35&gt;Settings!$C$7),"Outside period | ","")&amp;IF(COUNTIF(Settings!$E$14:$E$43,C35&amp;"")&gt;0,"Sensitive account | ","")&amp;IF(AND(MAX(N(E35),N(F35))&gt;=Settings!$C$9,MOD(MAX(N(E35),N(F35)),Settings!$C$10)=0),"Round amount | ","")="","",LEFT(IF(K35="No","Does not balance | ","")&amp;IF(I35="","Not approved | ",IF(UPPER(TRIM(H35))=UPPER(TRIM(I35)),"Self-approved | ",""))&amp;IF(J35="","No support | ","")&amp;IF(WEEKDAY(B35,2)&gt;5,"Weekend posting | ","")&amp;IF(COUNTIF(Settings!$A$14:$A$43,B35)&gt;0,"Holiday posting | ","")&amp;IF(B35&gt;Settings!$C$8,"Posted after close | ","")&amp;IF(OR(B35&lt;Settings!$C$6,B35&gt;Settings!$C$7),"Outside period | ","")&amp;IF(COUNTIF(Settings!$E$14:$E$43,C35&amp;"")&gt;0,"Sensitive account | ","")&amp;IF(AND(MAX(N(E35),N(F35))&gt;=Settings!$C$9,MOD(MAX(N(E35),N(F35)),Settings!$C$10)=0),"Round amount | ",""),LEN(IF(K35="No","Does not balance | ","")&amp;IF(I35="","Not approved | ",IF(UPPER(TRIM(H35))=UPPER(TRIM(I35)),"Self-approved | ",""))&amp;IF(J35="","No support | ","")&amp;IF(WEEKDAY(B35,2)&gt;5,"Weekend posting | ","")&amp;IF(COUNTIF(Settings!$A$14:$A$43,B35)&gt;0,"Holiday posting | ","")&amp;IF(B35&gt;Settings!$C$8,"Posted after close | ","")&amp;IF(OR(B35&lt;Settings!$C$6,B35&gt;Settings!$C$7),"Outside period | ","")&amp;IF(COUNTIF(Settings!$E$14:$E$43,C35&amp;"")&gt;0,"Sensitive account | ","")&amp;IF(AND(MAX(N(E35),N(F35))&gt;=Settings!$C$9,MOD(MAX(N(E35),N(F35)),Settings!$C$10)=0),"Round amount | ",""))-3)))</f>
        <v/>
      </c>
      <c r="M35" s="21" t="str">
        <f aca="false">IF(A35="","",IF(COUNTIF($A$9:A35,A35)=1,MAX($M$8:M34)+1,""))</f>
        <v/>
      </c>
    </row>
    <row r="36" customFormat="false" ht="15" hidden="false" customHeight="false" outlineLevel="0" collapsed="false">
      <c r="A36" s="8"/>
      <c r="B36" s="17"/>
      <c r="C36" s="19"/>
      <c r="D36" s="8"/>
      <c r="E36" s="18"/>
      <c r="F36" s="18"/>
      <c r="G36" s="8"/>
      <c r="H36" s="8"/>
      <c r="I36" s="8"/>
      <c r="J36" s="8"/>
      <c r="K36" s="10" t="str">
        <f aca="false">IF(A36="","",IF(ABS(SUMIFS($E$9:$E$2008,$A$9:$A$2008,A36)-SUMIFS($F$9:$F$2008,$A$9:$A$2008,A36))&lt;0.5,"Yes","No"))</f>
        <v/>
      </c>
      <c r="L36" s="10" t="str">
        <f aca="false">IF(A36="","",IF(IF(K36="No","Does not balance | ","")&amp;IF(I36="","Not approved | ",IF(UPPER(TRIM(H36))=UPPER(TRIM(I36)),"Self-approved | ",""))&amp;IF(J36="","No support | ","")&amp;IF(WEEKDAY(B36,2)&gt;5,"Weekend posting | ","")&amp;IF(COUNTIF(Settings!$A$14:$A$43,B36)&gt;0,"Holiday posting | ","")&amp;IF(B36&gt;Settings!$C$8,"Posted after close | ","")&amp;IF(OR(B36&lt;Settings!$C$6,B36&gt;Settings!$C$7),"Outside period | ","")&amp;IF(COUNTIF(Settings!$E$14:$E$43,C36&amp;"")&gt;0,"Sensitive account | ","")&amp;IF(AND(MAX(N(E36),N(F36))&gt;=Settings!$C$9,MOD(MAX(N(E36),N(F36)),Settings!$C$10)=0),"Round amount | ","")="","",LEFT(IF(K36="No","Does not balance | ","")&amp;IF(I36="","Not approved | ",IF(UPPER(TRIM(H36))=UPPER(TRIM(I36)),"Self-approved | ",""))&amp;IF(J36="","No support | ","")&amp;IF(WEEKDAY(B36,2)&gt;5,"Weekend posting | ","")&amp;IF(COUNTIF(Settings!$A$14:$A$43,B36)&gt;0,"Holiday posting | ","")&amp;IF(B36&gt;Settings!$C$8,"Posted after close | ","")&amp;IF(OR(B36&lt;Settings!$C$6,B36&gt;Settings!$C$7),"Outside period | ","")&amp;IF(COUNTIF(Settings!$E$14:$E$43,C36&amp;"")&gt;0,"Sensitive account | ","")&amp;IF(AND(MAX(N(E36),N(F36))&gt;=Settings!$C$9,MOD(MAX(N(E36),N(F36)),Settings!$C$10)=0),"Round amount | ",""),LEN(IF(K36="No","Does not balance | ","")&amp;IF(I36="","Not approved | ",IF(UPPER(TRIM(H36))=UPPER(TRIM(I36)),"Self-approved | ",""))&amp;IF(J36="","No support | ","")&amp;IF(WEEKDAY(B36,2)&gt;5,"Weekend posting | ","")&amp;IF(COUNTIF(Settings!$A$14:$A$43,B36)&gt;0,"Holiday posting | ","")&amp;IF(B36&gt;Settings!$C$8,"Posted after close | ","")&amp;IF(OR(B36&lt;Settings!$C$6,B36&gt;Settings!$C$7),"Outside period | ","")&amp;IF(COUNTIF(Settings!$E$14:$E$43,C36&amp;"")&gt;0,"Sensitive account | ","")&amp;IF(AND(MAX(N(E36),N(F36))&gt;=Settings!$C$9,MOD(MAX(N(E36),N(F36)),Settings!$C$10)=0),"Round amount | ",""))-3)))</f>
        <v/>
      </c>
      <c r="M36" s="21" t="str">
        <f aca="false">IF(A36="","",IF(COUNTIF($A$9:A36,A36)=1,MAX($M$8:M35)+1,""))</f>
        <v/>
      </c>
    </row>
    <row r="37" customFormat="false" ht="15" hidden="false" customHeight="false" outlineLevel="0" collapsed="false">
      <c r="A37" s="8"/>
      <c r="B37" s="17"/>
      <c r="C37" s="19"/>
      <c r="D37" s="8"/>
      <c r="E37" s="18"/>
      <c r="F37" s="18"/>
      <c r="G37" s="8"/>
      <c r="H37" s="8"/>
      <c r="I37" s="8"/>
      <c r="J37" s="8"/>
      <c r="K37" s="10" t="str">
        <f aca="false">IF(A37="","",IF(ABS(SUMIFS($E$9:$E$2008,$A$9:$A$2008,A37)-SUMIFS($F$9:$F$2008,$A$9:$A$2008,A37))&lt;0.5,"Yes","No"))</f>
        <v/>
      </c>
      <c r="L37" s="10" t="str">
        <f aca="false">IF(A37="","",IF(IF(K37="No","Does not balance | ","")&amp;IF(I37="","Not approved | ",IF(UPPER(TRIM(H37))=UPPER(TRIM(I37)),"Self-approved | ",""))&amp;IF(J37="","No support | ","")&amp;IF(WEEKDAY(B37,2)&gt;5,"Weekend posting | ","")&amp;IF(COUNTIF(Settings!$A$14:$A$43,B37)&gt;0,"Holiday posting | ","")&amp;IF(B37&gt;Settings!$C$8,"Posted after close | ","")&amp;IF(OR(B37&lt;Settings!$C$6,B37&gt;Settings!$C$7),"Outside period | ","")&amp;IF(COUNTIF(Settings!$E$14:$E$43,C37&amp;"")&gt;0,"Sensitive account | ","")&amp;IF(AND(MAX(N(E37),N(F37))&gt;=Settings!$C$9,MOD(MAX(N(E37),N(F37)),Settings!$C$10)=0),"Round amount | ","")="","",LEFT(IF(K37="No","Does not balance | ","")&amp;IF(I37="","Not approved | ",IF(UPPER(TRIM(H37))=UPPER(TRIM(I37)),"Self-approved | ",""))&amp;IF(J37="","No support | ","")&amp;IF(WEEKDAY(B37,2)&gt;5,"Weekend posting | ","")&amp;IF(COUNTIF(Settings!$A$14:$A$43,B37)&gt;0,"Holiday posting | ","")&amp;IF(B37&gt;Settings!$C$8,"Posted after close | ","")&amp;IF(OR(B37&lt;Settings!$C$6,B37&gt;Settings!$C$7),"Outside period | ","")&amp;IF(COUNTIF(Settings!$E$14:$E$43,C37&amp;"")&gt;0,"Sensitive account | ","")&amp;IF(AND(MAX(N(E37),N(F37))&gt;=Settings!$C$9,MOD(MAX(N(E37),N(F37)),Settings!$C$10)=0),"Round amount | ",""),LEN(IF(K37="No","Does not balance | ","")&amp;IF(I37="","Not approved | ",IF(UPPER(TRIM(H37))=UPPER(TRIM(I37)),"Self-approved | ",""))&amp;IF(J37="","No support | ","")&amp;IF(WEEKDAY(B37,2)&gt;5,"Weekend posting | ","")&amp;IF(COUNTIF(Settings!$A$14:$A$43,B37)&gt;0,"Holiday posting | ","")&amp;IF(B37&gt;Settings!$C$8,"Posted after close | ","")&amp;IF(OR(B37&lt;Settings!$C$6,B37&gt;Settings!$C$7),"Outside period | ","")&amp;IF(COUNTIF(Settings!$E$14:$E$43,C37&amp;"")&gt;0,"Sensitive account | ","")&amp;IF(AND(MAX(N(E37),N(F37))&gt;=Settings!$C$9,MOD(MAX(N(E37),N(F37)),Settings!$C$10)=0),"Round amount | ",""))-3)))</f>
        <v/>
      </c>
      <c r="M37" s="21" t="str">
        <f aca="false">IF(A37="","",IF(COUNTIF($A$9:A37,A37)=1,MAX($M$8:M36)+1,""))</f>
        <v/>
      </c>
    </row>
    <row r="38" customFormat="false" ht="15" hidden="false" customHeight="false" outlineLevel="0" collapsed="false">
      <c r="A38" s="8"/>
      <c r="B38" s="17"/>
      <c r="C38" s="19"/>
      <c r="D38" s="8"/>
      <c r="E38" s="18"/>
      <c r="F38" s="18"/>
      <c r="G38" s="8"/>
      <c r="H38" s="8"/>
      <c r="I38" s="8"/>
      <c r="J38" s="8"/>
      <c r="K38" s="10" t="str">
        <f aca="false">IF(A38="","",IF(ABS(SUMIFS($E$9:$E$2008,$A$9:$A$2008,A38)-SUMIFS($F$9:$F$2008,$A$9:$A$2008,A38))&lt;0.5,"Yes","No"))</f>
        <v/>
      </c>
      <c r="L38" s="10" t="str">
        <f aca="false">IF(A38="","",IF(IF(K38="No","Does not balance | ","")&amp;IF(I38="","Not approved | ",IF(UPPER(TRIM(H38))=UPPER(TRIM(I38)),"Self-approved | ",""))&amp;IF(J38="","No support | ","")&amp;IF(WEEKDAY(B38,2)&gt;5,"Weekend posting | ","")&amp;IF(COUNTIF(Settings!$A$14:$A$43,B38)&gt;0,"Holiday posting | ","")&amp;IF(B38&gt;Settings!$C$8,"Posted after close | ","")&amp;IF(OR(B38&lt;Settings!$C$6,B38&gt;Settings!$C$7),"Outside period | ","")&amp;IF(COUNTIF(Settings!$E$14:$E$43,C38&amp;"")&gt;0,"Sensitive account | ","")&amp;IF(AND(MAX(N(E38),N(F38))&gt;=Settings!$C$9,MOD(MAX(N(E38),N(F38)),Settings!$C$10)=0),"Round amount | ","")="","",LEFT(IF(K38="No","Does not balance | ","")&amp;IF(I38="","Not approved | ",IF(UPPER(TRIM(H38))=UPPER(TRIM(I38)),"Self-approved | ",""))&amp;IF(J38="","No support | ","")&amp;IF(WEEKDAY(B38,2)&gt;5,"Weekend posting | ","")&amp;IF(COUNTIF(Settings!$A$14:$A$43,B38)&gt;0,"Holiday posting | ","")&amp;IF(B38&gt;Settings!$C$8,"Posted after close | ","")&amp;IF(OR(B38&lt;Settings!$C$6,B38&gt;Settings!$C$7),"Outside period | ","")&amp;IF(COUNTIF(Settings!$E$14:$E$43,C38&amp;"")&gt;0,"Sensitive account | ","")&amp;IF(AND(MAX(N(E38),N(F38))&gt;=Settings!$C$9,MOD(MAX(N(E38),N(F38)),Settings!$C$10)=0),"Round amount | ",""),LEN(IF(K38="No","Does not balance | ","")&amp;IF(I38="","Not approved | ",IF(UPPER(TRIM(H38))=UPPER(TRIM(I38)),"Self-approved | ",""))&amp;IF(J38="","No support | ","")&amp;IF(WEEKDAY(B38,2)&gt;5,"Weekend posting | ","")&amp;IF(COUNTIF(Settings!$A$14:$A$43,B38)&gt;0,"Holiday posting | ","")&amp;IF(B38&gt;Settings!$C$8,"Posted after close | ","")&amp;IF(OR(B38&lt;Settings!$C$6,B38&gt;Settings!$C$7),"Outside period | ","")&amp;IF(COUNTIF(Settings!$E$14:$E$43,C38&amp;"")&gt;0,"Sensitive account | ","")&amp;IF(AND(MAX(N(E38),N(F38))&gt;=Settings!$C$9,MOD(MAX(N(E38),N(F38)),Settings!$C$10)=0),"Round amount | ",""))-3)))</f>
        <v/>
      </c>
      <c r="M38" s="21" t="str">
        <f aca="false">IF(A38="","",IF(COUNTIF($A$9:A38,A38)=1,MAX($M$8:M37)+1,""))</f>
        <v/>
      </c>
    </row>
    <row r="39" customFormat="false" ht="15" hidden="false" customHeight="false" outlineLevel="0" collapsed="false">
      <c r="A39" s="8"/>
      <c r="B39" s="17"/>
      <c r="C39" s="19"/>
      <c r="D39" s="8"/>
      <c r="E39" s="18"/>
      <c r="F39" s="18"/>
      <c r="G39" s="8"/>
      <c r="H39" s="8"/>
      <c r="I39" s="8"/>
      <c r="J39" s="8"/>
      <c r="K39" s="10" t="str">
        <f aca="false">IF(A39="","",IF(ABS(SUMIFS($E$9:$E$2008,$A$9:$A$2008,A39)-SUMIFS($F$9:$F$2008,$A$9:$A$2008,A39))&lt;0.5,"Yes","No"))</f>
        <v/>
      </c>
      <c r="L39" s="10" t="str">
        <f aca="false">IF(A39="","",IF(IF(K39="No","Does not balance | ","")&amp;IF(I39="","Not approved | ",IF(UPPER(TRIM(H39))=UPPER(TRIM(I39)),"Self-approved | ",""))&amp;IF(J39="","No support | ","")&amp;IF(WEEKDAY(B39,2)&gt;5,"Weekend posting | ","")&amp;IF(COUNTIF(Settings!$A$14:$A$43,B39)&gt;0,"Holiday posting | ","")&amp;IF(B39&gt;Settings!$C$8,"Posted after close | ","")&amp;IF(OR(B39&lt;Settings!$C$6,B39&gt;Settings!$C$7),"Outside period | ","")&amp;IF(COUNTIF(Settings!$E$14:$E$43,C39&amp;"")&gt;0,"Sensitive account | ","")&amp;IF(AND(MAX(N(E39),N(F39))&gt;=Settings!$C$9,MOD(MAX(N(E39),N(F39)),Settings!$C$10)=0),"Round amount | ","")="","",LEFT(IF(K39="No","Does not balance | ","")&amp;IF(I39="","Not approved | ",IF(UPPER(TRIM(H39))=UPPER(TRIM(I39)),"Self-approved | ",""))&amp;IF(J39="","No support | ","")&amp;IF(WEEKDAY(B39,2)&gt;5,"Weekend posting | ","")&amp;IF(COUNTIF(Settings!$A$14:$A$43,B39)&gt;0,"Holiday posting | ","")&amp;IF(B39&gt;Settings!$C$8,"Posted after close | ","")&amp;IF(OR(B39&lt;Settings!$C$6,B39&gt;Settings!$C$7),"Outside period | ","")&amp;IF(COUNTIF(Settings!$E$14:$E$43,C39&amp;"")&gt;0,"Sensitive account | ","")&amp;IF(AND(MAX(N(E39),N(F39))&gt;=Settings!$C$9,MOD(MAX(N(E39),N(F39)),Settings!$C$10)=0),"Round amount | ",""),LEN(IF(K39="No","Does not balance | ","")&amp;IF(I39="","Not approved | ",IF(UPPER(TRIM(H39))=UPPER(TRIM(I39)),"Self-approved | ",""))&amp;IF(J39="","No support | ","")&amp;IF(WEEKDAY(B39,2)&gt;5,"Weekend posting | ","")&amp;IF(COUNTIF(Settings!$A$14:$A$43,B39)&gt;0,"Holiday posting | ","")&amp;IF(B39&gt;Settings!$C$8,"Posted after close | ","")&amp;IF(OR(B39&lt;Settings!$C$6,B39&gt;Settings!$C$7),"Outside period | ","")&amp;IF(COUNTIF(Settings!$E$14:$E$43,C39&amp;"")&gt;0,"Sensitive account | ","")&amp;IF(AND(MAX(N(E39),N(F39))&gt;=Settings!$C$9,MOD(MAX(N(E39),N(F39)),Settings!$C$10)=0),"Round amount | ",""))-3)))</f>
        <v/>
      </c>
      <c r="M39" s="21" t="str">
        <f aca="false">IF(A39="","",IF(COUNTIF($A$9:A39,A39)=1,MAX($M$8:M38)+1,""))</f>
        <v/>
      </c>
    </row>
    <row r="40" customFormat="false" ht="15" hidden="false" customHeight="false" outlineLevel="0" collapsed="false">
      <c r="A40" s="8"/>
      <c r="B40" s="17"/>
      <c r="C40" s="19"/>
      <c r="D40" s="8"/>
      <c r="E40" s="18"/>
      <c r="F40" s="18"/>
      <c r="G40" s="8"/>
      <c r="H40" s="8"/>
      <c r="I40" s="8"/>
      <c r="J40" s="8"/>
      <c r="K40" s="10" t="str">
        <f aca="false">IF(A40="","",IF(ABS(SUMIFS($E$9:$E$2008,$A$9:$A$2008,A40)-SUMIFS($F$9:$F$2008,$A$9:$A$2008,A40))&lt;0.5,"Yes","No"))</f>
        <v/>
      </c>
      <c r="L40" s="10" t="str">
        <f aca="false">IF(A40="","",IF(IF(K40="No","Does not balance | ","")&amp;IF(I40="","Not approved | ",IF(UPPER(TRIM(H40))=UPPER(TRIM(I40)),"Self-approved | ",""))&amp;IF(J40="","No support | ","")&amp;IF(WEEKDAY(B40,2)&gt;5,"Weekend posting | ","")&amp;IF(COUNTIF(Settings!$A$14:$A$43,B40)&gt;0,"Holiday posting | ","")&amp;IF(B40&gt;Settings!$C$8,"Posted after close | ","")&amp;IF(OR(B40&lt;Settings!$C$6,B40&gt;Settings!$C$7),"Outside period | ","")&amp;IF(COUNTIF(Settings!$E$14:$E$43,C40&amp;"")&gt;0,"Sensitive account | ","")&amp;IF(AND(MAX(N(E40),N(F40))&gt;=Settings!$C$9,MOD(MAX(N(E40),N(F40)),Settings!$C$10)=0),"Round amount | ","")="","",LEFT(IF(K40="No","Does not balance | ","")&amp;IF(I40="","Not approved | ",IF(UPPER(TRIM(H40))=UPPER(TRIM(I40)),"Self-approved | ",""))&amp;IF(J40="","No support | ","")&amp;IF(WEEKDAY(B40,2)&gt;5,"Weekend posting | ","")&amp;IF(COUNTIF(Settings!$A$14:$A$43,B40)&gt;0,"Holiday posting | ","")&amp;IF(B40&gt;Settings!$C$8,"Posted after close | ","")&amp;IF(OR(B40&lt;Settings!$C$6,B40&gt;Settings!$C$7),"Outside period | ","")&amp;IF(COUNTIF(Settings!$E$14:$E$43,C40&amp;"")&gt;0,"Sensitive account | ","")&amp;IF(AND(MAX(N(E40),N(F40))&gt;=Settings!$C$9,MOD(MAX(N(E40),N(F40)),Settings!$C$10)=0),"Round amount | ",""),LEN(IF(K40="No","Does not balance | ","")&amp;IF(I40="","Not approved | ",IF(UPPER(TRIM(H40))=UPPER(TRIM(I40)),"Self-approved | ",""))&amp;IF(J40="","No support | ","")&amp;IF(WEEKDAY(B40,2)&gt;5,"Weekend posting | ","")&amp;IF(COUNTIF(Settings!$A$14:$A$43,B40)&gt;0,"Holiday posting | ","")&amp;IF(B40&gt;Settings!$C$8,"Posted after close | ","")&amp;IF(OR(B40&lt;Settings!$C$6,B40&gt;Settings!$C$7),"Outside period | ","")&amp;IF(COUNTIF(Settings!$E$14:$E$43,C40&amp;"")&gt;0,"Sensitive account | ","")&amp;IF(AND(MAX(N(E40),N(F40))&gt;=Settings!$C$9,MOD(MAX(N(E40),N(F40)),Settings!$C$10)=0),"Round amount | ",""))-3)))</f>
        <v/>
      </c>
      <c r="M40" s="21" t="str">
        <f aca="false">IF(A40="","",IF(COUNTIF($A$9:A40,A40)=1,MAX($M$8:M39)+1,""))</f>
        <v/>
      </c>
    </row>
    <row r="41" customFormat="false" ht="15" hidden="false" customHeight="false" outlineLevel="0" collapsed="false">
      <c r="A41" s="8"/>
      <c r="B41" s="17"/>
      <c r="C41" s="19"/>
      <c r="D41" s="8"/>
      <c r="E41" s="18"/>
      <c r="F41" s="18"/>
      <c r="G41" s="8"/>
      <c r="H41" s="8"/>
      <c r="I41" s="8"/>
      <c r="J41" s="8"/>
      <c r="K41" s="10" t="str">
        <f aca="false">IF(A41="","",IF(ABS(SUMIFS($E$9:$E$2008,$A$9:$A$2008,A41)-SUMIFS($F$9:$F$2008,$A$9:$A$2008,A41))&lt;0.5,"Yes","No"))</f>
        <v/>
      </c>
      <c r="L41" s="10" t="str">
        <f aca="false">IF(A41="","",IF(IF(K41="No","Does not balance | ","")&amp;IF(I41="","Not approved | ",IF(UPPER(TRIM(H41))=UPPER(TRIM(I41)),"Self-approved | ",""))&amp;IF(J41="","No support | ","")&amp;IF(WEEKDAY(B41,2)&gt;5,"Weekend posting | ","")&amp;IF(COUNTIF(Settings!$A$14:$A$43,B41)&gt;0,"Holiday posting | ","")&amp;IF(B41&gt;Settings!$C$8,"Posted after close | ","")&amp;IF(OR(B41&lt;Settings!$C$6,B41&gt;Settings!$C$7),"Outside period | ","")&amp;IF(COUNTIF(Settings!$E$14:$E$43,C41&amp;"")&gt;0,"Sensitive account | ","")&amp;IF(AND(MAX(N(E41),N(F41))&gt;=Settings!$C$9,MOD(MAX(N(E41),N(F41)),Settings!$C$10)=0),"Round amount | ","")="","",LEFT(IF(K41="No","Does not balance | ","")&amp;IF(I41="","Not approved | ",IF(UPPER(TRIM(H41))=UPPER(TRIM(I41)),"Self-approved | ",""))&amp;IF(J41="","No support | ","")&amp;IF(WEEKDAY(B41,2)&gt;5,"Weekend posting | ","")&amp;IF(COUNTIF(Settings!$A$14:$A$43,B41)&gt;0,"Holiday posting | ","")&amp;IF(B41&gt;Settings!$C$8,"Posted after close | ","")&amp;IF(OR(B41&lt;Settings!$C$6,B41&gt;Settings!$C$7),"Outside period | ","")&amp;IF(COUNTIF(Settings!$E$14:$E$43,C41&amp;"")&gt;0,"Sensitive account | ","")&amp;IF(AND(MAX(N(E41),N(F41))&gt;=Settings!$C$9,MOD(MAX(N(E41),N(F41)),Settings!$C$10)=0),"Round amount | ",""),LEN(IF(K41="No","Does not balance | ","")&amp;IF(I41="","Not approved | ",IF(UPPER(TRIM(H41))=UPPER(TRIM(I41)),"Self-approved | ",""))&amp;IF(J41="","No support | ","")&amp;IF(WEEKDAY(B41,2)&gt;5,"Weekend posting | ","")&amp;IF(COUNTIF(Settings!$A$14:$A$43,B41)&gt;0,"Holiday posting | ","")&amp;IF(B41&gt;Settings!$C$8,"Posted after close | ","")&amp;IF(OR(B41&lt;Settings!$C$6,B41&gt;Settings!$C$7),"Outside period | ","")&amp;IF(COUNTIF(Settings!$E$14:$E$43,C41&amp;"")&gt;0,"Sensitive account | ","")&amp;IF(AND(MAX(N(E41),N(F41))&gt;=Settings!$C$9,MOD(MAX(N(E41),N(F41)),Settings!$C$10)=0),"Round amount | ",""))-3)))</f>
        <v/>
      </c>
      <c r="M41" s="21" t="str">
        <f aca="false">IF(A41="","",IF(COUNTIF($A$9:A41,A41)=1,MAX($M$8:M40)+1,""))</f>
        <v/>
      </c>
    </row>
    <row r="42" customFormat="false" ht="15" hidden="false" customHeight="false" outlineLevel="0" collapsed="false">
      <c r="A42" s="8"/>
      <c r="B42" s="17"/>
      <c r="C42" s="19"/>
      <c r="D42" s="8"/>
      <c r="E42" s="18"/>
      <c r="F42" s="18"/>
      <c r="G42" s="8"/>
      <c r="H42" s="8"/>
      <c r="I42" s="8"/>
      <c r="J42" s="8"/>
      <c r="K42" s="10" t="str">
        <f aca="false">IF(A42="","",IF(ABS(SUMIFS($E$9:$E$2008,$A$9:$A$2008,A42)-SUMIFS($F$9:$F$2008,$A$9:$A$2008,A42))&lt;0.5,"Yes","No"))</f>
        <v/>
      </c>
      <c r="L42" s="10" t="str">
        <f aca="false">IF(A42="","",IF(IF(K42="No","Does not balance | ","")&amp;IF(I42="","Not approved | ",IF(UPPER(TRIM(H42))=UPPER(TRIM(I42)),"Self-approved | ",""))&amp;IF(J42="","No support | ","")&amp;IF(WEEKDAY(B42,2)&gt;5,"Weekend posting | ","")&amp;IF(COUNTIF(Settings!$A$14:$A$43,B42)&gt;0,"Holiday posting | ","")&amp;IF(B42&gt;Settings!$C$8,"Posted after close | ","")&amp;IF(OR(B42&lt;Settings!$C$6,B42&gt;Settings!$C$7),"Outside period | ","")&amp;IF(COUNTIF(Settings!$E$14:$E$43,C42&amp;"")&gt;0,"Sensitive account | ","")&amp;IF(AND(MAX(N(E42),N(F42))&gt;=Settings!$C$9,MOD(MAX(N(E42),N(F42)),Settings!$C$10)=0),"Round amount | ","")="","",LEFT(IF(K42="No","Does not balance | ","")&amp;IF(I42="","Not approved | ",IF(UPPER(TRIM(H42))=UPPER(TRIM(I42)),"Self-approved | ",""))&amp;IF(J42="","No support | ","")&amp;IF(WEEKDAY(B42,2)&gt;5,"Weekend posting | ","")&amp;IF(COUNTIF(Settings!$A$14:$A$43,B42)&gt;0,"Holiday posting | ","")&amp;IF(B42&gt;Settings!$C$8,"Posted after close | ","")&amp;IF(OR(B42&lt;Settings!$C$6,B42&gt;Settings!$C$7),"Outside period | ","")&amp;IF(COUNTIF(Settings!$E$14:$E$43,C42&amp;"")&gt;0,"Sensitive account | ","")&amp;IF(AND(MAX(N(E42),N(F42))&gt;=Settings!$C$9,MOD(MAX(N(E42),N(F42)),Settings!$C$10)=0),"Round amount | ",""),LEN(IF(K42="No","Does not balance | ","")&amp;IF(I42="","Not approved | ",IF(UPPER(TRIM(H42))=UPPER(TRIM(I42)),"Self-approved | ",""))&amp;IF(J42="","No support | ","")&amp;IF(WEEKDAY(B42,2)&gt;5,"Weekend posting | ","")&amp;IF(COUNTIF(Settings!$A$14:$A$43,B42)&gt;0,"Holiday posting | ","")&amp;IF(B42&gt;Settings!$C$8,"Posted after close | ","")&amp;IF(OR(B42&lt;Settings!$C$6,B42&gt;Settings!$C$7),"Outside period | ","")&amp;IF(COUNTIF(Settings!$E$14:$E$43,C42&amp;"")&gt;0,"Sensitive account | ","")&amp;IF(AND(MAX(N(E42),N(F42))&gt;=Settings!$C$9,MOD(MAX(N(E42),N(F42)),Settings!$C$10)=0),"Round amount | ",""))-3)))</f>
        <v/>
      </c>
      <c r="M42" s="21" t="str">
        <f aca="false">IF(A42="","",IF(COUNTIF($A$9:A42,A42)=1,MAX($M$8:M41)+1,""))</f>
        <v/>
      </c>
    </row>
    <row r="43" customFormat="false" ht="15" hidden="false" customHeight="false" outlineLevel="0" collapsed="false">
      <c r="A43" s="8"/>
      <c r="B43" s="17"/>
      <c r="C43" s="19"/>
      <c r="D43" s="8"/>
      <c r="E43" s="18"/>
      <c r="F43" s="18"/>
      <c r="G43" s="8"/>
      <c r="H43" s="8"/>
      <c r="I43" s="8"/>
      <c r="J43" s="8"/>
      <c r="K43" s="10" t="str">
        <f aca="false">IF(A43="","",IF(ABS(SUMIFS($E$9:$E$2008,$A$9:$A$2008,A43)-SUMIFS($F$9:$F$2008,$A$9:$A$2008,A43))&lt;0.5,"Yes","No"))</f>
        <v/>
      </c>
      <c r="L43" s="10" t="str">
        <f aca="false">IF(A43="","",IF(IF(K43="No","Does not balance | ","")&amp;IF(I43="","Not approved | ",IF(UPPER(TRIM(H43))=UPPER(TRIM(I43)),"Self-approved | ",""))&amp;IF(J43="","No support | ","")&amp;IF(WEEKDAY(B43,2)&gt;5,"Weekend posting | ","")&amp;IF(COUNTIF(Settings!$A$14:$A$43,B43)&gt;0,"Holiday posting | ","")&amp;IF(B43&gt;Settings!$C$8,"Posted after close | ","")&amp;IF(OR(B43&lt;Settings!$C$6,B43&gt;Settings!$C$7),"Outside period | ","")&amp;IF(COUNTIF(Settings!$E$14:$E$43,C43&amp;"")&gt;0,"Sensitive account | ","")&amp;IF(AND(MAX(N(E43),N(F43))&gt;=Settings!$C$9,MOD(MAX(N(E43),N(F43)),Settings!$C$10)=0),"Round amount | ","")="","",LEFT(IF(K43="No","Does not balance | ","")&amp;IF(I43="","Not approved | ",IF(UPPER(TRIM(H43))=UPPER(TRIM(I43)),"Self-approved | ",""))&amp;IF(J43="","No support | ","")&amp;IF(WEEKDAY(B43,2)&gt;5,"Weekend posting | ","")&amp;IF(COUNTIF(Settings!$A$14:$A$43,B43)&gt;0,"Holiday posting | ","")&amp;IF(B43&gt;Settings!$C$8,"Posted after close | ","")&amp;IF(OR(B43&lt;Settings!$C$6,B43&gt;Settings!$C$7),"Outside period | ","")&amp;IF(COUNTIF(Settings!$E$14:$E$43,C43&amp;"")&gt;0,"Sensitive account | ","")&amp;IF(AND(MAX(N(E43),N(F43))&gt;=Settings!$C$9,MOD(MAX(N(E43),N(F43)),Settings!$C$10)=0),"Round amount | ",""),LEN(IF(K43="No","Does not balance | ","")&amp;IF(I43="","Not approved | ",IF(UPPER(TRIM(H43))=UPPER(TRIM(I43)),"Self-approved | ",""))&amp;IF(J43="","No support | ","")&amp;IF(WEEKDAY(B43,2)&gt;5,"Weekend posting | ","")&amp;IF(COUNTIF(Settings!$A$14:$A$43,B43)&gt;0,"Holiday posting | ","")&amp;IF(B43&gt;Settings!$C$8,"Posted after close | ","")&amp;IF(OR(B43&lt;Settings!$C$6,B43&gt;Settings!$C$7),"Outside period | ","")&amp;IF(COUNTIF(Settings!$E$14:$E$43,C43&amp;"")&gt;0,"Sensitive account | ","")&amp;IF(AND(MAX(N(E43),N(F43))&gt;=Settings!$C$9,MOD(MAX(N(E43),N(F43)),Settings!$C$10)=0),"Round amount | ",""))-3)))</f>
        <v/>
      </c>
      <c r="M43" s="21" t="str">
        <f aca="false">IF(A43="","",IF(COUNTIF($A$9:A43,A43)=1,MAX($M$8:M42)+1,""))</f>
        <v/>
      </c>
    </row>
    <row r="44" customFormat="false" ht="15" hidden="false" customHeight="false" outlineLevel="0" collapsed="false">
      <c r="A44" s="8"/>
      <c r="B44" s="17"/>
      <c r="C44" s="19"/>
      <c r="D44" s="8"/>
      <c r="E44" s="18"/>
      <c r="F44" s="18"/>
      <c r="G44" s="8"/>
      <c r="H44" s="8"/>
      <c r="I44" s="8"/>
      <c r="J44" s="8"/>
      <c r="K44" s="10" t="str">
        <f aca="false">IF(A44="","",IF(ABS(SUMIFS($E$9:$E$2008,$A$9:$A$2008,A44)-SUMIFS($F$9:$F$2008,$A$9:$A$2008,A44))&lt;0.5,"Yes","No"))</f>
        <v/>
      </c>
      <c r="L44" s="10" t="str">
        <f aca="false">IF(A44="","",IF(IF(K44="No","Does not balance | ","")&amp;IF(I44="","Not approved | ",IF(UPPER(TRIM(H44))=UPPER(TRIM(I44)),"Self-approved | ",""))&amp;IF(J44="","No support | ","")&amp;IF(WEEKDAY(B44,2)&gt;5,"Weekend posting | ","")&amp;IF(COUNTIF(Settings!$A$14:$A$43,B44)&gt;0,"Holiday posting | ","")&amp;IF(B44&gt;Settings!$C$8,"Posted after close | ","")&amp;IF(OR(B44&lt;Settings!$C$6,B44&gt;Settings!$C$7),"Outside period | ","")&amp;IF(COUNTIF(Settings!$E$14:$E$43,C44&amp;"")&gt;0,"Sensitive account | ","")&amp;IF(AND(MAX(N(E44),N(F44))&gt;=Settings!$C$9,MOD(MAX(N(E44),N(F44)),Settings!$C$10)=0),"Round amount | ","")="","",LEFT(IF(K44="No","Does not balance | ","")&amp;IF(I44="","Not approved | ",IF(UPPER(TRIM(H44))=UPPER(TRIM(I44)),"Self-approved | ",""))&amp;IF(J44="","No support | ","")&amp;IF(WEEKDAY(B44,2)&gt;5,"Weekend posting | ","")&amp;IF(COUNTIF(Settings!$A$14:$A$43,B44)&gt;0,"Holiday posting | ","")&amp;IF(B44&gt;Settings!$C$8,"Posted after close | ","")&amp;IF(OR(B44&lt;Settings!$C$6,B44&gt;Settings!$C$7),"Outside period | ","")&amp;IF(COUNTIF(Settings!$E$14:$E$43,C44&amp;"")&gt;0,"Sensitive account | ","")&amp;IF(AND(MAX(N(E44),N(F44))&gt;=Settings!$C$9,MOD(MAX(N(E44),N(F44)),Settings!$C$10)=0),"Round amount | ",""),LEN(IF(K44="No","Does not balance | ","")&amp;IF(I44="","Not approved | ",IF(UPPER(TRIM(H44))=UPPER(TRIM(I44)),"Self-approved | ",""))&amp;IF(J44="","No support | ","")&amp;IF(WEEKDAY(B44,2)&gt;5,"Weekend posting | ","")&amp;IF(COUNTIF(Settings!$A$14:$A$43,B44)&gt;0,"Holiday posting | ","")&amp;IF(B44&gt;Settings!$C$8,"Posted after close | ","")&amp;IF(OR(B44&lt;Settings!$C$6,B44&gt;Settings!$C$7),"Outside period | ","")&amp;IF(COUNTIF(Settings!$E$14:$E$43,C44&amp;"")&gt;0,"Sensitive account | ","")&amp;IF(AND(MAX(N(E44),N(F44))&gt;=Settings!$C$9,MOD(MAX(N(E44),N(F44)),Settings!$C$10)=0),"Round amount | ",""))-3)))</f>
        <v/>
      </c>
      <c r="M44" s="21" t="str">
        <f aca="false">IF(A44="","",IF(COUNTIF($A$9:A44,A44)=1,MAX($M$8:M43)+1,""))</f>
        <v/>
      </c>
    </row>
    <row r="45" customFormat="false" ht="15" hidden="false" customHeight="false" outlineLevel="0" collapsed="false">
      <c r="A45" s="8"/>
      <c r="B45" s="17"/>
      <c r="C45" s="19"/>
      <c r="D45" s="8"/>
      <c r="E45" s="18"/>
      <c r="F45" s="18"/>
      <c r="G45" s="8"/>
      <c r="H45" s="8"/>
      <c r="I45" s="8"/>
      <c r="J45" s="8"/>
      <c r="K45" s="10" t="str">
        <f aca="false">IF(A45="","",IF(ABS(SUMIFS($E$9:$E$2008,$A$9:$A$2008,A45)-SUMIFS($F$9:$F$2008,$A$9:$A$2008,A45))&lt;0.5,"Yes","No"))</f>
        <v/>
      </c>
      <c r="L45" s="10" t="str">
        <f aca="false">IF(A45="","",IF(IF(K45="No","Does not balance | ","")&amp;IF(I45="","Not approved | ",IF(UPPER(TRIM(H45))=UPPER(TRIM(I45)),"Self-approved | ",""))&amp;IF(J45="","No support | ","")&amp;IF(WEEKDAY(B45,2)&gt;5,"Weekend posting | ","")&amp;IF(COUNTIF(Settings!$A$14:$A$43,B45)&gt;0,"Holiday posting | ","")&amp;IF(B45&gt;Settings!$C$8,"Posted after close | ","")&amp;IF(OR(B45&lt;Settings!$C$6,B45&gt;Settings!$C$7),"Outside period | ","")&amp;IF(COUNTIF(Settings!$E$14:$E$43,C45&amp;"")&gt;0,"Sensitive account | ","")&amp;IF(AND(MAX(N(E45),N(F45))&gt;=Settings!$C$9,MOD(MAX(N(E45),N(F45)),Settings!$C$10)=0),"Round amount | ","")="","",LEFT(IF(K45="No","Does not balance | ","")&amp;IF(I45="","Not approved | ",IF(UPPER(TRIM(H45))=UPPER(TRIM(I45)),"Self-approved | ",""))&amp;IF(J45="","No support | ","")&amp;IF(WEEKDAY(B45,2)&gt;5,"Weekend posting | ","")&amp;IF(COUNTIF(Settings!$A$14:$A$43,B45)&gt;0,"Holiday posting | ","")&amp;IF(B45&gt;Settings!$C$8,"Posted after close | ","")&amp;IF(OR(B45&lt;Settings!$C$6,B45&gt;Settings!$C$7),"Outside period | ","")&amp;IF(COUNTIF(Settings!$E$14:$E$43,C45&amp;"")&gt;0,"Sensitive account | ","")&amp;IF(AND(MAX(N(E45),N(F45))&gt;=Settings!$C$9,MOD(MAX(N(E45),N(F45)),Settings!$C$10)=0),"Round amount | ",""),LEN(IF(K45="No","Does not balance | ","")&amp;IF(I45="","Not approved | ",IF(UPPER(TRIM(H45))=UPPER(TRIM(I45)),"Self-approved | ",""))&amp;IF(J45="","No support | ","")&amp;IF(WEEKDAY(B45,2)&gt;5,"Weekend posting | ","")&amp;IF(COUNTIF(Settings!$A$14:$A$43,B45)&gt;0,"Holiday posting | ","")&amp;IF(B45&gt;Settings!$C$8,"Posted after close | ","")&amp;IF(OR(B45&lt;Settings!$C$6,B45&gt;Settings!$C$7),"Outside period | ","")&amp;IF(COUNTIF(Settings!$E$14:$E$43,C45&amp;"")&gt;0,"Sensitive account | ","")&amp;IF(AND(MAX(N(E45),N(F45))&gt;=Settings!$C$9,MOD(MAX(N(E45),N(F45)),Settings!$C$10)=0),"Round amount | ",""))-3)))</f>
        <v/>
      </c>
      <c r="M45" s="21" t="str">
        <f aca="false">IF(A45="","",IF(COUNTIF($A$9:A45,A45)=1,MAX($M$8:M44)+1,""))</f>
        <v/>
      </c>
    </row>
    <row r="46" customFormat="false" ht="15" hidden="false" customHeight="false" outlineLevel="0" collapsed="false">
      <c r="A46" s="8"/>
      <c r="B46" s="17"/>
      <c r="C46" s="19"/>
      <c r="D46" s="8"/>
      <c r="E46" s="18"/>
      <c r="F46" s="18"/>
      <c r="G46" s="8"/>
      <c r="H46" s="8"/>
      <c r="I46" s="8"/>
      <c r="J46" s="8"/>
      <c r="K46" s="10" t="str">
        <f aca="false">IF(A46="","",IF(ABS(SUMIFS($E$9:$E$2008,$A$9:$A$2008,A46)-SUMIFS($F$9:$F$2008,$A$9:$A$2008,A46))&lt;0.5,"Yes","No"))</f>
        <v/>
      </c>
      <c r="L46" s="10" t="str">
        <f aca="false">IF(A46="","",IF(IF(K46="No","Does not balance | ","")&amp;IF(I46="","Not approved | ",IF(UPPER(TRIM(H46))=UPPER(TRIM(I46)),"Self-approved | ",""))&amp;IF(J46="","No support | ","")&amp;IF(WEEKDAY(B46,2)&gt;5,"Weekend posting | ","")&amp;IF(COUNTIF(Settings!$A$14:$A$43,B46)&gt;0,"Holiday posting | ","")&amp;IF(B46&gt;Settings!$C$8,"Posted after close | ","")&amp;IF(OR(B46&lt;Settings!$C$6,B46&gt;Settings!$C$7),"Outside period | ","")&amp;IF(COUNTIF(Settings!$E$14:$E$43,C46&amp;"")&gt;0,"Sensitive account | ","")&amp;IF(AND(MAX(N(E46),N(F46))&gt;=Settings!$C$9,MOD(MAX(N(E46),N(F46)),Settings!$C$10)=0),"Round amount | ","")="","",LEFT(IF(K46="No","Does not balance | ","")&amp;IF(I46="","Not approved | ",IF(UPPER(TRIM(H46))=UPPER(TRIM(I46)),"Self-approved | ",""))&amp;IF(J46="","No support | ","")&amp;IF(WEEKDAY(B46,2)&gt;5,"Weekend posting | ","")&amp;IF(COUNTIF(Settings!$A$14:$A$43,B46)&gt;0,"Holiday posting | ","")&amp;IF(B46&gt;Settings!$C$8,"Posted after close | ","")&amp;IF(OR(B46&lt;Settings!$C$6,B46&gt;Settings!$C$7),"Outside period | ","")&amp;IF(COUNTIF(Settings!$E$14:$E$43,C46&amp;"")&gt;0,"Sensitive account | ","")&amp;IF(AND(MAX(N(E46),N(F46))&gt;=Settings!$C$9,MOD(MAX(N(E46),N(F46)),Settings!$C$10)=0),"Round amount | ",""),LEN(IF(K46="No","Does not balance | ","")&amp;IF(I46="","Not approved | ",IF(UPPER(TRIM(H46))=UPPER(TRIM(I46)),"Self-approved | ",""))&amp;IF(J46="","No support | ","")&amp;IF(WEEKDAY(B46,2)&gt;5,"Weekend posting | ","")&amp;IF(COUNTIF(Settings!$A$14:$A$43,B46)&gt;0,"Holiday posting | ","")&amp;IF(B46&gt;Settings!$C$8,"Posted after close | ","")&amp;IF(OR(B46&lt;Settings!$C$6,B46&gt;Settings!$C$7),"Outside period | ","")&amp;IF(COUNTIF(Settings!$E$14:$E$43,C46&amp;"")&gt;0,"Sensitive account | ","")&amp;IF(AND(MAX(N(E46),N(F46))&gt;=Settings!$C$9,MOD(MAX(N(E46),N(F46)),Settings!$C$10)=0),"Round amount | ",""))-3)))</f>
        <v/>
      </c>
      <c r="M46" s="21" t="str">
        <f aca="false">IF(A46="","",IF(COUNTIF($A$9:A46,A46)=1,MAX($M$8:M45)+1,""))</f>
        <v/>
      </c>
    </row>
    <row r="47" customFormat="false" ht="15" hidden="false" customHeight="false" outlineLevel="0" collapsed="false">
      <c r="A47" s="8"/>
      <c r="B47" s="17"/>
      <c r="C47" s="19"/>
      <c r="D47" s="8"/>
      <c r="E47" s="18"/>
      <c r="F47" s="18"/>
      <c r="G47" s="8"/>
      <c r="H47" s="8"/>
      <c r="I47" s="8"/>
      <c r="J47" s="8"/>
      <c r="K47" s="10" t="str">
        <f aca="false">IF(A47="","",IF(ABS(SUMIFS($E$9:$E$2008,$A$9:$A$2008,A47)-SUMIFS($F$9:$F$2008,$A$9:$A$2008,A47))&lt;0.5,"Yes","No"))</f>
        <v/>
      </c>
      <c r="L47" s="10" t="str">
        <f aca="false">IF(A47="","",IF(IF(K47="No","Does not balance | ","")&amp;IF(I47="","Not approved | ",IF(UPPER(TRIM(H47))=UPPER(TRIM(I47)),"Self-approved | ",""))&amp;IF(J47="","No support | ","")&amp;IF(WEEKDAY(B47,2)&gt;5,"Weekend posting | ","")&amp;IF(COUNTIF(Settings!$A$14:$A$43,B47)&gt;0,"Holiday posting | ","")&amp;IF(B47&gt;Settings!$C$8,"Posted after close | ","")&amp;IF(OR(B47&lt;Settings!$C$6,B47&gt;Settings!$C$7),"Outside period | ","")&amp;IF(COUNTIF(Settings!$E$14:$E$43,C47&amp;"")&gt;0,"Sensitive account | ","")&amp;IF(AND(MAX(N(E47),N(F47))&gt;=Settings!$C$9,MOD(MAX(N(E47),N(F47)),Settings!$C$10)=0),"Round amount | ","")="","",LEFT(IF(K47="No","Does not balance | ","")&amp;IF(I47="","Not approved | ",IF(UPPER(TRIM(H47))=UPPER(TRIM(I47)),"Self-approved | ",""))&amp;IF(J47="","No support | ","")&amp;IF(WEEKDAY(B47,2)&gt;5,"Weekend posting | ","")&amp;IF(COUNTIF(Settings!$A$14:$A$43,B47)&gt;0,"Holiday posting | ","")&amp;IF(B47&gt;Settings!$C$8,"Posted after close | ","")&amp;IF(OR(B47&lt;Settings!$C$6,B47&gt;Settings!$C$7),"Outside period | ","")&amp;IF(COUNTIF(Settings!$E$14:$E$43,C47&amp;"")&gt;0,"Sensitive account | ","")&amp;IF(AND(MAX(N(E47),N(F47))&gt;=Settings!$C$9,MOD(MAX(N(E47),N(F47)),Settings!$C$10)=0),"Round amount | ",""),LEN(IF(K47="No","Does not balance | ","")&amp;IF(I47="","Not approved | ",IF(UPPER(TRIM(H47))=UPPER(TRIM(I47)),"Self-approved | ",""))&amp;IF(J47="","No support | ","")&amp;IF(WEEKDAY(B47,2)&gt;5,"Weekend posting | ","")&amp;IF(COUNTIF(Settings!$A$14:$A$43,B47)&gt;0,"Holiday posting | ","")&amp;IF(B47&gt;Settings!$C$8,"Posted after close | ","")&amp;IF(OR(B47&lt;Settings!$C$6,B47&gt;Settings!$C$7),"Outside period | ","")&amp;IF(COUNTIF(Settings!$E$14:$E$43,C47&amp;"")&gt;0,"Sensitive account | ","")&amp;IF(AND(MAX(N(E47),N(F47))&gt;=Settings!$C$9,MOD(MAX(N(E47),N(F47)),Settings!$C$10)=0),"Round amount | ",""))-3)))</f>
        <v/>
      </c>
      <c r="M47" s="21" t="str">
        <f aca="false">IF(A47="","",IF(COUNTIF($A$9:A47,A47)=1,MAX($M$8:M46)+1,""))</f>
        <v/>
      </c>
    </row>
    <row r="48" customFormat="false" ht="15" hidden="false" customHeight="false" outlineLevel="0" collapsed="false">
      <c r="A48" s="8"/>
      <c r="B48" s="17"/>
      <c r="C48" s="19"/>
      <c r="D48" s="8"/>
      <c r="E48" s="18"/>
      <c r="F48" s="18"/>
      <c r="G48" s="8"/>
      <c r="H48" s="8"/>
      <c r="I48" s="8"/>
      <c r="J48" s="8"/>
      <c r="K48" s="10" t="str">
        <f aca="false">IF(A48="","",IF(ABS(SUMIFS($E$9:$E$2008,$A$9:$A$2008,A48)-SUMIFS($F$9:$F$2008,$A$9:$A$2008,A48))&lt;0.5,"Yes","No"))</f>
        <v/>
      </c>
      <c r="L48" s="10" t="str">
        <f aca="false">IF(A48="","",IF(IF(K48="No","Does not balance | ","")&amp;IF(I48="","Not approved | ",IF(UPPER(TRIM(H48))=UPPER(TRIM(I48)),"Self-approved | ",""))&amp;IF(J48="","No support | ","")&amp;IF(WEEKDAY(B48,2)&gt;5,"Weekend posting | ","")&amp;IF(COUNTIF(Settings!$A$14:$A$43,B48)&gt;0,"Holiday posting | ","")&amp;IF(B48&gt;Settings!$C$8,"Posted after close | ","")&amp;IF(OR(B48&lt;Settings!$C$6,B48&gt;Settings!$C$7),"Outside period | ","")&amp;IF(COUNTIF(Settings!$E$14:$E$43,C48&amp;"")&gt;0,"Sensitive account | ","")&amp;IF(AND(MAX(N(E48),N(F48))&gt;=Settings!$C$9,MOD(MAX(N(E48),N(F48)),Settings!$C$10)=0),"Round amount | ","")="","",LEFT(IF(K48="No","Does not balance | ","")&amp;IF(I48="","Not approved | ",IF(UPPER(TRIM(H48))=UPPER(TRIM(I48)),"Self-approved | ",""))&amp;IF(J48="","No support | ","")&amp;IF(WEEKDAY(B48,2)&gt;5,"Weekend posting | ","")&amp;IF(COUNTIF(Settings!$A$14:$A$43,B48)&gt;0,"Holiday posting | ","")&amp;IF(B48&gt;Settings!$C$8,"Posted after close | ","")&amp;IF(OR(B48&lt;Settings!$C$6,B48&gt;Settings!$C$7),"Outside period | ","")&amp;IF(COUNTIF(Settings!$E$14:$E$43,C48&amp;"")&gt;0,"Sensitive account | ","")&amp;IF(AND(MAX(N(E48),N(F48))&gt;=Settings!$C$9,MOD(MAX(N(E48),N(F48)),Settings!$C$10)=0),"Round amount | ",""),LEN(IF(K48="No","Does not balance | ","")&amp;IF(I48="","Not approved | ",IF(UPPER(TRIM(H48))=UPPER(TRIM(I48)),"Self-approved | ",""))&amp;IF(J48="","No support | ","")&amp;IF(WEEKDAY(B48,2)&gt;5,"Weekend posting | ","")&amp;IF(COUNTIF(Settings!$A$14:$A$43,B48)&gt;0,"Holiday posting | ","")&amp;IF(B48&gt;Settings!$C$8,"Posted after close | ","")&amp;IF(OR(B48&lt;Settings!$C$6,B48&gt;Settings!$C$7),"Outside period | ","")&amp;IF(COUNTIF(Settings!$E$14:$E$43,C48&amp;"")&gt;0,"Sensitive account | ","")&amp;IF(AND(MAX(N(E48),N(F48))&gt;=Settings!$C$9,MOD(MAX(N(E48),N(F48)),Settings!$C$10)=0),"Round amount | ",""))-3)))</f>
        <v/>
      </c>
      <c r="M48" s="21" t="str">
        <f aca="false">IF(A48="","",IF(COUNTIF($A$9:A48,A48)=1,MAX($M$8:M47)+1,""))</f>
        <v/>
      </c>
    </row>
    <row r="49" customFormat="false" ht="15" hidden="false" customHeight="false" outlineLevel="0" collapsed="false">
      <c r="A49" s="8"/>
      <c r="B49" s="17"/>
      <c r="C49" s="19"/>
      <c r="D49" s="8"/>
      <c r="E49" s="18"/>
      <c r="F49" s="18"/>
      <c r="G49" s="8"/>
      <c r="H49" s="8"/>
      <c r="I49" s="8"/>
      <c r="J49" s="8"/>
      <c r="K49" s="10" t="str">
        <f aca="false">IF(A49="","",IF(ABS(SUMIFS($E$9:$E$2008,$A$9:$A$2008,A49)-SUMIFS($F$9:$F$2008,$A$9:$A$2008,A49))&lt;0.5,"Yes","No"))</f>
        <v/>
      </c>
      <c r="L49" s="10" t="str">
        <f aca="false">IF(A49="","",IF(IF(K49="No","Does not balance | ","")&amp;IF(I49="","Not approved | ",IF(UPPER(TRIM(H49))=UPPER(TRIM(I49)),"Self-approved | ",""))&amp;IF(J49="","No support | ","")&amp;IF(WEEKDAY(B49,2)&gt;5,"Weekend posting | ","")&amp;IF(COUNTIF(Settings!$A$14:$A$43,B49)&gt;0,"Holiday posting | ","")&amp;IF(B49&gt;Settings!$C$8,"Posted after close | ","")&amp;IF(OR(B49&lt;Settings!$C$6,B49&gt;Settings!$C$7),"Outside period | ","")&amp;IF(COUNTIF(Settings!$E$14:$E$43,C49&amp;"")&gt;0,"Sensitive account | ","")&amp;IF(AND(MAX(N(E49),N(F49))&gt;=Settings!$C$9,MOD(MAX(N(E49),N(F49)),Settings!$C$10)=0),"Round amount | ","")="","",LEFT(IF(K49="No","Does not balance | ","")&amp;IF(I49="","Not approved | ",IF(UPPER(TRIM(H49))=UPPER(TRIM(I49)),"Self-approved | ",""))&amp;IF(J49="","No support | ","")&amp;IF(WEEKDAY(B49,2)&gt;5,"Weekend posting | ","")&amp;IF(COUNTIF(Settings!$A$14:$A$43,B49)&gt;0,"Holiday posting | ","")&amp;IF(B49&gt;Settings!$C$8,"Posted after close | ","")&amp;IF(OR(B49&lt;Settings!$C$6,B49&gt;Settings!$C$7),"Outside period | ","")&amp;IF(COUNTIF(Settings!$E$14:$E$43,C49&amp;"")&gt;0,"Sensitive account | ","")&amp;IF(AND(MAX(N(E49),N(F49))&gt;=Settings!$C$9,MOD(MAX(N(E49),N(F49)),Settings!$C$10)=0),"Round amount | ",""),LEN(IF(K49="No","Does not balance | ","")&amp;IF(I49="","Not approved | ",IF(UPPER(TRIM(H49))=UPPER(TRIM(I49)),"Self-approved | ",""))&amp;IF(J49="","No support | ","")&amp;IF(WEEKDAY(B49,2)&gt;5,"Weekend posting | ","")&amp;IF(COUNTIF(Settings!$A$14:$A$43,B49)&gt;0,"Holiday posting | ","")&amp;IF(B49&gt;Settings!$C$8,"Posted after close | ","")&amp;IF(OR(B49&lt;Settings!$C$6,B49&gt;Settings!$C$7),"Outside period | ","")&amp;IF(COUNTIF(Settings!$E$14:$E$43,C49&amp;"")&gt;0,"Sensitive account | ","")&amp;IF(AND(MAX(N(E49),N(F49))&gt;=Settings!$C$9,MOD(MAX(N(E49),N(F49)),Settings!$C$10)=0),"Round amount | ",""))-3)))</f>
        <v/>
      </c>
      <c r="M49" s="21" t="str">
        <f aca="false">IF(A49="","",IF(COUNTIF($A$9:A49,A49)=1,MAX($M$8:M48)+1,""))</f>
        <v/>
      </c>
    </row>
    <row r="50" customFormat="false" ht="15" hidden="false" customHeight="false" outlineLevel="0" collapsed="false">
      <c r="A50" s="8"/>
      <c r="B50" s="17"/>
      <c r="C50" s="19"/>
      <c r="D50" s="8"/>
      <c r="E50" s="18"/>
      <c r="F50" s="18"/>
      <c r="G50" s="8"/>
      <c r="H50" s="8"/>
      <c r="I50" s="8"/>
      <c r="J50" s="8"/>
      <c r="K50" s="10" t="str">
        <f aca="false">IF(A50="","",IF(ABS(SUMIFS($E$9:$E$2008,$A$9:$A$2008,A50)-SUMIFS($F$9:$F$2008,$A$9:$A$2008,A50))&lt;0.5,"Yes","No"))</f>
        <v/>
      </c>
      <c r="L50" s="10" t="str">
        <f aca="false">IF(A50="","",IF(IF(K50="No","Does not balance | ","")&amp;IF(I50="","Not approved | ",IF(UPPER(TRIM(H50))=UPPER(TRIM(I50)),"Self-approved | ",""))&amp;IF(J50="","No support | ","")&amp;IF(WEEKDAY(B50,2)&gt;5,"Weekend posting | ","")&amp;IF(COUNTIF(Settings!$A$14:$A$43,B50)&gt;0,"Holiday posting | ","")&amp;IF(B50&gt;Settings!$C$8,"Posted after close | ","")&amp;IF(OR(B50&lt;Settings!$C$6,B50&gt;Settings!$C$7),"Outside period | ","")&amp;IF(COUNTIF(Settings!$E$14:$E$43,C50&amp;"")&gt;0,"Sensitive account | ","")&amp;IF(AND(MAX(N(E50),N(F50))&gt;=Settings!$C$9,MOD(MAX(N(E50),N(F50)),Settings!$C$10)=0),"Round amount | ","")="","",LEFT(IF(K50="No","Does not balance | ","")&amp;IF(I50="","Not approved | ",IF(UPPER(TRIM(H50))=UPPER(TRIM(I50)),"Self-approved | ",""))&amp;IF(J50="","No support | ","")&amp;IF(WEEKDAY(B50,2)&gt;5,"Weekend posting | ","")&amp;IF(COUNTIF(Settings!$A$14:$A$43,B50)&gt;0,"Holiday posting | ","")&amp;IF(B50&gt;Settings!$C$8,"Posted after close | ","")&amp;IF(OR(B50&lt;Settings!$C$6,B50&gt;Settings!$C$7),"Outside period | ","")&amp;IF(COUNTIF(Settings!$E$14:$E$43,C50&amp;"")&gt;0,"Sensitive account | ","")&amp;IF(AND(MAX(N(E50),N(F50))&gt;=Settings!$C$9,MOD(MAX(N(E50),N(F50)),Settings!$C$10)=0),"Round amount | ",""),LEN(IF(K50="No","Does not balance | ","")&amp;IF(I50="","Not approved | ",IF(UPPER(TRIM(H50))=UPPER(TRIM(I50)),"Self-approved | ",""))&amp;IF(J50="","No support | ","")&amp;IF(WEEKDAY(B50,2)&gt;5,"Weekend posting | ","")&amp;IF(COUNTIF(Settings!$A$14:$A$43,B50)&gt;0,"Holiday posting | ","")&amp;IF(B50&gt;Settings!$C$8,"Posted after close | ","")&amp;IF(OR(B50&lt;Settings!$C$6,B50&gt;Settings!$C$7),"Outside period | ","")&amp;IF(COUNTIF(Settings!$E$14:$E$43,C50&amp;"")&gt;0,"Sensitive account | ","")&amp;IF(AND(MAX(N(E50),N(F50))&gt;=Settings!$C$9,MOD(MAX(N(E50),N(F50)),Settings!$C$10)=0),"Round amount | ",""))-3)))</f>
        <v/>
      </c>
      <c r="M50" s="21" t="str">
        <f aca="false">IF(A50="","",IF(COUNTIF($A$9:A50,A50)=1,MAX($M$8:M49)+1,""))</f>
        <v/>
      </c>
    </row>
    <row r="51" customFormat="false" ht="15" hidden="false" customHeight="false" outlineLevel="0" collapsed="false">
      <c r="A51" s="8"/>
      <c r="B51" s="17"/>
      <c r="C51" s="19"/>
      <c r="D51" s="8"/>
      <c r="E51" s="18"/>
      <c r="F51" s="18"/>
      <c r="G51" s="8"/>
      <c r="H51" s="8"/>
      <c r="I51" s="8"/>
      <c r="J51" s="8"/>
      <c r="K51" s="10" t="str">
        <f aca="false">IF(A51="","",IF(ABS(SUMIFS($E$9:$E$2008,$A$9:$A$2008,A51)-SUMIFS($F$9:$F$2008,$A$9:$A$2008,A51))&lt;0.5,"Yes","No"))</f>
        <v/>
      </c>
      <c r="L51" s="10" t="str">
        <f aca="false">IF(A51="","",IF(IF(K51="No","Does not balance | ","")&amp;IF(I51="","Not approved | ",IF(UPPER(TRIM(H51))=UPPER(TRIM(I51)),"Self-approved | ",""))&amp;IF(J51="","No support | ","")&amp;IF(WEEKDAY(B51,2)&gt;5,"Weekend posting | ","")&amp;IF(COUNTIF(Settings!$A$14:$A$43,B51)&gt;0,"Holiday posting | ","")&amp;IF(B51&gt;Settings!$C$8,"Posted after close | ","")&amp;IF(OR(B51&lt;Settings!$C$6,B51&gt;Settings!$C$7),"Outside period | ","")&amp;IF(COUNTIF(Settings!$E$14:$E$43,C51&amp;"")&gt;0,"Sensitive account | ","")&amp;IF(AND(MAX(N(E51),N(F51))&gt;=Settings!$C$9,MOD(MAX(N(E51),N(F51)),Settings!$C$10)=0),"Round amount | ","")="","",LEFT(IF(K51="No","Does not balance | ","")&amp;IF(I51="","Not approved | ",IF(UPPER(TRIM(H51))=UPPER(TRIM(I51)),"Self-approved | ",""))&amp;IF(J51="","No support | ","")&amp;IF(WEEKDAY(B51,2)&gt;5,"Weekend posting | ","")&amp;IF(COUNTIF(Settings!$A$14:$A$43,B51)&gt;0,"Holiday posting | ","")&amp;IF(B51&gt;Settings!$C$8,"Posted after close | ","")&amp;IF(OR(B51&lt;Settings!$C$6,B51&gt;Settings!$C$7),"Outside period | ","")&amp;IF(COUNTIF(Settings!$E$14:$E$43,C51&amp;"")&gt;0,"Sensitive account | ","")&amp;IF(AND(MAX(N(E51),N(F51))&gt;=Settings!$C$9,MOD(MAX(N(E51),N(F51)),Settings!$C$10)=0),"Round amount | ",""),LEN(IF(K51="No","Does not balance | ","")&amp;IF(I51="","Not approved | ",IF(UPPER(TRIM(H51))=UPPER(TRIM(I51)),"Self-approved | ",""))&amp;IF(J51="","No support | ","")&amp;IF(WEEKDAY(B51,2)&gt;5,"Weekend posting | ","")&amp;IF(COUNTIF(Settings!$A$14:$A$43,B51)&gt;0,"Holiday posting | ","")&amp;IF(B51&gt;Settings!$C$8,"Posted after close | ","")&amp;IF(OR(B51&lt;Settings!$C$6,B51&gt;Settings!$C$7),"Outside period | ","")&amp;IF(COUNTIF(Settings!$E$14:$E$43,C51&amp;"")&gt;0,"Sensitive account | ","")&amp;IF(AND(MAX(N(E51),N(F51))&gt;=Settings!$C$9,MOD(MAX(N(E51),N(F51)),Settings!$C$10)=0),"Round amount | ",""))-3)))</f>
        <v/>
      </c>
      <c r="M51" s="21" t="str">
        <f aca="false">IF(A51="","",IF(COUNTIF($A$9:A51,A51)=1,MAX($M$8:M50)+1,""))</f>
        <v/>
      </c>
    </row>
    <row r="52" customFormat="false" ht="15" hidden="false" customHeight="false" outlineLevel="0" collapsed="false">
      <c r="A52" s="8"/>
      <c r="B52" s="17"/>
      <c r="C52" s="19"/>
      <c r="D52" s="8"/>
      <c r="E52" s="18"/>
      <c r="F52" s="18"/>
      <c r="G52" s="8"/>
      <c r="H52" s="8"/>
      <c r="I52" s="8"/>
      <c r="J52" s="8"/>
      <c r="K52" s="10" t="str">
        <f aca="false">IF(A52="","",IF(ABS(SUMIFS($E$9:$E$2008,$A$9:$A$2008,A52)-SUMIFS($F$9:$F$2008,$A$9:$A$2008,A52))&lt;0.5,"Yes","No"))</f>
        <v/>
      </c>
      <c r="L52" s="10" t="str">
        <f aca="false">IF(A52="","",IF(IF(K52="No","Does not balance | ","")&amp;IF(I52="","Not approved | ",IF(UPPER(TRIM(H52))=UPPER(TRIM(I52)),"Self-approved | ",""))&amp;IF(J52="","No support | ","")&amp;IF(WEEKDAY(B52,2)&gt;5,"Weekend posting | ","")&amp;IF(COUNTIF(Settings!$A$14:$A$43,B52)&gt;0,"Holiday posting | ","")&amp;IF(B52&gt;Settings!$C$8,"Posted after close | ","")&amp;IF(OR(B52&lt;Settings!$C$6,B52&gt;Settings!$C$7),"Outside period | ","")&amp;IF(COUNTIF(Settings!$E$14:$E$43,C52&amp;"")&gt;0,"Sensitive account | ","")&amp;IF(AND(MAX(N(E52),N(F52))&gt;=Settings!$C$9,MOD(MAX(N(E52),N(F52)),Settings!$C$10)=0),"Round amount | ","")="","",LEFT(IF(K52="No","Does not balance | ","")&amp;IF(I52="","Not approved | ",IF(UPPER(TRIM(H52))=UPPER(TRIM(I52)),"Self-approved | ",""))&amp;IF(J52="","No support | ","")&amp;IF(WEEKDAY(B52,2)&gt;5,"Weekend posting | ","")&amp;IF(COUNTIF(Settings!$A$14:$A$43,B52)&gt;0,"Holiday posting | ","")&amp;IF(B52&gt;Settings!$C$8,"Posted after close | ","")&amp;IF(OR(B52&lt;Settings!$C$6,B52&gt;Settings!$C$7),"Outside period | ","")&amp;IF(COUNTIF(Settings!$E$14:$E$43,C52&amp;"")&gt;0,"Sensitive account | ","")&amp;IF(AND(MAX(N(E52),N(F52))&gt;=Settings!$C$9,MOD(MAX(N(E52),N(F52)),Settings!$C$10)=0),"Round amount | ",""),LEN(IF(K52="No","Does not balance | ","")&amp;IF(I52="","Not approved | ",IF(UPPER(TRIM(H52))=UPPER(TRIM(I52)),"Self-approved | ",""))&amp;IF(J52="","No support | ","")&amp;IF(WEEKDAY(B52,2)&gt;5,"Weekend posting | ","")&amp;IF(COUNTIF(Settings!$A$14:$A$43,B52)&gt;0,"Holiday posting | ","")&amp;IF(B52&gt;Settings!$C$8,"Posted after close | ","")&amp;IF(OR(B52&lt;Settings!$C$6,B52&gt;Settings!$C$7),"Outside period | ","")&amp;IF(COUNTIF(Settings!$E$14:$E$43,C52&amp;"")&gt;0,"Sensitive account | ","")&amp;IF(AND(MAX(N(E52),N(F52))&gt;=Settings!$C$9,MOD(MAX(N(E52),N(F52)),Settings!$C$10)=0),"Round amount | ",""))-3)))</f>
        <v/>
      </c>
      <c r="M52" s="21" t="str">
        <f aca="false">IF(A52="","",IF(COUNTIF($A$9:A52,A52)=1,MAX($M$8:M51)+1,""))</f>
        <v/>
      </c>
    </row>
    <row r="53" customFormat="false" ht="15" hidden="false" customHeight="false" outlineLevel="0" collapsed="false">
      <c r="A53" s="8"/>
      <c r="B53" s="17"/>
      <c r="C53" s="19"/>
      <c r="D53" s="8"/>
      <c r="E53" s="18"/>
      <c r="F53" s="18"/>
      <c r="G53" s="8"/>
      <c r="H53" s="8"/>
      <c r="I53" s="8"/>
      <c r="J53" s="8"/>
      <c r="K53" s="10" t="str">
        <f aca="false">IF(A53="","",IF(ABS(SUMIFS($E$9:$E$2008,$A$9:$A$2008,A53)-SUMIFS($F$9:$F$2008,$A$9:$A$2008,A53))&lt;0.5,"Yes","No"))</f>
        <v/>
      </c>
      <c r="L53" s="10" t="str">
        <f aca="false">IF(A53="","",IF(IF(K53="No","Does not balance | ","")&amp;IF(I53="","Not approved | ",IF(UPPER(TRIM(H53))=UPPER(TRIM(I53)),"Self-approved | ",""))&amp;IF(J53="","No support | ","")&amp;IF(WEEKDAY(B53,2)&gt;5,"Weekend posting | ","")&amp;IF(COUNTIF(Settings!$A$14:$A$43,B53)&gt;0,"Holiday posting | ","")&amp;IF(B53&gt;Settings!$C$8,"Posted after close | ","")&amp;IF(OR(B53&lt;Settings!$C$6,B53&gt;Settings!$C$7),"Outside period | ","")&amp;IF(COUNTIF(Settings!$E$14:$E$43,C53&amp;"")&gt;0,"Sensitive account | ","")&amp;IF(AND(MAX(N(E53),N(F53))&gt;=Settings!$C$9,MOD(MAX(N(E53),N(F53)),Settings!$C$10)=0),"Round amount | ","")="","",LEFT(IF(K53="No","Does not balance | ","")&amp;IF(I53="","Not approved | ",IF(UPPER(TRIM(H53))=UPPER(TRIM(I53)),"Self-approved | ",""))&amp;IF(J53="","No support | ","")&amp;IF(WEEKDAY(B53,2)&gt;5,"Weekend posting | ","")&amp;IF(COUNTIF(Settings!$A$14:$A$43,B53)&gt;0,"Holiday posting | ","")&amp;IF(B53&gt;Settings!$C$8,"Posted after close | ","")&amp;IF(OR(B53&lt;Settings!$C$6,B53&gt;Settings!$C$7),"Outside period | ","")&amp;IF(COUNTIF(Settings!$E$14:$E$43,C53&amp;"")&gt;0,"Sensitive account | ","")&amp;IF(AND(MAX(N(E53),N(F53))&gt;=Settings!$C$9,MOD(MAX(N(E53),N(F53)),Settings!$C$10)=0),"Round amount | ",""),LEN(IF(K53="No","Does not balance | ","")&amp;IF(I53="","Not approved | ",IF(UPPER(TRIM(H53))=UPPER(TRIM(I53)),"Self-approved | ",""))&amp;IF(J53="","No support | ","")&amp;IF(WEEKDAY(B53,2)&gt;5,"Weekend posting | ","")&amp;IF(COUNTIF(Settings!$A$14:$A$43,B53)&gt;0,"Holiday posting | ","")&amp;IF(B53&gt;Settings!$C$8,"Posted after close | ","")&amp;IF(OR(B53&lt;Settings!$C$6,B53&gt;Settings!$C$7),"Outside period | ","")&amp;IF(COUNTIF(Settings!$E$14:$E$43,C53&amp;"")&gt;0,"Sensitive account | ","")&amp;IF(AND(MAX(N(E53),N(F53))&gt;=Settings!$C$9,MOD(MAX(N(E53),N(F53)),Settings!$C$10)=0),"Round amount | ",""))-3)))</f>
        <v/>
      </c>
      <c r="M53" s="21" t="str">
        <f aca="false">IF(A53="","",IF(COUNTIF($A$9:A53,A53)=1,MAX($M$8:M52)+1,""))</f>
        <v/>
      </c>
    </row>
    <row r="54" customFormat="false" ht="15" hidden="false" customHeight="false" outlineLevel="0" collapsed="false">
      <c r="A54" s="8"/>
      <c r="B54" s="17"/>
      <c r="C54" s="19"/>
      <c r="D54" s="8"/>
      <c r="E54" s="18"/>
      <c r="F54" s="18"/>
      <c r="G54" s="8"/>
      <c r="H54" s="8"/>
      <c r="I54" s="8"/>
      <c r="J54" s="8"/>
      <c r="K54" s="10" t="str">
        <f aca="false">IF(A54="","",IF(ABS(SUMIFS($E$9:$E$2008,$A$9:$A$2008,A54)-SUMIFS($F$9:$F$2008,$A$9:$A$2008,A54))&lt;0.5,"Yes","No"))</f>
        <v/>
      </c>
      <c r="L54" s="10" t="str">
        <f aca="false">IF(A54="","",IF(IF(K54="No","Does not balance | ","")&amp;IF(I54="","Not approved | ",IF(UPPER(TRIM(H54))=UPPER(TRIM(I54)),"Self-approved | ",""))&amp;IF(J54="","No support | ","")&amp;IF(WEEKDAY(B54,2)&gt;5,"Weekend posting | ","")&amp;IF(COUNTIF(Settings!$A$14:$A$43,B54)&gt;0,"Holiday posting | ","")&amp;IF(B54&gt;Settings!$C$8,"Posted after close | ","")&amp;IF(OR(B54&lt;Settings!$C$6,B54&gt;Settings!$C$7),"Outside period | ","")&amp;IF(COUNTIF(Settings!$E$14:$E$43,C54&amp;"")&gt;0,"Sensitive account | ","")&amp;IF(AND(MAX(N(E54),N(F54))&gt;=Settings!$C$9,MOD(MAX(N(E54),N(F54)),Settings!$C$10)=0),"Round amount | ","")="","",LEFT(IF(K54="No","Does not balance | ","")&amp;IF(I54="","Not approved | ",IF(UPPER(TRIM(H54))=UPPER(TRIM(I54)),"Self-approved | ",""))&amp;IF(J54="","No support | ","")&amp;IF(WEEKDAY(B54,2)&gt;5,"Weekend posting | ","")&amp;IF(COUNTIF(Settings!$A$14:$A$43,B54)&gt;0,"Holiday posting | ","")&amp;IF(B54&gt;Settings!$C$8,"Posted after close | ","")&amp;IF(OR(B54&lt;Settings!$C$6,B54&gt;Settings!$C$7),"Outside period | ","")&amp;IF(COUNTIF(Settings!$E$14:$E$43,C54&amp;"")&gt;0,"Sensitive account | ","")&amp;IF(AND(MAX(N(E54),N(F54))&gt;=Settings!$C$9,MOD(MAX(N(E54),N(F54)),Settings!$C$10)=0),"Round amount | ",""),LEN(IF(K54="No","Does not balance | ","")&amp;IF(I54="","Not approved | ",IF(UPPER(TRIM(H54))=UPPER(TRIM(I54)),"Self-approved | ",""))&amp;IF(J54="","No support | ","")&amp;IF(WEEKDAY(B54,2)&gt;5,"Weekend posting | ","")&amp;IF(COUNTIF(Settings!$A$14:$A$43,B54)&gt;0,"Holiday posting | ","")&amp;IF(B54&gt;Settings!$C$8,"Posted after close | ","")&amp;IF(OR(B54&lt;Settings!$C$6,B54&gt;Settings!$C$7),"Outside period | ","")&amp;IF(COUNTIF(Settings!$E$14:$E$43,C54&amp;"")&gt;0,"Sensitive account | ","")&amp;IF(AND(MAX(N(E54),N(F54))&gt;=Settings!$C$9,MOD(MAX(N(E54),N(F54)),Settings!$C$10)=0),"Round amount | ",""))-3)))</f>
        <v/>
      </c>
      <c r="M54" s="21" t="str">
        <f aca="false">IF(A54="","",IF(COUNTIF($A$9:A54,A54)=1,MAX($M$8:M53)+1,""))</f>
        <v/>
      </c>
    </row>
    <row r="55" customFormat="false" ht="15" hidden="false" customHeight="false" outlineLevel="0" collapsed="false">
      <c r="A55" s="8"/>
      <c r="B55" s="17"/>
      <c r="C55" s="19"/>
      <c r="D55" s="8"/>
      <c r="E55" s="18"/>
      <c r="F55" s="18"/>
      <c r="G55" s="8"/>
      <c r="H55" s="8"/>
      <c r="I55" s="8"/>
      <c r="J55" s="8"/>
      <c r="K55" s="10" t="str">
        <f aca="false">IF(A55="","",IF(ABS(SUMIFS($E$9:$E$2008,$A$9:$A$2008,A55)-SUMIFS($F$9:$F$2008,$A$9:$A$2008,A55))&lt;0.5,"Yes","No"))</f>
        <v/>
      </c>
      <c r="L55" s="10" t="str">
        <f aca="false">IF(A55="","",IF(IF(K55="No","Does not balance | ","")&amp;IF(I55="","Not approved | ",IF(UPPER(TRIM(H55))=UPPER(TRIM(I55)),"Self-approved | ",""))&amp;IF(J55="","No support | ","")&amp;IF(WEEKDAY(B55,2)&gt;5,"Weekend posting | ","")&amp;IF(COUNTIF(Settings!$A$14:$A$43,B55)&gt;0,"Holiday posting | ","")&amp;IF(B55&gt;Settings!$C$8,"Posted after close | ","")&amp;IF(OR(B55&lt;Settings!$C$6,B55&gt;Settings!$C$7),"Outside period | ","")&amp;IF(COUNTIF(Settings!$E$14:$E$43,C55&amp;"")&gt;0,"Sensitive account | ","")&amp;IF(AND(MAX(N(E55),N(F55))&gt;=Settings!$C$9,MOD(MAX(N(E55),N(F55)),Settings!$C$10)=0),"Round amount | ","")="","",LEFT(IF(K55="No","Does not balance | ","")&amp;IF(I55="","Not approved | ",IF(UPPER(TRIM(H55))=UPPER(TRIM(I55)),"Self-approved | ",""))&amp;IF(J55="","No support | ","")&amp;IF(WEEKDAY(B55,2)&gt;5,"Weekend posting | ","")&amp;IF(COUNTIF(Settings!$A$14:$A$43,B55)&gt;0,"Holiday posting | ","")&amp;IF(B55&gt;Settings!$C$8,"Posted after close | ","")&amp;IF(OR(B55&lt;Settings!$C$6,B55&gt;Settings!$C$7),"Outside period | ","")&amp;IF(COUNTIF(Settings!$E$14:$E$43,C55&amp;"")&gt;0,"Sensitive account | ","")&amp;IF(AND(MAX(N(E55),N(F55))&gt;=Settings!$C$9,MOD(MAX(N(E55),N(F55)),Settings!$C$10)=0),"Round amount | ",""),LEN(IF(K55="No","Does not balance | ","")&amp;IF(I55="","Not approved | ",IF(UPPER(TRIM(H55))=UPPER(TRIM(I55)),"Self-approved | ",""))&amp;IF(J55="","No support | ","")&amp;IF(WEEKDAY(B55,2)&gt;5,"Weekend posting | ","")&amp;IF(COUNTIF(Settings!$A$14:$A$43,B55)&gt;0,"Holiday posting | ","")&amp;IF(B55&gt;Settings!$C$8,"Posted after close | ","")&amp;IF(OR(B55&lt;Settings!$C$6,B55&gt;Settings!$C$7),"Outside period | ","")&amp;IF(COUNTIF(Settings!$E$14:$E$43,C55&amp;"")&gt;0,"Sensitive account | ","")&amp;IF(AND(MAX(N(E55),N(F55))&gt;=Settings!$C$9,MOD(MAX(N(E55),N(F55)),Settings!$C$10)=0),"Round amount | ",""))-3)))</f>
        <v/>
      </c>
      <c r="M55" s="21" t="str">
        <f aca="false">IF(A55="","",IF(COUNTIF($A$9:A55,A55)=1,MAX($M$8:M54)+1,""))</f>
        <v/>
      </c>
    </row>
    <row r="56" customFormat="false" ht="15" hidden="false" customHeight="false" outlineLevel="0" collapsed="false">
      <c r="A56" s="8"/>
      <c r="B56" s="17"/>
      <c r="C56" s="19"/>
      <c r="D56" s="8"/>
      <c r="E56" s="18"/>
      <c r="F56" s="18"/>
      <c r="G56" s="8"/>
      <c r="H56" s="8"/>
      <c r="I56" s="8"/>
      <c r="J56" s="8"/>
      <c r="K56" s="10" t="str">
        <f aca="false">IF(A56="","",IF(ABS(SUMIFS($E$9:$E$2008,$A$9:$A$2008,A56)-SUMIFS($F$9:$F$2008,$A$9:$A$2008,A56))&lt;0.5,"Yes","No"))</f>
        <v/>
      </c>
      <c r="L56" s="10" t="str">
        <f aca="false">IF(A56="","",IF(IF(K56="No","Does not balance | ","")&amp;IF(I56="","Not approved | ",IF(UPPER(TRIM(H56))=UPPER(TRIM(I56)),"Self-approved | ",""))&amp;IF(J56="","No support | ","")&amp;IF(WEEKDAY(B56,2)&gt;5,"Weekend posting | ","")&amp;IF(COUNTIF(Settings!$A$14:$A$43,B56)&gt;0,"Holiday posting | ","")&amp;IF(B56&gt;Settings!$C$8,"Posted after close | ","")&amp;IF(OR(B56&lt;Settings!$C$6,B56&gt;Settings!$C$7),"Outside period | ","")&amp;IF(COUNTIF(Settings!$E$14:$E$43,C56&amp;"")&gt;0,"Sensitive account | ","")&amp;IF(AND(MAX(N(E56),N(F56))&gt;=Settings!$C$9,MOD(MAX(N(E56),N(F56)),Settings!$C$10)=0),"Round amount | ","")="","",LEFT(IF(K56="No","Does not balance | ","")&amp;IF(I56="","Not approved | ",IF(UPPER(TRIM(H56))=UPPER(TRIM(I56)),"Self-approved | ",""))&amp;IF(J56="","No support | ","")&amp;IF(WEEKDAY(B56,2)&gt;5,"Weekend posting | ","")&amp;IF(COUNTIF(Settings!$A$14:$A$43,B56)&gt;0,"Holiday posting | ","")&amp;IF(B56&gt;Settings!$C$8,"Posted after close | ","")&amp;IF(OR(B56&lt;Settings!$C$6,B56&gt;Settings!$C$7),"Outside period | ","")&amp;IF(COUNTIF(Settings!$E$14:$E$43,C56&amp;"")&gt;0,"Sensitive account | ","")&amp;IF(AND(MAX(N(E56),N(F56))&gt;=Settings!$C$9,MOD(MAX(N(E56),N(F56)),Settings!$C$10)=0),"Round amount | ",""),LEN(IF(K56="No","Does not balance | ","")&amp;IF(I56="","Not approved | ",IF(UPPER(TRIM(H56))=UPPER(TRIM(I56)),"Self-approved | ",""))&amp;IF(J56="","No support | ","")&amp;IF(WEEKDAY(B56,2)&gt;5,"Weekend posting | ","")&amp;IF(COUNTIF(Settings!$A$14:$A$43,B56)&gt;0,"Holiday posting | ","")&amp;IF(B56&gt;Settings!$C$8,"Posted after close | ","")&amp;IF(OR(B56&lt;Settings!$C$6,B56&gt;Settings!$C$7),"Outside period | ","")&amp;IF(COUNTIF(Settings!$E$14:$E$43,C56&amp;"")&gt;0,"Sensitive account | ","")&amp;IF(AND(MAX(N(E56),N(F56))&gt;=Settings!$C$9,MOD(MAX(N(E56),N(F56)),Settings!$C$10)=0),"Round amount | ",""))-3)))</f>
        <v/>
      </c>
      <c r="M56" s="21" t="str">
        <f aca="false">IF(A56="","",IF(COUNTIF($A$9:A56,A56)=1,MAX($M$8:M55)+1,""))</f>
        <v/>
      </c>
    </row>
    <row r="57" customFormat="false" ht="15" hidden="false" customHeight="false" outlineLevel="0" collapsed="false">
      <c r="A57" s="8"/>
      <c r="B57" s="17"/>
      <c r="C57" s="19"/>
      <c r="D57" s="8"/>
      <c r="E57" s="18"/>
      <c r="F57" s="18"/>
      <c r="G57" s="8"/>
      <c r="H57" s="8"/>
      <c r="I57" s="8"/>
      <c r="J57" s="8"/>
      <c r="K57" s="10" t="str">
        <f aca="false">IF(A57="","",IF(ABS(SUMIFS($E$9:$E$2008,$A$9:$A$2008,A57)-SUMIFS($F$9:$F$2008,$A$9:$A$2008,A57))&lt;0.5,"Yes","No"))</f>
        <v/>
      </c>
      <c r="L57" s="10" t="str">
        <f aca="false">IF(A57="","",IF(IF(K57="No","Does not balance | ","")&amp;IF(I57="","Not approved | ",IF(UPPER(TRIM(H57))=UPPER(TRIM(I57)),"Self-approved | ",""))&amp;IF(J57="","No support | ","")&amp;IF(WEEKDAY(B57,2)&gt;5,"Weekend posting | ","")&amp;IF(COUNTIF(Settings!$A$14:$A$43,B57)&gt;0,"Holiday posting | ","")&amp;IF(B57&gt;Settings!$C$8,"Posted after close | ","")&amp;IF(OR(B57&lt;Settings!$C$6,B57&gt;Settings!$C$7),"Outside period | ","")&amp;IF(COUNTIF(Settings!$E$14:$E$43,C57&amp;"")&gt;0,"Sensitive account | ","")&amp;IF(AND(MAX(N(E57),N(F57))&gt;=Settings!$C$9,MOD(MAX(N(E57),N(F57)),Settings!$C$10)=0),"Round amount | ","")="","",LEFT(IF(K57="No","Does not balance | ","")&amp;IF(I57="","Not approved | ",IF(UPPER(TRIM(H57))=UPPER(TRIM(I57)),"Self-approved | ",""))&amp;IF(J57="","No support | ","")&amp;IF(WEEKDAY(B57,2)&gt;5,"Weekend posting | ","")&amp;IF(COUNTIF(Settings!$A$14:$A$43,B57)&gt;0,"Holiday posting | ","")&amp;IF(B57&gt;Settings!$C$8,"Posted after close | ","")&amp;IF(OR(B57&lt;Settings!$C$6,B57&gt;Settings!$C$7),"Outside period | ","")&amp;IF(COUNTIF(Settings!$E$14:$E$43,C57&amp;"")&gt;0,"Sensitive account | ","")&amp;IF(AND(MAX(N(E57),N(F57))&gt;=Settings!$C$9,MOD(MAX(N(E57),N(F57)),Settings!$C$10)=0),"Round amount | ",""),LEN(IF(K57="No","Does not balance | ","")&amp;IF(I57="","Not approved | ",IF(UPPER(TRIM(H57))=UPPER(TRIM(I57)),"Self-approved | ",""))&amp;IF(J57="","No support | ","")&amp;IF(WEEKDAY(B57,2)&gt;5,"Weekend posting | ","")&amp;IF(COUNTIF(Settings!$A$14:$A$43,B57)&gt;0,"Holiday posting | ","")&amp;IF(B57&gt;Settings!$C$8,"Posted after close | ","")&amp;IF(OR(B57&lt;Settings!$C$6,B57&gt;Settings!$C$7),"Outside period | ","")&amp;IF(COUNTIF(Settings!$E$14:$E$43,C57&amp;"")&gt;0,"Sensitive account | ","")&amp;IF(AND(MAX(N(E57),N(F57))&gt;=Settings!$C$9,MOD(MAX(N(E57),N(F57)),Settings!$C$10)=0),"Round amount | ",""))-3)))</f>
        <v/>
      </c>
      <c r="M57" s="21" t="str">
        <f aca="false">IF(A57="","",IF(COUNTIF($A$9:A57,A57)=1,MAX($M$8:M56)+1,""))</f>
        <v/>
      </c>
    </row>
    <row r="58" customFormat="false" ht="15" hidden="false" customHeight="false" outlineLevel="0" collapsed="false">
      <c r="A58" s="8"/>
      <c r="B58" s="17"/>
      <c r="C58" s="19"/>
      <c r="D58" s="8"/>
      <c r="E58" s="18"/>
      <c r="F58" s="18"/>
      <c r="G58" s="8"/>
      <c r="H58" s="8"/>
      <c r="I58" s="8"/>
      <c r="J58" s="8"/>
      <c r="K58" s="10" t="str">
        <f aca="false">IF(A58="","",IF(ABS(SUMIFS($E$9:$E$2008,$A$9:$A$2008,A58)-SUMIFS($F$9:$F$2008,$A$9:$A$2008,A58))&lt;0.5,"Yes","No"))</f>
        <v/>
      </c>
      <c r="L58" s="10" t="str">
        <f aca="false">IF(A58="","",IF(IF(K58="No","Does not balance | ","")&amp;IF(I58="","Not approved | ",IF(UPPER(TRIM(H58))=UPPER(TRIM(I58)),"Self-approved | ",""))&amp;IF(J58="","No support | ","")&amp;IF(WEEKDAY(B58,2)&gt;5,"Weekend posting | ","")&amp;IF(COUNTIF(Settings!$A$14:$A$43,B58)&gt;0,"Holiday posting | ","")&amp;IF(B58&gt;Settings!$C$8,"Posted after close | ","")&amp;IF(OR(B58&lt;Settings!$C$6,B58&gt;Settings!$C$7),"Outside period | ","")&amp;IF(COUNTIF(Settings!$E$14:$E$43,C58&amp;"")&gt;0,"Sensitive account | ","")&amp;IF(AND(MAX(N(E58),N(F58))&gt;=Settings!$C$9,MOD(MAX(N(E58),N(F58)),Settings!$C$10)=0),"Round amount | ","")="","",LEFT(IF(K58="No","Does not balance | ","")&amp;IF(I58="","Not approved | ",IF(UPPER(TRIM(H58))=UPPER(TRIM(I58)),"Self-approved | ",""))&amp;IF(J58="","No support | ","")&amp;IF(WEEKDAY(B58,2)&gt;5,"Weekend posting | ","")&amp;IF(COUNTIF(Settings!$A$14:$A$43,B58)&gt;0,"Holiday posting | ","")&amp;IF(B58&gt;Settings!$C$8,"Posted after close | ","")&amp;IF(OR(B58&lt;Settings!$C$6,B58&gt;Settings!$C$7),"Outside period | ","")&amp;IF(COUNTIF(Settings!$E$14:$E$43,C58&amp;"")&gt;0,"Sensitive account | ","")&amp;IF(AND(MAX(N(E58),N(F58))&gt;=Settings!$C$9,MOD(MAX(N(E58),N(F58)),Settings!$C$10)=0),"Round amount | ",""),LEN(IF(K58="No","Does not balance | ","")&amp;IF(I58="","Not approved | ",IF(UPPER(TRIM(H58))=UPPER(TRIM(I58)),"Self-approved | ",""))&amp;IF(J58="","No support | ","")&amp;IF(WEEKDAY(B58,2)&gt;5,"Weekend posting | ","")&amp;IF(COUNTIF(Settings!$A$14:$A$43,B58)&gt;0,"Holiday posting | ","")&amp;IF(B58&gt;Settings!$C$8,"Posted after close | ","")&amp;IF(OR(B58&lt;Settings!$C$6,B58&gt;Settings!$C$7),"Outside period | ","")&amp;IF(COUNTIF(Settings!$E$14:$E$43,C58&amp;"")&gt;0,"Sensitive account | ","")&amp;IF(AND(MAX(N(E58),N(F58))&gt;=Settings!$C$9,MOD(MAX(N(E58),N(F58)),Settings!$C$10)=0),"Round amount | ",""))-3)))</f>
        <v/>
      </c>
      <c r="M58" s="21" t="str">
        <f aca="false">IF(A58="","",IF(COUNTIF($A$9:A58,A58)=1,MAX($M$8:M57)+1,""))</f>
        <v/>
      </c>
    </row>
    <row r="59" customFormat="false" ht="15" hidden="false" customHeight="false" outlineLevel="0" collapsed="false">
      <c r="A59" s="8"/>
      <c r="B59" s="17"/>
      <c r="C59" s="19"/>
      <c r="D59" s="8"/>
      <c r="E59" s="18"/>
      <c r="F59" s="18"/>
      <c r="G59" s="8"/>
      <c r="H59" s="8"/>
      <c r="I59" s="8"/>
      <c r="J59" s="8"/>
      <c r="K59" s="10" t="str">
        <f aca="false">IF(A59="","",IF(ABS(SUMIFS($E$9:$E$2008,$A$9:$A$2008,A59)-SUMIFS($F$9:$F$2008,$A$9:$A$2008,A59))&lt;0.5,"Yes","No"))</f>
        <v/>
      </c>
      <c r="L59" s="10" t="str">
        <f aca="false">IF(A59="","",IF(IF(K59="No","Does not balance | ","")&amp;IF(I59="","Not approved | ",IF(UPPER(TRIM(H59))=UPPER(TRIM(I59)),"Self-approved | ",""))&amp;IF(J59="","No support | ","")&amp;IF(WEEKDAY(B59,2)&gt;5,"Weekend posting | ","")&amp;IF(COUNTIF(Settings!$A$14:$A$43,B59)&gt;0,"Holiday posting | ","")&amp;IF(B59&gt;Settings!$C$8,"Posted after close | ","")&amp;IF(OR(B59&lt;Settings!$C$6,B59&gt;Settings!$C$7),"Outside period | ","")&amp;IF(COUNTIF(Settings!$E$14:$E$43,C59&amp;"")&gt;0,"Sensitive account | ","")&amp;IF(AND(MAX(N(E59),N(F59))&gt;=Settings!$C$9,MOD(MAX(N(E59),N(F59)),Settings!$C$10)=0),"Round amount | ","")="","",LEFT(IF(K59="No","Does not balance | ","")&amp;IF(I59="","Not approved | ",IF(UPPER(TRIM(H59))=UPPER(TRIM(I59)),"Self-approved | ",""))&amp;IF(J59="","No support | ","")&amp;IF(WEEKDAY(B59,2)&gt;5,"Weekend posting | ","")&amp;IF(COUNTIF(Settings!$A$14:$A$43,B59)&gt;0,"Holiday posting | ","")&amp;IF(B59&gt;Settings!$C$8,"Posted after close | ","")&amp;IF(OR(B59&lt;Settings!$C$6,B59&gt;Settings!$C$7),"Outside period | ","")&amp;IF(COUNTIF(Settings!$E$14:$E$43,C59&amp;"")&gt;0,"Sensitive account | ","")&amp;IF(AND(MAX(N(E59),N(F59))&gt;=Settings!$C$9,MOD(MAX(N(E59),N(F59)),Settings!$C$10)=0),"Round amount | ",""),LEN(IF(K59="No","Does not balance | ","")&amp;IF(I59="","Not approved | ",IF(UPPER(TRIM(H59))=UPPER(TRIM(I59)),"Self-approved | ",""))&amp;IF(J59="","No support | ","")&amp;IF(WEEKDAY(B59,2)&gt;5,"Weekend posting | ","")&amp;IF(COUNTIF(Settings!$A$14:$A$43,B59)&gt;0,"Holiday posting | ","")&amp;IF(B59&gt;Settings!$C$8,"Posted after close | ","")&amp;IF(OR(B59&lt;Settings!$C$6,B59&gt;Settings!$C$7),"Outside period | ","")&amp;IF(COUNTIF(Settings!$E$14:$E$43,C59&amp;"")&gt;0,"Sensitive account | ","")&amp;IF(AND(MAX(N(E59),N(F59))&gt;=Settings!$C$9,MOD(MAX(N(E59),N(F59)),Settings!$C$10)=0),"Round amount | ",""))-3)))</f>
        <v/>
      </c>
      <c r="M59" s="21" t="str">
        <f aca="false">IF(A59="","",IF(COUNTIF($A$9:A59,A59)=1,MAX($M$8:M58)+1,""))</f>
        <v/>
      </c>
    </row>
    <row r="60" customFormat="false" ht="15" hidden="false" customHeight="false" outlineLevel="0" collapsed="false">
      <c r="A60" s="8"/>
      <c r="B60" s="17"/>
      <c r="C60" s="19"/>
      <c r="D60" s="8"/>
      <c r="E60" s="18"/>
      <c r="F60" s="18"/>
      <c r="G60" s="8"/>
      <c r="H60" s="8"/>
      <c r="I60" s="8"/>
      <c r="J60" s="8"/>
      <c r="K60" s="10" t="str">
        <f aca="false">IF(A60="","",IF(ABS(SUMIFS($E$9:$E$2008,$A$9:$A$2008,A60)-SUMIFS($F$9:$F$2008,$A$9:$A$2008,A60))&lt;0.5,"Yes","No"))</f>
        <v/>
      </c>
      <c r="L60" s="10" t="str">
        <f aca="false">IF(A60="","",IF(IF(K60="No","Does not balance | ","")&amp;IF(I60="","Not approved | ",IF(UPPER(TRIM(H60))=UPPER(TRIM(I60)),"Self-approved | ",""))&amp;IF(J60="","No support | ","")&amp;IF(WEEKDAY(B60,2)&gt;5,"Weekend posting | ","")&amp;IF(COUNTIF(Settings!$A$14:$A$43,B60)&gt;0,"Holiday posting | ","")&amp;IF(B60&gt;Settings!$C$8,"Posted after close | ","")&amp;IF(OR(B60&lt;Settings!$C$6,B60&gt;Settings!$C$7),"Outside period | ","")&amp;IF(COUNTIF(Settings!$E$14:$E$43,C60&amp;"")&gt;0,"Sensitive account | ","")&amp;IF(AND(MAX(N(E60),N(F60))&gt;=Settings!$C$9,MOD(MAX(N(E60),N(F60)),Settings!$C$10)=0),"Round amount | ","")="","",LEFT(IF(K60="No","Does not balance | ","")&amp;IF(I60="","Not approved | ",IF(UPPER(TRIM(H60))=UPPER(TRIM(I60)),"Self-approved | ",""))&amp;IF(J60="","No support | ","")&amp;IF(WEEKDAY(B60,2)&gt;5,"Weekend posting | ","")&amp;IF(COUNTIF(Settings!$A$14:$A$43,B60)&gt;0,"Holiday posting | ","")&amp;IF(B60&gt;Settings!$C$8,"Posted after close | ","")&amp;IF(OR(B60&lt;Settings!$C$6,B60&gt;Settings!$C$7),"Outside period | ","")&amp;IF(COUNTIF(Settings!$E$14:$E$43,C60&amp;"")&gt;0,"Sensitive account | ","")&amp;IF(AND(MAX(N(E60),N(F60))&gt;=Settings!$C$9,MOD(MAX(N(E60),N(F60)),Settings!$C$10)=0),"Round amount | ",""),LEN(IF(K60="No","Does not balance | ","")&amp;IF(I60="","Not approved | ",IF(UPPER(TRIM(H60))=UPPER(TRIM(I60)),"Self-approved | ",""))&amp;IF(J60="","No support | ","")&amp;IF(WEEKDAY(B60,2)&gt;5,"Weekend posting | ","")&amp;IF(COUNTIF(Settings!$A$14:$A$43,B60)&gt;0,"Holiday posting | ","")&amp;IF(B60&gt;Settings!$C$8,"Posted after close | ","")&amp;IF(OR(B60&lt;Settings!$C$6,B60&gt;Settings!$C$7),"Outside period | ","")&amp;IF(COUNTIF(Settings!$E$14:$E$43,C60&amp;"")&gt;0,"Sensitive account | ","")&amp;IF(AND(MAX(N(E60),N(F60))&gt;=Settings!$C$9,MOD(MAX(N(E60),N(F60)),Settings!$C$10)=0),"Round amount | ",""))-3)))</f>
        <v/>
      </c>
      <c r="M60" s="21" t="str">
        <f aca="false">IF(A60="","",IF(COUNTIF($A$9:A60,A60)=1,MAX($M$8:M59)+1,""))</f>
        <v/>
      </c>
    </row>
    <row r="61" customFormat="false" ht="15" hidden="false" customHeight="false" outlineLevel="0" collapsed="false">
      <c r="A61" s="8"/>
      <c r="B61" s="17"/>
      <c r="C61" s="19"/>
      <c r="D61" s="8"/>
      <c r="E61" s="18"/>
      <c r="F61" s="18"/>
      <c r="G61" s="8"/>
      <c r="H61" s="8"/>
      <c r="I61" s="8"/>
      <c r="J61" s="8"/>
      <c r="K61" s="10" t="str">
        <f aca="false">IF(A61="","",IF(ABS(SUMIFS($E$9:$E$2008,$A$9:$A$2008,A61)-SUMIFS($F$9:$F$2008,$A$9:$A$2008,A61))&lt;0.5,"Yes","No"))</f>
        <v/>
      </c>
      <c r="L61" s="10" t="str">
        <f aca="false">IF(A61="","",IF(IF(K61="No","Does not balance | ","")&amp;IF(I61="","Not approved | ",IF(UPPER(TRIM(H61))=UPPER(TRIM(I61)),"Self-approved | ",""))&amp;IF(J61="","No support | ","")&amp;IF(WEEKDAY(B61,2)&gt;5,"Weekend posting | ","")&amp;IF(COUNTIF(Settings!$A$14:$A$43,B61)&gt;0,"Holiday posting | ","")&amp;IF(B61&gt;Settings!$C$8,"Posted after close | ","")&amp;IF(OR(B61&lt;Settings!$C$6,B61&gt;Settings!$C$7),"Outside period | ","")&amp;IF(COUNTIF(Settings!$E$14:$E$43,C61&amp;"")&gt;0,"Sensitive account | ","")&amp;IF(AND(MAX(N(E61),N(F61))&gt;=Settings!$C$9,MOD(MAX(N(E61),N(F61)),Settings!$C$10)=0),"Round amount | ","")="","",LEFT(IF(K61="No","Does not balance | ","")&amp;IF(I61="","Not approved | ",IF(UPPER(TRIM(H61))=UPPER(TRIM(I61)),"Self-approved | ",""))&amp;IF(J61="","No support | ","")&amp;IF(WEEKDAY(B61,2)&gt;5,"Weekend posting | ","")&amp;IF(COUNTIF(Settings!$A$14:$A$43,B61)&gt;0,"Holiday posting | ","")&amp;IF(B61&gt;Settings!$C$8,"Posted after close | ","")&amp;IF(OR(B61&lt;Settings!$C$6,B61&gt;Settings!$C$7),"Outside period | ","")&amp;IF(COUNTIF(Settings!$E$14:$E$43,C61&amp;"")&gt;0,"Sensitive account | ","")&amp;IF(AND(MAX(N(E61),N(F61))&gt;=Settings!$C$9,MOD(MAX(N(E61),N(F61)),Settings!$C$10)=0),"Round amount | ",""),LEN(IF(K61="No","Does not balance | ","")&amp;IF(I61="","Not approved | ",IF(UPPER(TRIM(H61))=UPPER(TRIM(I61)),"Self-approved | ",""))&amp;IF(J61="","No support | ","")&amp;IF(WEEKDAY(B61,2)&gt;5,"Weekend posting | ","")&amp;IF(COUNTIF(Settings!$A$14:$A$43,B61)&gt;0,"Holiday posting | ","")&amp;IF(B61&gt;Settings!$C$8,"Posted after close | ","")&amp;IF(OR(B61&lt;Settings!$C$6,B61&gt;Settings!$C$7),"Outside period | ","")&amp;IF(COUNTIF(Settings!$E$14:$E$43,C61&amp;"")&gt;0,"Sensitive account | ","")&amp;IF(AND(MAX(N(E61),N(F61))&gt;=Settings!$C$9,MOD(MAX(N(E61),N(F61)),Settings!$C$10)=0),"Round amount | ",""))-3)))</f>
        <v/>
      </c>
      <c r="M61" s="21" t="str">
        <f aca="false">IF(A61="","",IF(COUNTIF($A$9:A61,A61)=1,MAX($M$8:M60)+1,""))</f>
        <v/>
      </c>
    </row>
    <row r="62" customFormat="false" ht="15" hidden="false" customHeight="false" outlineLevel="0" collapsed="false">
      <c r="A62" s="8"/>
      <c r="B62" s="17"/>
      <c r="C62" s="19"/>
      <c r="D62" s="8"/>
      <c r="E62" s="18"/>
      <c r="F62" s="18"/>
      <c r="G62" s="8"/>
      <c r="H62" s="8"/>
      <c r="I62" s="8"/>
      <c r="J62" s="8"/>
      <c r="K62" s="10" t="str">
        <f aca="false">IF(A62="","",IF(ABS(SUMIFS($E$9:$E$2008,$A$9:$A$2008,A62)-SUMIFS($F$9:$F$2008,$A$9:$A$2008,A62))&lt;0.5,"Yes","No"))</f>
        <v/>
      </c>
      <c r="L62" s="10" t="str">
        <f aca="false">IF(A62="","",IF(IF(K62="No","Does not balance | ","")&amp;IF(I62="","Not approved | ",IF(UPPER(TRIM(H62))=UPPER(TRIM(I62)),"Self-approved | ",""))&amp;IF(J62="","No support | ","")&amp;IF(WEEKDAY(B62,2)&gt;5,"Weekend posting | ","")&amp;IF(COUNTIF(Settings!$A$14:$A$43,B62)&gt;0,"Holiday posting | ","")&amp;IF(B62&gt;Settings!$C$8,"Posted after close | ","")&amp;IF(OR(B62&lt;Settings!$C$6,B62&gt;Settings!$C$7),"Outside period | ","")&amp;IF(COUNTIF(Settings!$E$14:$E$43,C62&amp;"")&gt;0,"Sensitive account | ","")&amp;IF(AND(MAX(N(E62),N(F62))&gt;=Settings!$C$9,MOD(MAX(N(E62),N(F62)),Settings!$C$10)=0),"Round amount | ","")="","",LEFT(IF(K62="No","Does not balance | ","")&amp;IF(I62="","Not approved | ",IF(UPPER(TRIM(H62))=UPPER(TRIM(I62)),"Self-approved | ",""))&amp;IF(J62="","No support | ","")&amp;IF(WEEKDAY(B62,2)&gt;5,"Weekend posting | ","")&amp;IF(COUNTIF(Settings!$A$14:$A$43,B62)&gt;0,"Holiday posting | ","")&amp;IF(B62&gt;Settings!$C$8,"Posted after close | ","")&amp;IF(OR(B62&lt;Settings!$C$6,B62&gt;Settings!$C$7),"Outside period | ","")&amp;IF(COUNTIF(Settings!$E$14:$E$43,C62&amp;"")&gt;0,"Sensitive account | ","")&amp;IF(AND(MAX(N(E62),N(F62))&gt;=Settings!$C$9,MOD(MAX(N(E62),N(F62)),Settings!$C$10)=0),"Round amount | ",""),LEN(IF(K62="No","Does not balance | ","")&amp;IF(I62="","Not approved | ",IF(UPPER(TRIM(H62))=UPPER(TRIM(I62)),"Self-approved | ",""))&amp;IF(J62="","No support | ","")&amp;IF(WEEKDAY(B62,2)&gt;5,"Weekend posting | ","")&amp;IF(COUNTIF(Settings!$A$14:$A$43,B62)&gt;0,"Holiday posting | ","")&amp;IF(B62&gt;Settings!$C$8,"Posted after close | ","")&amp;IF(OR(B62&lt;Settings!$C$6,B62&gt;Settings!$C$7),"Outside period | ","")&amp;IF(COUNTIF(Settings!$E$14:$E$43,C62&amp;"")&gt;0,"Sensitive account | ","")&amp;IF(AND(MAX(N(E62),N(F62))&gt;=Settings!$C$9,MOD(MAX(N(E62),N(F62)),Settings!$C$10)=0),"Round amount | ",""))-3)))</f>
        <v/>
      </c>
      <c r="M62" s="21" t="str">
        <f aca="false">IF(A62="","",IF(COUNTIF($A$9:A62,A62)=1,MAX($M$8:M61)+1,""))</f>
        <v/>
      </c>
    </row>
    <row r="63" customFormat="false" ht="15" hidden="false" customHeight="false" outlineLevel="0" collapsed="false">
      <c r="A63" s="8"/>
      <c r="B63" s="17"/>
      <c r="C63" s="19"/>
      <c r="D63" s="8"/>
      <c r="E63" s="18"/>
      <c r="F63" s="18"/>
      <c r="G63" s="8"/>
      <c r="H63" s="8"/>
      <c r="I63" s="8"/>
      <c r="J63" s="8"/>
      <c r="K63" s="10" t="str">
        <f aca="false">IF(A63="","",IF(ABS(SUMIFS($E$9:$E$2008,$A$9:$A$2008,A63)-SUMIFS($F$9:$F$2008,$A$9:$A$2008,A63))&lt;0.5,"Yes","No"))</f>
        <v/>
      </c>
      <c r="L63" s="10" t="str">
        <f aca="false">IF(A63="","",IF(IF(K63="No","Does not balance | ","")&amp;IF(I63="","Not approved | ",IF(UPPER(TRIM(H63))=UPPER(TRIM(I63)),"Self-approved | ",""))&amp;IF(J63="","No support | ","")&amp;IF(WEEKDAY(B63,2)&gt;5,"Weekend posting | ","")&amp;IF(COUNTIF(Settings!$A$14:$A$43,B63)&gt;0,"Holiday posting | ","")&amp;IF(B63&gt;Settings!$C$8,"Posted after close | ","")&amp;IF(OR(B63&lt;Settings!$C$6,B63&gt;Settings!$C$7),"Outside period | ","")&amp;IF(COUNTIF(Settings!$E$14:$E$43,C63&amp;"")&gt;0,"Sensitive account | ","")&amp;IF(AND(MAX(N(E63),N(F63))&gt;=Settings!$C$9,MOD(MAX(N(E63),N(F63)),Settings!$C$10)=0),"Round amount | ","")="","",LEFT(IF(K63="No","Does not balance | ","")&amp;IF(I63="","Not approved | ",IF(UPPER(TRIM(H63))=UPPER(TRIM(I63)),"Self-approved | ",""))&amp;IF(J63="","No support | ","")&amp;IF(WEEKDAY(B63,2)&gt;5,"Weekend posting | ","")&amp;IF(COUNTIF(Settings!$A$14:$A$43,B63)&gt;0,"Holiday posting | ","")&amp;IF(B63&gt;Settings!$C$8,"Posted after close | ","")&amp;IF(OR(B63&lt;Settings!$C$6,B63&gt;Settings!$C$7),"Outside period | ","")&amp;IF(COUNTIF(Settings!$E$14:$E$43,C63&amp;"")&gt;0,"Sensitive account | ","")&amp;IF(AND(MAX(N(E63),N(F63))&gt;=Settings!$C$9,MOD(MAX(N(E63),N(F63)),Settings!$C$10)=0),"Round amount | ",""),LEN(IF(K63="No","Does not balance | ","")&amp;IF(I63="","Not approved | ",IF(UPPER(TRIM(H63))=UPPER(TRIM(I63)),"Self-approved | ",""))&amp;IF(J63="","No support | ","")&amp;IF(WEEKDAY(B63,2)&gt;5,"Weekend posting | ","")&amp;IF(COUNTIF(Settings!$A$14:$A$43,B63)&gt;0,"Holiday posting | ","")&amp;IF(B63&gt;Settings!$C$8,"Posted after close | ","")&amp;IF(OR(B63&lt;Settings!$C$6,B63&gt;Settings!$C$7),"Outside period | ","")&amp;IF(COUNTIF(Settings!$E$14:$E$43,C63&amp;"")&gt;0,"Sensitive account | ","")&amp;IF(AND(MAX(N(E63),N(F63))&gt;=Settings!$C$9,MOD(MAX(N(E63),N(F63)),Settings!$C$10)=0),"Round amount | ",""))-3)))</f>
        <v/>
      </c>
      <c r="M63" s="21" t="str">
        <f aca="false">IF(A63="","",IF(COUNTIF($A$9:A63,A63)=1,MAX($M$8:M62)+1,""))</f>
        <v/>
      </c>
    </row>
    <row r="64" customFormat="false" ht="15" hidden="false" customHeight="false" outlineLevel="0" collapsed="false">
      <c r="A64" s="8"/>
      <c r="B64" s="17"/>
      <c r="C64" s="19"/>
      <c r="D64" s="8"/>
      <c r="E64" s="18"/>
      <c r="F64" s="18"/>
      <c r="G64" s="8"/>
      <c r="H64" s="8"/>
      <c r="I64" s="8"/>
      <c r="J64" s="8"/>
      <c r="K64" s="10" t="str">
        <f aca="false">IF(A64="","",IF(ABS(SUMIFS($E$9:$E$2008,$A$9:$A$2008,A64)-SUMIFS($F$9:$F$2008,$A$9:$A$2008,A64))&lt;0.5,"Yes","No"))</f>
        <v/>
      </c>
      <c r="L64" s="10" t="str">
        <f aca="false">IF(A64="","",IF(IF(K64="No","Does not balance | ","")&amp;IF(I64="","Not approved | ",IF(UPPER(TRIM(H64))=UPPER(TRIM(I64)),"Self-approved | ",""))&amp;IF(J64="","No support | ","")&amp;IF(WEEKDAY(B64,2)&gt;5,"Weekend posting | ","")&amp;IF(COUNTIF(Settings!$A$14:$A$43,B64)&gt;0,"Holiday posting | ","")&amp;IF(B64&gt;Settings!$C$8,"Posted after close | ","")&amp;IF(OR(B64&lt;Settings!$C$6,B64&gt;Settings!$C$7),"Outside period | ","")&amp;IF(COUNTIF(Settings!$E$14:$E$43,C64&amp;"")&gt;0,"Sensitive account | ","")&amp;IF(AND(MAX(N(E64),N(F64))&gt;=Settings!$C$9,MOD(MAX(N(E64),N(F64)),Settings!$C$10)=0),"Round amount | ","")="","",LEFT(IF(K64="No","Does not balance | ","")&amp;IF(I64="","Not approved | ",IF(UPPER(TRIM(H64))=UPPER(TRIM(I64)),"Self-approved | ",""))&amp;IF(J64="","No support | ","")&amp;IF(WEEKDAY(B64,2)&gt;5,"Weekend posting | ","")&amp;IF(COUNTIF(Settings!$A$14:$A$43,B64)&gt;0,"Holiday posting | ","")&amp;IF(B64&gt;Settings!$C$8,"Posted after close | ","")&amp;IF(OR(B64&lt;Settings!$C$6,B64&gt;Settings!$C$7),"Outside period | ","")&amp;IF(COUNTIF(Settings!$E$14:$E$43,C64&amp;"")&gt;0,"Sensitive account | ","")&amp;IF(AND(MAX(N(E64),N(F64))&gt;=Settings!$C$9,MOD(MAX(N(E64),N(F64)),Settings!$C$10)=0),"Round amount | ",""),LEN(IF(K64="No","Does not balance | ","")&amp;IF(I64="","Not approved | ",IF(UPPER(TRIM(H64))=UPPER(TRIM(I64)),"Self-approved | ",""))&amp;IF(J64="","No support | ","")&amp;IF(WEEKDAY(B64,2)&gt;5,"Weekend posting | ","")&amp;IF(COUNTIF(Settings!$A$14:$A$43,B64)&gt;0,"Holiday posting | ","")&amp;IF(B64&gt;Settings!$C$8,"Posted after close | ","")&amp;IF(OR(B64&lt;Settings!$C$6,B64&gt;Settings!$C$7),"Outside period | ","")&amp;IF(COUNTIF(Settings!$E$14:$E$43,C64&amp;"")&gt;0,"Sensitive account | ","")&amp;IF(AND(MAX(N(E64),N(F64))&gt;=Settings!$C$9,MOD(MAX(N(E64),N(F64)),Settings!$C$10)=0),"Round amount | ",""))-3)))</f>
        <v/>
      </c>
      <c r="M64" s="21" t="str">
        <f aca="false">IF(A64="","",IF(COUNTIF($A$9:A64,A64)=1,MAX($M$8:M63)+1,""))</f>
        <v/>
      </c>
    </row>
    <row r="65" customFormat="false" ht="15" hidden="false" customHeight="false" outlineLevel="0" collapsed="false">
      <c r="A65" s="8"/>
      <c r="B65" s="17"/>
      <c r="C65" s="19"/>
      <c r="D65" s="8"/>
      <c r="E65" s="18"/>
      <c r="F65" s="18"/>
      <c r="G65" s="8"/>
      <c r="H65" s="8"/>
      <c r="I65" s="8"/>
      <c r="J65" s="8"/>
      <c r="K65" s="10" t="str">
        <f aca="false">IF(A65="","",IF(ABS(SUMIFS($E$9:$E$2008,$A$9:$A$2008,A65)-SUMIFS($F$9:$F$2008,$A$9:$A$2008,A65))&lt;0.5,"Yes","No"))</f>
        <v/>
      </c>
      <c r="L65" s="10" t="str">
        <f aca="false">IF(A65="","",IF(IF(K65="No","Does not balance | ","")&amp;IF(I65="","Not approved | ",IF(UPPER(TRIM(H65))=UPPER(TRIM(I65)),"Self-approved | ",""))&amp;IF(J65="","No support | ","")&amp;IF(WEEKDAY(B65,2)&gt;5,"Weekend posting | ","")&amp;IF(COUNTIF(Settings!$A$14:$A$43,B65)&gt;0,"Holiday posting | ","")&amp;IF(B65&gt;Settings!$C$8,"Posted after close | ","")&amp;IF(OR(B65&lt;Settings!$C$6,B65&gt;Settings!$C$7),"Outside period | ","")&amp;IF(COUNTIF(Settings!$E$14:$E$43,C65&amp;"")&gt;0,"Sensitive account | ","")&amp;IF(AND(MAX(N(E65),N(F65))&gt;=Settings!$C$9,MOD(MAX(N(E65),N(F65)),Settings!$C$10)=0),"Round amount | ","")="","",LEFT(IF(K65="No","Does not balance | ","")&amp;IF(I65="","Not approved | ",IF(UPPER(TRIM(H65))=UPPER(TRIM(I65)),"Self-approved | ",""))&amp;IF(J65="","No support | ","")&amp;IF(WEEKDAY(B65,2)&gt;5,"Weekend posting | ","")&amp;IF(COUNTIF(Settings!$A$14:$A$43,B65)&gt;0,"Holiday posting | ","")&amp;IF(B65&gt;Settings!$C$8,"Posted after close | ","")&amp;IF(OR(B65&lt;Settings!$C$6,B65&gt;Settings!$C$7),"Outside period | ","")&amp;IF(COUNTIF(Settings!$E$14:$E$43,C65&amp;"")&gt;0,"Sensitive account | ","")&amp;IF(AND(MAX(N(E65),N(F65))&gt;=Settings!$C$9,MOD(MAX(N(E65),N(F65)),Settings!$C$10)=0),"Round amount | ",""),LEN(IF(K65="No","Does not balance | ","")&amp;IF(I65="","Not approved | ",IF(UPPER(TRIM(H65))=UPPER(TRIM(I65)),"Self-approved | ",""))&amp;IF(J65="","No support | ","")&amp;IF(WEEKDAY(B65,2)&gt;5,"Weekend posting | ","")&amp;IF(COUNTIF(Settings!$A$14:$A$43,B65)&gt;0,"Holiday posting | ","")&amp;IF(B65&gt;Settings!$C$8,"Posted after close | ","")&amp;IF(OR(B65&lt;Settings!$C$6,B65&gt;Settings!$C$7),"Outside period | ","")&amp;IF(COUNTIF(Settings!$E$14:$E$43,C65&amp;"")&gt;0,"Sensitive account | ","")&amp;IF(AND(MAX(N(E65),N(F65))&gt;=Settings!$C$9,MOD(MAX(N(E65),N(F65)),Settings!$C$10)=0),"Round amount | ",""))-3)))</f>
        <v/>
      </c>
      <c r="M65" s="21" t="str">
        <f aca="false">IF(A65="","",IF(COUNTIF($A$9:A65,A65)=1,MAX($M$8:M64)+1,""))</f>
        <v/>
      </c>
    </row>
    <row r="66" customFormat="false" ht="15" hidden="false" customHeight="false" outlineLevel="0" collapsed="false">
      <c r="A66" s="8"/>
      <c r="B66" s="17"/>
      <c r="C66" s="19"/>
      <c r="D66" s="8"/>
      <c r="E66" s="18"/>
      <c r="F66" s="18"/>
      <c r="G66" s="8"/>
      <c r="H66" s="8"/>
      <c r="I66" s="8"/>
      <c r="J66" s="8"/>
      <c r="K66" s="10" t="str">
        <f aca="false">IF(A66="","",IF(ABS(SUMIFS($E$9:$E$2008,$A$9:$A$2008,A66)-SUMIFS($F$9:$F$2008,$A$9:$A$2008,A66))&lt;0.5,"Yes","No"))</f>
        <v/>
      </c>
      <c r="L66" s="10" t="str">
        <f aca="false">IF(A66="","",IF(IF(K66="No","Does not balance | ","")&amp;IF(I66="","Not approved | ",IF(UPPER(TRIM(H66))=UPPER(TRIM(I66)),"Self-approved | ",""))&amp;IF(J66="","No support | ","")&amp;IF(WEEKDAY(B66,2)&gt;5,"Weekend posting | ","")&amp;IF(COUNTIF(Settings!$A$14:$A$43,B66)&gt;0,"Holiday posting | ","")&amp;IF(B66&gt;Settings!$C$8,"Posted after close | ","")&amp;IF(OR(B66&lt;Settings!$C$6,B66&gt;Settings!$C$7),"Outside period | ","")&amp;IF(COUNTIF(Settings!$E$14:$E$43,C66&amp;"")&gt;0,"Sensitive account | ","")&amp;IF(AND(MAX(N(E66),N(F66))&gt;=Settings!$C$9,MOD(MAX(N(E66),N(F66)),Settings!$C$10)=0),"Round amount | ","")="","",LEFT(IF(K66="No","Does not balance | ","")&amp;IF(I66="","Not approved | ",IF(UPPER(TRIM(H66))=UPPER(TRIM(I66)),"Self-approved | ",""))&amp;IF(J66="","No support | ","")&amp;IF(WEEKDAY(B66,2)&gt;5,"Weekend posting | ","")&amp;IF(COUNTIF(Settings!$A$14:$A$43,B66)&gt;0,"Holiday posting | ","")&amp;IF(B66&gt;Settings!$C$8,"Posted after close | ","")&amp;IF(OR(B66&lt;Settings!$C$6,B66&gt;Settings!$C$7),"Outside period | ","")&amp;IF(COUNTIF(Settings!$E$14:$E$43,C66&amp;"")&gt;0,"Sensitive account | ","")&amp;IF(AND(MAX(N(E66),N(F66))&gt;=Settings!$C$9,MOD(MAX(N(E66),N(F66)),Settings!$C$10)=0),"Round amount | ",""),LEN(IF(K66="No","Does not balance | ","")&amp;IF(I66="","Not approved | ",IF(UPPER(TRIM(H66))=UPPER(TRIM(I66)),"Self-approved | ",""))&amp;IF(J66="","No support | ","")&amp;IF(WEEKDAY(B66,2)&gt;5,"Weekend posting | ","")&amp;IF(COUNTIF(Settings!$A$14:$A$43,B66)&gt;0,"Holiday posting | ","")&amp;IF(B66&gt;Settings!$C$8,"Posted after close | ","")&amp;IF(OR(B66&lt;Settings!$C$6,B66&gt;Settings!$C$7),"Outside period | ","")&amp;IF(COUNTIF(Settings!$E$14:$E$43,C66&amp;"")&gt;0,"Sensitive account | ","")&amp;IF(AND(MAX(N(E66),N(F66))&gt;=Settings!$C$9,MOD(MAX(N(E66),N(F66)),Settings!$C$10)=0),"Round amount | ",""))-3)))</f>
        <v/>
      </c>
      <c r="M66" s="21" t="str">
        <f aca="false">IF(A66="","",IF(COUNTIF($A$9:A66,A66)=1,MAX($M$8:M65)+1,""))</f>
        <v/>
      </c>
    </row>
    <row r="67" customFormat="false" ht="15" hidden="false" customHeight="false" outlineLevel="0" collapsed="false">
      <c r="A67" s="8"/>
      <c r="B67" s="17"/>
      <c r="C67" s="19"/>
      <c r="D67" s="8"/>
      <c r="E67" s="18"/>
      <c r="F67" s="18"/>
      <c r="G67" s="8"/>
      <c r="H67" s="8"/>
      <c r="I67" s="8"/>
      <c r="J67" s="8"/>
      <c r="K67" s="10" t="str">
        <f aca="false">IF(A67="","",IF(ABS(SUMIFS($E$9:$E$2008,$A$9:$A$2008,A67)-SUMIFS($F$9:$F$2008,$A$9:$A$2008,A67))&lt;0.5,"Yes","No"))</f>
        <v/>
      </c>
      <c r="L67" s="10" t="str">
        <f aca="false">IF(A67="","",IF(IF(K67="No","Does not balance | ","")&amp;IF(I67="","Not approved | ",IF(UPPER(TRIM(H67))=UPPER(TRIM(I67)),"Self-approved | ",""))&amp;IF(J67="","No support | ","")&amp;IF(WEEKDAY(B67,2)&gt;5,"Weekend posting | ","")&amp;IF(COUNTIF(Settings!$A$14:$A$43,B67)&gt;0,"Holiday posting | ","")&amp;IF(B67&gt;Settings!$C$8,"Posted after close | ","")&amp;IF(OR(B67&lt;Settings!$C$6,B67&gt;Settings!$C$7),"Outside period | ","")&amp;IF(COUNTIF(Settings!$E$14:$E$43,C67&amp;"")&gt;0,"Sensitive account | ","")&amp;IF(AND(MAX(N(E67),N(F67))&gt;=Settings!$C$9,MOD(MAX(N(E67),N(F67)),Settings!$C$10)=0),"Round amount | ","")="","",LEFT(IF(K67="No","Does not balance | ","")&amp;IF(I67="","Not approved | ",IF(UPPER(TRIM(H67))=UPPER(TRIM(I67)),"Self-approved | ",""))&amp;IF(J67="","No support | ","")&amp;IF(WEEKDAY(B67,2)&gt;5,"Weekend posting | ","")&amp;IF(COUNTIF(Settings!$A$14:$A$43,B67)&gt;0,"Holiday posting | ","")&amp;IF(B67&gt;Settings!$C$8,"Posted after close | ","")&amp;IF(OR(B67&lt;Settings!$C$6,B67&gt;Settings!$C$7),"Outside period | ","")&amp;IF(COUNTIF(Settings!$E$14:$E$43,C67&amp;"")&gt;0,"Sensitive account | ","")&amp;IF(AND(MAX(N(E67),N(F67))&gt;=Settings!$C$9,MOD(MAX(N(E67),N(F67)),Settings!$C$10)=0),"Round amount | ",""),LEN(IF(K67="No","Does not balance | ","")&amp;IF(I67="","Not approved | ",IF(UPPER(TRIM(H67))=UPPER(TRIM(I67)),"Self-approved | ",""))&amp;IF(J67="","No support | ","")&amp;IF(WEEKDAY(B67,2)&gt;5,"Weekend posting | ","")&amp;IF(COUNTIF(Settings!$A$14:$A$43,B67)&gt;0,"Holiday posting | ","")&amp;IF(B67&gt;Settings!$C$8,"Posted after close | ","")&amp;IF(OR(B67&lt;Settings!$C$6,B67&gt;Settings!$C$7),"Outside period | ","")&amp;IF(COUNTIF(Settings!$E$14:$E$43,C67&amp;"")&gt;0,"Sensitive account | ","")&amp;IF(AND(MAX(N(E67),N(F67))&gt;=Settings!$C$9,MOD(MAX(N(E67),N(F67)),Settings!$C$10)=0),"Round amount | ",""))-3)))</f>
        <v/>
      </c>
      <c r="M67" s="21" t="str">
        <f aca="false">IF(A67="","",IF(COUNTIF($A$9:A67,A67)=1,MAX($M$8:M66)+1,""))</f>
        <v/>
      </c>
    </row>
    <row r="68" customFormat="false" ht="15" hidden="false" customHeight="false" outlineLevel="0" collapsed="false">
      <c r="A68" s="8"/>
      <c r="B68" s="17"/>
      <c r="C68" s="19"/>
      <c r="D68" s="8"/>
      <c r="E68" s="18"/>
      <c r="F68" s="18"/>
      <c r="G68" s="8"/>
      <c r="H68" s="8"/>
      <c r="I68" s="8"/>
      <c r="J68" s="8"/>
      <c r="K68" s="10" t="str">
        <f aca="false">IF(A68="","",IF(ABS(SUMIFS($E$9:$E$2008,$A$9:$A$2008,A68)-SUMIFS($F$9:$F$2008,$A$9:$A$2008,A68))&lt;0.5,"Yes","No"))</f>
        <v/>
      </c>
      <c r="L68" s="10" t="str">
        <f aca="false">IF(A68="","",IF(IF(K68="No","Does not balance | ","")&amp;IF(I68="","Not approved | ",IF(UPPER(TRIM(H68))=UPPER(TRIM(I68)),"Self-approved | ",""))&amp;IF(J68="","No support | ","")&amp;IF(WEEKDAY(B68,2)&gt;5,"Weekend posting | ","")&amp;IF(COUNTIF(Settings!$A$14:$A$43,B68)&gt;0,"Holiday posting | ","")&amp;IF(B68&gt;Settings!$C$8,"Posted after close | ","")&amp;IF(OR(B68&lt;Settings!$C$6,B68&gt;Settings!$C$7),"Outside period | ","")&amp;IF(COUNTIF(Settings!$E$14:$E$43,C68&amp;"")&gt;0,"Sensitive account | ","")&amp;IF(AND(MAX(N(E68),N(F68))&gt;=Settings!$C$9,MOD(MAX(N(E68),N(F68)),Settings!$C$10)=0),"Round amount | ","")="","",LEFT(IF(K68="No","Does not balance | ","")&amp;IF(I68="","Not approved | ",IF(UPPER(TRIM(H68))=UPPER(TRIM(I68)),"Self-approved | ",""))&amp;IF(J68="","No support | ","")&amp;IF(WEEKDAY(B68,2)&gt;5,"Weekend posting | ","")&amp;IF(COUNTIF(Settings!$A$14:$A$43,B68)&gt;0,"Holiday posting | ","")&amp;IF(B68&gt;Settings!$C$8,"Posted after close | ","")&amp;IF(OR(B68&lt;Settings!$C$6,B68&gt;Settings!$C$7),"Outside period | ","")&amp;IF(COUNTIF(Settings!$E$14:$E$43,C68&amp;"")&gt;0,"Sensitive account | ","")&amp;IF(AND(MAX(N(E68),N(F68))&gt;=Settings!$C$9,MOD(MAX(N(E68),N(F68)),Settings!$C$10)=0),"Round amount | ",""),LEN(IF(K68="No","Does not balance | ","")&amp;IF(I68="","Not approved | ",IF(UPPER(TRIM(H68))=UPPER(TRIM(I68)),"Self-approved | ",""))&amp;IF(J68="","No support | ","")&amp;IF(WEEKDAY(B68,2)&gt;5,"Weekend posting | ","")&amp;IF(COUNTIF(Settings!$A$14:$A$43,B68)&gt;0,"Holiday posting | ","")&amp;IF(B68&gt;Settings!$C$8,"Posted after close | ","")&amp;IF(OR(B68&lt;Settings!$C$6,B68&gt;Settings!$C$7),"Outside period | ","")&amp;IF(COUNTIF(Settings!$E$14:$E$43,C68&amp;"")&gt;0,"Sensitive account | ","")&amp;IF(AND(MAX(N(E68),N(F68))&gt;=Settings!$C$9,MOD(MAX(N(E68),N(F68)),Settings!$C$10)=0),"Round amount | ",""))-3)))</f>
        <v/>
      </c>
      <c r="M68" s="21" t="str">
        <f aca="false">IF(A68="","",IF(COUNTIF($A$9:A68,A68)=1,MAX($M$8:M67)+1,""))</f>
        <v/>
      </c>
    </row>
    <row r="69" customFormat="false" ht="15" hidden="false" customHeight="false" outlineLevel="0" collapsed="false">
      <c r="A69" s="8"/>
      <c r="B69" s="17"/>
      <c r="C69" s="19"/>
      <c r="D69" s="8"/>
      <c r="E69" s="18"/>
      <c r="F69" s="18"/>
      <c r="G69" s="8"/>
      <c r="H69" s="8"/>
      <c r="I69" s="8"/>
      <c r="J69" s="8"/>
      <c r="K69" s="10" t="str">
        <f aca="false">IF(A69="","",IF(ABS(SUMIFS($E$9:$E$2008,$A$9:$A$2008,A69)-SUMIFS($F$9:$F$2008,$A$9:$A$2008,A69))&lt;0.5,"Yes","No"))</f>
        <v/>
      </c>
      <c r="L69" s="10" t="str">
        <f aca="false">IF(A69="","",IF(IF(K69="No","Does not balance | ","")&amp;IF(I69="","Not approved | ",IF(UPPER(TRIM(H69))=UPPER(TRIM(I69)),"Self-approved | ",""))&amp;IF(J69="","No support | ","")&amp;IF(WEEKDAY(B69,2)&gt;5,"Weekend posting | ","")&amp;IF(COUNTIF(Settings!$A$14:$A$43,B69)&gt;0,"Holiday posting | ","")&amp;IF(B69&gt;Settings!$C$8,"Posted after close | ","")&amp;IF(OR(B69&lt;Settings!$C$6,B69&gt;Settings!$C$7),"Outside period | ","")&amp;IF(COUNTIF(Settings!$E$14:$E$43,C69&amp;"")&gt;0,"Sensitive account | ","")&amp;IF(AND(MAX(N(E69),N(F69))&gt;=Settings!$C$9,MOD(MAX(N(E69),N(F69)),Settings!$C$10)=0),"Round amount | ","")="","",LEFT(IF(K69="No","Does not balance | ","")&amp;IF(I69="","Not approved | ",IF(UPPER(TRIM(H69))=UPPER(TRIM(I69)),"Self-approved | ",""))&amp;IF(J69="","No support | ","")&amp;IF(WEEKDAY(B69,2)&gt;5,"Weekend posting | ","")&amp;IF(COUNTIF(Settings!$A$14:$A$43,B69)&gt;0,"Holiday posting | ","")&amp;IF(B69&gt;Settings!$C$8,"Posted after close | ","")&amp;IF(OR(B69&lt;Settings!$C$6,B69&gt;Settings!$C$7),"Outside period | ","")&amp;IF(COUNTIF(Settings!$E$14:$E$43,C69&amp;"")&gt;0,"Sensitive account | ","")&amp;IF(AND(MAX(N(E69),N(F69))&gt;=Settings!$C$9,MOD(MAX(N(E69),N(F69)),Settings!$C$10)=0),"Round amount | ",""),LEN(IF(K69="No","Does not balance | ","")&amp;IF(I69="","Not approved | ",IF(UPPER(TRIM(H69))=UPPER(TRIM(I69)),"Self-approved | ",""))&amp;IF(J69="","No support | ","")&amp;IF(WEEKDAY(B69,2)&gt;5,"Weekend posting | ","")&amp;IF(COUNTIF(Settings!$A$14:$A$43,B69)&gt;0,"Holiday posting | ","")&amp;IF(B69&gt;Settings!$C$8,"Posted after close | ","")&amp;IF(OR(B69&lt;Settings!$C$6,B69&gt;Settings!$C$7),"Outside period | ","")&amp;IF(COUNTIF(Settings!$E$14:$E$43,C69&amp;"")&gt;0,"Sensitive account | ","")&amp;IF(AND(MAX(N(E69),N(F69))&gt;=Settings!$C$9,MOD(MAX(N(E69),N(F69)),Settings!$C$10)=0),"Round amount | ",""))-3)))</f>
        <v/>
      </c>
      <c r="M69" s="21" t="str">
        <f aca="false">IF(A69="","",IF(COUNTIF($A$9:A69,A69)=1,MAX($M$8:M68)+1,""))</f>
        <v/>
      </c>
    </row>
    <row r="70" customFormat="false" ht="15" hidden="false" customHeight="false" outlineLevel="0" collapsed="false">
      <c r="A70" s="8"/>
      <c r="B70" s="17"/>
      <c r="C70" s="19"/>
      <c r="D70" s="8"/>
      <c r="E70" s="18"/>
      <c r="F70" s="18"/>
      <c r="G70" s="8"/>
      <c r="H70" s="8"/>
      <c r="I70" s="8"/>
      <c r="J70" s="8"/>
      <c r="K70" s="10" t="str">
        <f aca="false">IF(A70="","",IF(ABS(SUMIFS($E$9:$E$2008,$A$9:$A$2008,A70)-SUMIFS($F$9:$F$2008,$A$9:$A$2008,A70))&lt;0.5,"Yes","No"))</f>
        <v/>
      </c>
      <c r="L70" s="10" t="str">
        <f aca="false">IF(A70="","",IF(IF(K70="No","Does not balance | ","")&amp;IF(I70="","Not approved | ",IF(UPPER(TRIM(H70))=UPPER(TRIM(I70)),"Self-approved | ",""))&amp;IF(J70="","No support | ","")&amp;IF(WEEKDAY(B70,2)&gt;5,"Weekend posting | ","")&amp;IF(COUNTIF(Settings!$A$14:$A$43,B70)&gt;0,"Holiday posting | ","")&amp;IF(B70&gt;Settings!$C$8,"Posted after close | ","")&amp;IF(OR(B70&lt;Settings!$C$6,B70&gt;Settings!$C$7),"Outside period | ","")&amp;IF(COUNTIF(Settings!$E$14:$E$43,C70&amp;"")&gt;0,"Sensitive account | ","")&amp;IF(AND(MAX(N(E70),N(F70))&gt;=Settings!$C$9,MOD(MAX(N(E70),N(F70)),Settings!$C$10)=0),"Round amount | ","")="","",LEFT(IF(K70="No","Does not balance | ","")&amp;IF(I70="","Not approved | ",IF(UPPER(TRIM(H70))=UPPER(TRIM(I70)),"Self-approved | ",""))&amp;IF(J70="","No support | ","")&amp;IF(WEEKDAY(B70,2)&gt;5,"Weekend posting | ","")&amp;IF(COUNTIF(Settings!$A$14:$A$43,B70)&gt;0,"Holiday posting | ","")&amp;IF(B70&gt;Settings!$C$8,"Posted after close | ","")&amp;IF(OR(B70&lt;Settings!$C$6,B70&gt;Settings!$C$7),"Outside period | ","")&amp;IF(COUNTIF(Settings!$E$14:$E$43,C70&amp;"")&gt;0,"Sensitive account | ","")&amp;IF(AND(MAX(N(E70),N(F70))&gt;=Settings!$C$9,MOD(MAX(N(E70),N(F70)),Settings!$C$10)=0),"Round amount | ",""),LEN(IF(K70="No","Does not balance | ","")&amp;IF(I70="","Not approved | ",IF(UPPER(TRIM(H70))=UPPER(TRIM(I70)),"Self-approved | ",""))&amp;IF(J70="","No support | ","")&amp;IF(WEEKDAY(B70,2)&gt;5,"Weekend posting | ","")&amp;IF(COUNTIF(Settings!$A$14:$A$43,B70)&gt;0,"Holiday posting | ","")&amp;IF(B70&gt;Settings!$C$8,"Posted after close | ","")&amp;IF(OR(B70&lt;Settings!$C$6,B70&gt;Settings!$C$7),"Outside period | ","")&amp;IF(COUNTIF(Settings!$E$14:$E$43,C70&amp;"")&gt;0,"Sensitive account | ","")&amp;IF(AND(MAX(N(E70),N(F70))&gt;=Settings!$C$9,MOD(MAX(N(E70),N(F70)),Settings!$C$10)=0),"Round amount | ",""))-3)))</f>
        <v/>
      </c>
      <c r="M70" s="21" t="str">
        <f aca="false">IF(A70="","",IF(COUNTIF($A$9:A70,A70)=1,MAX($M$8:M69)+1,""))</f>
        <v/>
      </c>
    </row>
    <row r="71" customFormat="false" ht="15" hidden="false" customHeight="false" outlineLevel="0" collapsed="false">
      <c r="A71" s="8"/>
      <c r="B71" s="17"/>
      <c r="C71" s="19"/>
      <c r="D71" s="8"/>
      <c r="E71" s="18"/>
      <c r="F71" s="18"/>
      <c r="G71" s="8"/>
      <c r="H71" s="8"/>
      <c r="I71" s="8"/>
      <c r="J71" s="8"/>
      <c r="K71" s="10" t="str">
        <f aca="false">IF(A71="","",IF(ABS(SUMIFS($E$9:$E$2008,$A$9:$A$2008,A71)-SUMIFS($F$9:$F$2008,$A$9:$A$2008,A71))&lt;0.5,"Yes","No"))</f>
        <v/>
      </c>
      <c r="L71" s="10" t="str">
        <f aca="false">IF(A71="","",IF(IF(K71="No","Does not balance | ","")&amp;IF(I71="","Not approved | ",IF(UPPER(TRIM(H71))=UPPER(TRIM(I71)),"Self-approved | ",""))&amp;IF(J71="","No support | ","")&amp;IF(WEEKDAY(B71,2)&gt;5,"Weekend posting | ","")&amp;IF(COUNTIF(Settings!$A$14:$A$43,B71)&gt;0,"Holiday posting | ","")&amp;IF(B71&gt;Settings!$C$8,"Posted after close | ","")&amp;IF(OR(B71&lt;Settings!$C$6,B71&gt;Settings!$C$7),"Outside period | ","")&amp;IF(COUNTIF(Settings!$E$14:$E$43,C71&amp;"")&gt;0,"Sensitive account | ","")&amp;IF(AND(MAX(N(E71),N(F71))&gt;=Settings!$C$9,MOD(MAX(N(E71),N(F71)),Settings!$C$10)=0),"Round amount | ","")="","",LEFT(IF(K71="No","Does not balance | ","")&amp;IF(I71="","Not approved | ",IF(UPPER(TRIM(H71))=UPPER(TRIM(I71)),"Self-approved | ",""))&amp;IF(J71="","No support | ","")&amp;IF(WEEKDAY(B71,2)&gt;5,"Weekend posting | ","")&amp;IF(COUNTIF(Settings!$A$14:$A$43,B71)&gt;0,"Holiday posting | ","")&amp;IF(B71&gt;Settings!$C$8,"Posted after close | ","")&amp;IF(OR(B71&lt;Settings!$C$6,B71&gt;Settings!$C$7),"Outside period | ","")&amp;IF(COUNTIF(Settings!$E$14:$E$43,C71&amp;"")&gt;0,"Sensitive account | ","")&amp;IF(AND(MAX(N(E71),N(F71))&gt;=Settings!$C$9,MOD(MAX(N(E71),N(F71)),Settings!$C$10)=0),"Round amount | ",""),LEN(IF(K71="No","Does not balance | ","")&amp;IF(I71="","Not approved | ",IF(UPPER(TRIM(H71))=UPPER(TRIM(I71)),"Self-approved | ",""))&amp;IF(J71="","No support | ","")&amp;IF(WEEKDAY(B71,2)&gt;5,"Weekend posting | ","")&amp;IF(COUNTIF(Settings!$A$14:$A$43,B71)&gt;0,"Holiday posting | ","")&amp;IF(B71&gt;Settings!$C$8,"Posted after close | ","")&amp;IF(OR(B71&lt;Settings!$C$6,B71&gt;Settings!$C$7),"Outside period | ","")&amp;IF(COUNTIF(Settings!$E$14:$E$43,C71&amp;"")&gt;0,"Sensitive account | ","")&amp;IF(AND(MAX(N(E71),N(F71))&gt;=Settings!$C$9,MOD(MAX(N(E71),N(F71)),Settings!$C$10)=0),"Round amount | ",""))-3)))</f>
        <v/>
      </c>
      <c r="M71" s="21" t="str">
        <f aca="false">IF(A71="","",IF(COUNTIF($A$9:A71,A71)=1,MAX($M$8:M70)+1,""))</f>
        <v/>
      </c>
    </row>
    <row r="72" customFormat="false" ht="15" hidden="false" customHeight="false" outlineLevel="0" collapsed="false">
      <c r="A72" s="8"/>
      <c r="B72" s="17"/>
      <c r="C72" s="19"/>
      <c r="D72" s="8"/>
      <c r="E72" s="18"/>
      <c r="F72" s="18"/>
      <c r="G72" s="8"/>
      <c r="H72" s="8"/>
      <c r="I72" s="8"/>
      <c r="J72" s="8"/>
      <c r="K72" s="10" t="str">
        <f aca="false">IF(A72="","",IF(ABS(SUMIFS($E$9:$E$2008,$A$9:$A$2008,A72)-SUMIFS($F$9:$F$2008,$A$9:$A$2008,A72))&lt;0.5,"Yes","No"))</f>
        <v/>
      </c>
      <c r="L72" s="10" t="str">
        <f aca="false">IF(A72="","",IF(IF(K72="No","Does not balance | ","")&amp;IF(I72="","Not approved | ",IF(UPPER(TRIM(H72))=UPPER(TRIM(I72)),"Self-approved | ",""))&amp;IF(J72="","No support | ","")&amp;IF(WEEKDAY(B72,2)&gt;5,"Weekend posting | ","")&amp;IF(COUNTIF(Settings!$A$14:$A$43,B72)&gt;0,"Holiday posting | ","")&amp;IF(B72&gt;Settings!$C$8,"Posted after close | ","")&amp;IF(OR(B72&lt;Settings!$C$6,B72&gt;Settings!$C$7),"Outside period | ","")&amp;IF(COUNTIF(Settings!$E$14:$E$43,C72&amp;"")&gt;0,"Sensitive account | ","")&amp;IF(AND(MAX(N(E72),N(F72))&gt;=Settings!$C$9,MOD(MAX(N(E72),N(F72)),Settings!$C$10)=0),"Round amount | ","")="","",LEFT(IF(K72="No","Does not balance | ","")&amp;IF(I72="","Not approved | ",IF(UPPER(TRIM(H72))=UPPER(TRIM(I72)),"Self-approved | ",""))&amp;IF(J72="","No support | ","")&amp;IF(WEEKDAY(B72,2)&gt;5,"Weekend posting | ","")&amp;IF(COUNTIF(Settings!$A$14:$A$43,B72)&gt;0,"Holiday posting | ","")&amp;IF(B72&gt;Settings!$C$8,"Posted after close | ","")&amp;IF(OR(B72&lt;Settings!$C$6,B72&gt;Settings!$C$7),"Outside period | ","")&amp;IF(COUNTIF(Settings!$E$14:$E$43,C72&amp;"")&gt;0,"Sensitive account | ","")&amp;IF(AND(MAX(N(E72),N(F72))&gt;=Settings!$C$9,MOD(MAX(N(E72),N(F72)),Settings!$C$10)=0),"Round amount | ",""),LEN(IF(K72="No","Does not balance | ","")&amp;IF(I72="","Not approved | ",IF(UPPER(TRIM(H72))=UPPER(TRIM(I72)),"Self-approved | ",""))&amp;IF(J72="","No support | ","")&amp;IF(WEEKDAY(B72,2)&gt;5,"Weekend posting | ","")&amp;IF(COUNTIF(Settings!$A$14:$A$43,B72)&gt;0,"Holiday posting | ","")&amp;IF(B72&gt;Settings!$C$8,"Posted after close | ","")&amp;IF(OR(B72&lt;Settings!$C$6,B72&gt;Settings!$C$7),"Outside period | ","")&amp;IF(COUNTIF(Settings!$E$14:$E$43,C72&amp;"")&gt;0,"Sensitive account | ","")&amp;IF(AND(MAX(N(E72),N(F72))&gt;=Settings!$C$9,MOD(MAX(N(E72),N(F72)),Settings!$C$10)=0),"Round amount | ",""))-3)))</f>
        <v/>
      </c>
      <c r="M72" s="21" t="str">
        <f aca="false">IF(A72="","",IF(COUNTIF($A$9:A72,A72)=1,MAX($M$8:M71)+1,""))</f>
        <v/>
      </c>
    </row>
    <row r="73" customFormat="false" ht="15" hidden="false" customHeight="false" outlineLevel="0" collapsed="false">
      <c r="A73" s="8"/>
      <c r="B73" s="17"/>
      <c r="C73" s="19"/>
      <c r="D73" s="8"/>
      <c r="E73" s="18"/>
      <c r="F73" s="18"/>
      <c r="G73" s="8"/>
      <c r="H73" s="8"/>
      <c r="I73" s="8"/>
      <c r="J73" s="8"/>
      <c r="K73" s="10" t="str">
        <f aca="false">IF(A73="","",IF(ABS(SUMIFS($E$9:$E$2008,$A$9:$A$2008,A73)-SUMIFS($F$9:$F$2008,$A$9:$A$2008,A73))&lt;0.5,"Yes","No"))</f>
        <v/>
      </c>
      <c r="L73" s="10" t="str">
        <f aca="false">IF(A73="","",IF(IF(K73="No","Does not balance | ","")&amp;IF(I73="","Not approved | ",IF(UPPER(TRIM(H73))=UPPER(TRIM(I73)),"Self-approved | ",""))&amp;IF(J73="","No support | ","")&amp;IF(WEEKDAY(B73,2)&gt;5,"Weekend posting | ","")&amp;IF(COUNTIF(Settings!$A$14:$A$43,B73)&gt;0,"Holiday posting | ","")&amp;IF(B73&gt;Settings!$C$8,"Posted after close | ","")&amp;IF(OR(B73&lt;Settings!$C$6,B73&gt;Settings!$C$7),"Outside period | ","")&amp;IF(COUNTIF(Settings!$E$14:$E$43,C73&amp;"")&gt;0,"Sensitive account | ","")&amp;IF(AND(MAX(N(E73),N(F73))&gt;=Settings!$C$9,MOD(MAX(N(E73),N(F73)),Settings!$C$10)=0),"Round amount | ","")="","",LEFT(IF(K73="No","Does not balance | ","")&amp;IF(I73="","Not approved | ",IF(UPPER(TRIM(H73))=UPPER(TRIM(I73)),"Self-approved | ",""))&amp;IF(J73="","No support | ","")&amp;IF(WEEKDAY(B73,2)&gt;5,"Weekend posting | ","")&amp;IF(COUNTIF(Settings!$A$14:$A$43,B73)&gt;0,"Holiday posting | ","")&amp;IF(B73&gt;Settings!$C$8,"Posted after close | ","")&amp;IF(OR(B73&lt;Settings!$C$6,B73&gt;Settings!$C$7),"Outside period | ","")&amp;IF(COUNTIF(Settings!$E$14:$E$43,C73&amp;"")&gt;0,"Sensitive account | ","")&amp;IF(AND(MAX(N(E73),N(F73))&gt;=Settings!$C$9,MOD(MAX(N(E73),N(F73)),Settings!$C$10)=0),"Round amount | ",""),LEN(IF(K73="No","Does not balance | ","")&amp;IF(I73="","Not approved | ",IF(UPPER(TRIM(H73))=UPPER(TRIM(I73)),"Self-approved | ",""))&amp;IF(J73="","No support | ","")&amp;IF(WEEKDAY(B73,2)&gt;5,"Weekend posting | ","")&amp;IF(COUNTIF(Settings!$A$14:$A$43,B73)&gt;0,"Holiday posting | ","")&amp;IF(B73&gt;Settings!$C$8,"Posted after close | ","")&amp;IF(OR(B73&lt;Settings!$C$6,B73&gt;Settings!$C$7),"Outside period | ","")&amp;IF(COUNTIF(Settings!$E$14:$E$43,C73&amp;"")&gt;0,"Sensitive account | ","")&amp;IF(AND(MAX(N(E73),N(F73))&gt;=Settings!$C$9,MOD(MAX(N(E73),N(F73)),Settings!$C$10)=0),"Round amount | ",""))-3)))</f>
        <v/>
      </c>
      <c r="M73" s="21" t="str">
        <f aca="false">IF(A73="","",IF(COUNTIF($A$9:A73,A73)=1,MAX($M$8:M72)+1,""))</f>
        <v/>
      </c>
    </row>
    <row r="74" customFormat="false" ht="15" hidden="false" customHeight="false" outlineLevel="0" collapsed="false">
      <c r="A74" s="8"/>
      <c r="B74" s="17"/>
      <c r="C74" s="19"/>
      <c r="D74" s="8"/>
      <c r="E74" s="18"/>
      <c r="F74" s="18"/>
      <c r="G74" s="8"/>
      <c r="H74" s="8"/>
      <c r="I74" s="8"/>
      <c r="J74" s="8"/>
      <c r="K74" s="10" t="str">
        <f aca="false">IF(A74="","",IF(ABS(SUMIFS($E$9:$E$2008,$A$9:$A$2008,A74)-SUMIFS($F$9:$F$2008,$A$9:$A$2008,A74))&lt;0.5,"Yes","No"))</f>
        <v/>
      </c>
      <c r="L74" s="10" t="str">
        <f aca="false">IF(A74="","",IF(IF(K74="No","Does not balance | ","")&amp;IF(I74="","Not approved | ",IF(UPPER(TRIM(H74))=UPPER(TRIM(I74)),"Self-approved | ",""))&amp;IF(J74="","No support | ","")&amp;IF(WEEKDAY(B74,2)&gt;5,"Weekend posting | ","")&amp;IF(COUNTIF(Settings!$A$14:$A$43,B74)&gt;0,"Holiday posting | ","")&amp;IF(B74&gt;Settings!$C$8,"Posted after close | ","")&amp;IF(OR(B74&lt;Settings!$C$6,B74&gt;Settings!$C$7),"Outside period | ","")&amp;IF(COUNTIF(Settings!$E$14:$E$43,C74&amp;"")&gt;0,"Sensitive account | ","")&amp;IF(AND(MAX(N(E74),N(F74))&gt;=Settings!$C$9,MOD(MAX(N(E74),N(F74)),Settings!$C$10)=0),"Round amount | ","")="","",LEFT(IF(K74="No","Does not balance | ","")&amp;IF(I74="","Not approved | ",IF(UPPER(TRIM(H74))=UPPER(TRIM(I74)),"Self-approved | ",""))&amp;IF(J74="","No support | ","")&amp;IF(WEEKDAY(B74,2)&gt;5,"Weekend posting | ","")&amp;IF(COUNTIF(Settings!$A$14:$A$43,B74)&gt;0,"Holiday posting | ","")&amp;IF(B74&gt;Settings!$C$8,"Posted after close | ","")&amp;IF(OR(B74&lt;Settings!$C$6,B74&gt;Settings!$C$7),"Outside period | ","")&amp;IF(COUNTIF(Settings!$E$14:$E$43,C74&amp;"")&gt;0,"Sensitive account | ","")&amp;IF(AND(MAX(N(E74),N(F74))&gt;=Settings!$C$9,MOD(MAX(N(E74),N(F74)),Settings!$C$10)=0),"Round amount | ",""),LEN(IF(K74="No","Does not balance | ","")&amp;IF(I74="","Not approved | ",IF(UPPER(TRIM(H74))=UPPER(TRIM(I74)),"Self-approved | ",""))&amp;IF(J74="","No support | ","")&amp;IF(WEEKDAY(B74,2)&gt;5,"Weekend posting | ","")&amp;IF(COUNTIF(Settings!$A$14:$A$43,B74)&gt;0,"Holiday posting | ","")&amp;IF(B74&gt;Settings!$C$8,"Posted after close | ","")&amp;IF(OR(B74&lt;Settings!$C$6,B74&gt;Settings!$C$7),"Outside period | ","")&amp;IF(COUNTIF(Settings!$E$14:$E$43,C74&amp;"")&gt;0,"Sensitive account | ","")&amp;IF(AND(MAX(N(E74),N(F74))&gt;=Settings!$C$9,MOD(MAX(N(E74),N(F74)),Settings!$C$10)=0),"Round amount | ",""))-3)))</f>
        <v/>
      </c>
      <c r="M74" s="21" t="str">
        <f aca="false">IF(A74="","",IF(COUNTIF($A$9:A74,A74)=1,MAX($M$8:M73)+1,""))</f>
        <v/>
      </c>
    </row>
    <row r="75" customFormat="false" ht="15" hidden="false" customHeight="false" outlineLevel="0" collapsed="false">
      <c r="A75" s="8"/>
      <c r="B75" s="17"/>
      <c r="C75" s="19"/>
      <c r="D75" s="8"/>
      <c r="E75" s="18"/>
      <c r="F75" s="18"/>
      <c r="G75" s="8"/>
      <c r="H75" s="8"/>
      <c r="I75" s="8"/>
      <c r="J75" s="8"/>
      <c r="K75" s="10" t="str">
        <f aca="false">IF(A75="","",IF(ABS(SUMIFS($E$9:$E$2008,$A$9:$A$2008,A75)-SUMIFS($F$9:$F$2008,$A$9:$A$2008,A75))&lt;0.5,"Yes","No"))</f>
        <v/>
      </c>
      <c r="L75" s="10" t="str">
        <f aca="false">IF(A75="","",IF(IF(K75="No","Does not balance | ","")&amp;IF(I75="","Not approved | ",IF(UPPER(TRIM(H75))=UPPER(TRIM(I75)),"Self-approved | ",""))&amp;IF(J75="","No support | ","")&amp;IF(WEEKDAY(B75,2)&gt;5,"Weekend posting | ","")&amp;IF(COUNTIF(Settings!$A$14:$A$43,B75)&gt;0,"Holiday posting | ","")&amp;IF(B75&gt;Settings!$C$8,"Posted after close | ","")&amp;IF(OR(B75&lt;Settings!$C$6,B75&gt;Settings!$C$7),"Outside period | ","")&amp;IF(COUNTIF(Settings!$E$14:$E$43,C75&amp;"")&gt;0,"Sensitive account | ","")&amp;IF(AND(MAX(N(E75),N(F75))&gt;=Settings!$C$9,MOD(MAX(N(E75),N(F75)),Settings!$C$10)=0),"Round amount | ","")="","",LEFT(IF(K75="No","Does not balance | ","")&amp;IF(I75="","Not approved | ",IF(UPPER(TRIM(H75))=UPPER(TRIM(I75)),"Self-approved | ",""))&amp;IF(J75="","No support | ","")&amp;IF(WEEKDAY(B75,2)&gt;5,"Weekend posting | ","")&amp;IF(COUNTIF(Settings!$A$14:$A$43,B75)&gt;0,"Holiday posting | ","")&amp;IF(B75&gt;Settings!$C$8,"Posted after close | ","")&amp;IF(OR(B75&lt;Settings!$C$6,B75&gt;Settings!$C$7),"Outside period | ","")&amp;IF(COUNTIF(Settings!$E$14:$E$43,C75&amp;"")&gt;0,"Sensitive account | ","")&amp;IF(AND(MAX(N(E75),N(F75))&gt;=Settings!$C$9,MOD(MAX(N(E75),N(F75)),Settings!$C$10)=0),"Round amount | ",""),LEN(IF(K75="No","Does not balance | ","")&amp;IF(I75="","Not approved | ",IF(UPPER(TRIM(H75))=UPPER(TRIM(I75)),"Self-approved | ",""))&amp;IF(J75="","No support | ","")&amp;IF(WEEKDAY(B75,2)&gt;5,"Weekend posting | ","")&amp;IF(COUNTIF(Settings!$A$14:$A$43,B75)&gt;0,"Holiday posting | ","")&amp;IF(B75&gt;Settings!$C$8,"Posted after close | ","")&amp;IF(OR(B75&lt;Settings!$C$6,B75&gt;Settings!$C$7),"Outside period | ","")&amp;IF(COUNTIF(Settings!$E$14:$E$43,C75&amp;"")&gt;0,"Sensitive account | ","")&amp;IF(AND(MAX(N(E75),N(F75))&gt;=Settings!$C$9,MOD(MAX(N(E75),N(F75)),Settings!$C$10)=0),"Round amount | ",""))-3)))</f>
        <v/>
      </c>
      <c r="M75" s="21" t="str">
        <f aca="false">IF(A75="","",IF(COUNTIF($A$9:A75,A75)=1,MAX($M$8:M74)+1,""))</f>
        <v/>
      </c>
    </row>
    <row r="76" customFormat="false" ht="15" hidden="false" customHeight="false" outlineLevel="0" collapsed="false">
      <c r="A76" s="8"/>
      <c r="B76" s="17"/>
      <c r="C76" s="19"/>
      <c r="D76" s="8"/>
      <c r="E76" s="18"/>
      <c r="F76" s="18"/>
      <c r="G76" s="8"/>
      <c r="H76" s="8"/>
      <c r="I76" s="8"/>
      <c r="J76" s="8"/>
      <c r="K76" s="10" t="str">
        <f aca="false">IF(A76="","",IF(ABS(SUMIFS($E$9:$E$2008,$A$9:$A$2008,A76)-SUMIFS($F$9:$F$2008,$A$9:$A$2008,A76))&lt;0.5,"Yes","No"))</f>
        <v/>
      </c>
      <c r="L76" s="10" t="str">
        <f aca="false">IF(A76="","",IF(IF(K76="No","Does not balance | ","")&amp;IF(I76="","Not approved | ",IF(UPPER(TRIM(H76))=UPPER(TRIM(I76)),"Self-approved | ",""))&amp;IF(J76="","No support | ","")&amp;IF(WEEKDAY(B76,2)&gt;5,"Weekend posting | ","")&amp;IF(COUNTIF(Settings!$A$14:$A$43,B76)&gt;0,"Holiday posting | ","")&amp;IF(B76&gt;Settings!$C$8,"Posted after close | ","")&amp;IF(OR(B76&lt;Settings!$C$6,B76&gt;Settings!$C$7),"Outside period | ","")&amp;IF(COUNTIF(Settings!$E$14:$E$43,C76&amp;"")&gt;0,"Sensitive account | ","")&amp;IF(AND(MAX(N(E76),N(F76))&gt;=Settings!$C$9,MOD(MAX(N(E76),N(F76)),Settings!$C$10)=0),"Round amount | ","")="","",LEFT(IF(K76="No","Does not balance | ","")&amp;IF(I76="","Not approved | ",IF(UPPER(TRIM(H76))=UPPER(TRIM(I76)),"Self-approved | ",""))&amp;IF(J76="","No support | ","")&amp;IF(WEEKDAY(B76,2)&gt;5,"Weekend posting | ","")&amp;IF(COUNTIF(Settings!$A$14:$A$43,B76)&gt;0,"Holiday posting | ","")&amp;IF(B76&gt;Settings!$C$8,"Posted after close | ","")&amp;IF(OR(B76&lt;Settings!$C$6,B76&gt;Settings!$C$7),"Outside period | ","")&amp;IF(COUNTIF(Settings!$E$14:$E$43,C76&amp;"")&gt;0,"Sensitive account | ","")&amp;IF(AND(MAX(N(E76),N(F76))&gt;=Settings!$C$9,MOD(MAX(N(E76),N(F76)),Settings!$C$10)=0),"Round amount | ",""),LEN(IF(K76="No","Does not balance | ","")&amp;IF(I76="","Not approved | ",IF(UPPER(TRIM(H76))=UPPER(TRIM(I76)),"Self-approved | ",""))&amp;IF(J76="","No support | ","")&amp;IF(WEEKDAY(B76,2)&gt;5,"Weekend posting | ","")&amp;IF(COUNTIF(Settings!$A$14:$A$43,B76)&gt;0,"Holiday posting | ","")&amp;IF(B76&gt;Settings!$C$8,"Posted after close | ","")&amp;IF(OR(B76&lt;Settings!$C$6,B76&gt;Settings!$C$7),"Outside period | ","")&amp;IF(COUNTIF(Settings!$E$14:$E$43,C76&amp;"")&gt;0,"Sensitive account | ","")&amp;IF(AND(MAX(N(E76),N(F76))&gt;=Settings!$C$9,MOD(MAX(N(E76),N(F76)),Settings!$C$10)=0),"Round amount | ",""))-3)))</f>
        <v/>
      </c>
      <c r="M76" s="21" t="str">
        <f aca="false">IF(A76="","",IF(COUNTIF($A$9:A76,A76)=1,MAX($M$8:M75)+1,""))</f>
        <v/>
      </c>
    </row>
    <row r="77" customFormat="false" ht="15" hidden="false" customHeight="false" outlineLevel="0" collapsed="false">
      <c r="A77" s="8"/>
      <c r="B77" s="17"/>
      <c r="C77" s="19"/>
      <c r="D77" s="8"/>
      <c r="E77" s="18"/>
      <c r="F77" s="18"/>
      <c r="G77" s="8"/>
      <c r="H77" s="8"/>
      <c r="I77" s="8"/>
      <c r="J77" s="8"/>
      <c r="K77" s="10" t="str">
        <f aca="false">IF(A77="","",IF(ABS(SUMIFS($E$9:$E$2008,$A$9:$A$2008,A77)-SUMIFS($F$9:$F$2008,$A$9:$A$2008,A77))&lt;0.5,"Yes","No"))</f>
        <v/>
      </c>
      <c r="L77" s="10" t="str">
        <f aca="false">IF(A77="","",IF(IF(K77="No","Does not balance | ","")&amp;IF(I77="","Not approved | ",IF(UPPER(TRIM(H77))=UPPER(TRIM(I77)),"Self-approved | ",""))&amp;IF(J77="","No support | ","")&amp;IF(WEEKDAY(B77,2)&gt;5,"Weekend posting | ","")&amp;IF(COUNTIF(Settings!$A$14:$A$43,B77)&gt;0,"Holiday posting | ","")&amp;IF(B77&gt;Settings!$C$8,"Posted after close | ","")&amp;IF(OR(B77&lt;Settings!$C$6,B77&gt;Settings!$C$7),"Outside period | ","")&amp;IF(COUNTIF(Settings!$E$14:$E$43,C77&amp;"")&gt;0,"Sensitive account | ","")&amp;IF(AND(MAX(N(E77),N(F77))&gt;=Settings!$C$9,MOD(MAX(N(E77),N(F77)),Settings!$C$10)=0),"Round amount | ","")="","",LEFT(IF(K77="No","Does not balance | ","")&amp;IF(I77="","Not approved | ",IF(UPPER(TRIM(H77))=UPPER(TRIM(I77)),"Self-approved | ",""))&amp;IF(J77="","No support | ","")&amp;IF(WEEKDAY(B77,2)&gt;5,"Weekend posting | ","")&amp;IF(COUNTIF(Settings!$A$14:$A$43,B77)&gt;0,"Holiday posting | ","")&amp;IF(B77&gt;Settings!$C$8,"Posted after close | ","")&amp;IF(OR(B77&lt;Settings!$C$6,B77&gt;Settings!$C$7),"Outside period | ","")&amp;IF(COUNTIF(Settings!$E$14:$E$43,C77&amp;"")&gt;0,"Sensitive account | ","")&amp;IF(AND(MAX(N(E77),N(F77))&gt;=Settings!$C$9,MOD(MAX(N(E77),N(F77)),Settings!$C$10)=0),"Round amount | ",""),LEN(IF(K77="No","Does not balance | ","")&amp;IF(I77="","Not approved | ",IF(UPPER(TRIM(H77))=UPPER(TRIM(I77)),"Self-approved | ",""))&amp;IF(J77="","No support | ","")&amp;IF(WEEKDAY(B77,2)&gt;5,"Weekend posting | ","")&amp;IF(COUNTIF(Settings!$A$14:$A$43,B77)&gt;0,"Holiday posting | ","")&amp;IF(B77&gt;Settings!$C$8,"Posted after close | ","")&amp;IF(OR(B77&lt;Settings!$C$6,B77&gt;Settings!$C$7),"Outside period | ","")&amp;IF(COUNTIF(Settings!$E$14:$E$43,C77&amp;"")&gt;0,"Sensitive account | ","")&amp;IF(AND(MAX(N(E77),N(F77))&gt;=Settings!$C$9,MOD(MAX(N(E77),N(F77)),Settings!$C$10)=0),"Round amount | ",""))-3)))</f>
        <v/>
      </c>
      <c r="M77" s="21" t="str">
        <f aca="false">IF(A77="","",IF(COUNTIF($A$9:A77,A77)=1,MAX($M$8:M76)+1,""))</f>
        <v/>
      </c>
    </row>
    <row r="78" customFormat="false" ht="15" hidden="false" customHeight="false" outlineLevel="0" collapsed="false">
      <c r="A78" s="8"/>
      <c r="B78" s="17"/>
      <c r="C78" s="19"/>
      <c r="D78" s="8"/>
      <c r="E78" s="18"/>
      <c r="F78" s="18"/>
      <c r="G78" s="8"/>
      <c r="H78" s="8"/>
      <c r="I78" s="8"/>
      <c r="J78" s="8"/>
      <c r="K78" s="10" t="str">
        <f aca="false">IF(A78="","",IF(ABS(SUMIFS($E$9:$E$2008,$A$9:$A$2008,A78)-SUMIFS($F$9:$F$2008,$A$9:$A$2008,A78))&lt;0.5,"Yes","No"))</f>
        <v/>
      </c>
      <c r="L78" s="10" t="str">
        <f aca="false">IF(A78="","",IF(IF(K78="No","Does not balance | ","")&amp;IF(I78="","Not approved | ",IF(UPPER(TRIM(H78))=UPPER(TRIM(I78)),"Self-approved | ",""))&amp;IF(J78="","No support | ","")&amp;IF(WEEKDAY(B78,2)&gt;5,"Weekend posting | ","")&amp;IF(COUNTIF(Settings!$A$14:$A$43,B78)&gt;0,"Holiday posting | ","")&amp;IF(B78&gt;Settings!$C$8,"Posted after close | ","")&amp;IF(OR(B78&lt;Settings!$C$6,B78&gt;Settings!$C$7),"Outside period | ","")&amp;IF(COUNTIF(Settings!$E$14:$E$43,C78&amp;"")&gt;0,"Sensitive account | ","")&amp;IF(AND(MAX(N(E78),N(F78))&gt;=Settings!$C$9,MOD(MAX(N(E78),N(F78)),Settings!$C$10)=0),"Round amount | ","")="","",LEFT(IF(K78="No","Does not balance | ","")&amp;IF(I78="","Not approved | ",IF(UPPER(TRIM(H78))=UPPER(TRIM(I78)),"Self-approved | ",""))&amp;IF(J78="","No support | ","")&amp;IF(WEEKDAY(B78,2)&gt;5,"Weekend posting | ","")&amp;IF(COUNTIF(Settings!$A$14:$A$43,B78)&gt;0,"Holiday posting | ","")&amp;IF(B78&gt;Settings!$C$8,"Posted after close | ","")&amp;IF(OR(B78&lt;Settings!$C$6,B78&gt;Settings!$C$7),"Outside period | ","")&amp;IF(COUNTIF(Settings!$E$14:$E$43,C78&amp;"")&gt;0,"Sensitive account | ","")&amp;IF(AND(MAX(N(E78),N(F78))&gt;=Settings!$C$9,MOD(MAX(N(E78),N(F78)),Settings!$C$10)=0),"Round amount | ",""),LEN(IF(K78="No","Does not balance | ","")&amp;IF(I78="","Not approved | ",IF(UPPER(TRIM(H78))=UPPER(TRIM(I78)),"Self-approved | ",""))&amp;IF(J78="","No support | ","")&amp;IF(WEEKDAY(B78,2)&gt;5,"Weekend posting | ","")&amp;IF(COUNTIF(Settings!$A$14:$A$43,B78)&gt;0,"Holiday posting | ","")&amp;IF(B78&gt;Settings!$C$8,"Posted after close | ","")&amp;IF(OR(B78&lt;Settings!$C$6,B78&gt;Settings!$C$7),"Outside period | ","")&amp;IF(COUNTIF(Settings!$E$14:$E$43,C78&amp;"")&gt;0,"Sensitive account | ","")&amp;IF(AND(MAX(N(E78),N(F78))&gt;=Settings!$C$9,MOD(MAX(N(E78),N(F78)),Settings!$C$10)=0),"Round amount | ",""))-3)))</f>
        <v/>
      </c>
      <c r="M78" s="21" t="str">
        <f aca="false">IF(A78="","",IF(COUNTIF($A$9:A78,A78)=1,MAX($M$8:M77)+1,""))</f>
        <v/>
      </c>
    </row>
    <row r="79" customFormat="false" ht="15" hidden="false" customHeight="false" outlineLevel="0" collapsed="false">
      <c r="A79" s="8"/>
      <c r="B79" s="17"/>
      <c r="C79" s="19"/>
      <c r="D79" s="8"/>
      <c r="E79" s="18"/>
      <c r="F79" s="18"/>
      <c r="G79" s="8"/>
      <c r="H79" s="8"/>
      <c r="I79" s="8"/>
      <c r="J79" s="8"/>
      <c r="K79" s="10" t="str">
        <f aca="false">IF(A79="","",IF(ABS(SUMIFS($E$9:$E$2008,$A$9:$A$2008,A79)-SUMIFS($F$9:$F$2008,$A$9:$A$2008,A79))&lt;0.5,"Yes","No"))</f>
        <v/>
      </c>
      <c r="L79" s="10" t="str">
        <f aca="false">IF(A79="","",IF(IF(K79="No","Does not balance | ","")&amp;IF(I79="","Not approved | ",IF(UPPER(TRIM(H79))=UPPER(TRIM(I79)),"Self-approved | ",""))&amp;IF(J79="","No support | ","")&amp;IF(WEEKDAY(B79,2)&gt;5,"Weekend posting | ","")&amp;IF(COUNTIF(Settings!$A$14:$A$43,B79)&gt;0,"Holiday posting | ","")&amp;IF(B79&gt;Settings!$C$8,"Posted after close | ","")&amp;IF(OR(B79&lt;Settings!$C$6,B79&gt;Settings!$C$7),"Outside period | ","")&amp;IF(COUNTIF(Settings!$E$14:$E$43,C79&amp;"")&gt;0,"Sensitive account | ","")&amp;IF(AND(MAX(N(E79),N(F79))&gt;=Settings!$C$9,MOD(MAX(N(E79),N(F79)),Settings!$C$10)=0),"Round amount | ","")="","",LEFT(IF(K79="No","Does not balance | ","")&amp;IF(I79="","Not approved | ",IF(UPPER(TRIM(H79))=UPPER(TRIM(I79)),"Self-approved | ",""))&amp;IF(J79="","No support | ","")&amp;IF(WEEKDAY(B79,2)&gt;5,"Weekend posting | ","")&amp;IF(COUNTIF(Settings!$A$14:$A$43,B79)&gt;0,"Holiday posting | ","")&amp;IF(B79&gt;Settings!$C$8,"Posted after close | ","")&amp;IF(OR(B79&lt;Settings!$C$6,B79&gt;Settings!$C$7),"Outside period | ","")&amp;IF(COUNTIF(Settings!$E$14:$E$43,C79&amp;"")&gt;0,"Sensitive account | ","")&amp;IF(AND(MAX(N(E79),N(F79))&gt;=Settings!$C$9,MOD(MAX(N(E79),N(F79)),Settings!$C$10)=0),"Round amount | ",""),LEN(IF(K79="No","Does not balance | ","")&amp;IF(I79="","Not approved | ",IF(UPPER(TRIM(H79))=UPPER(TRIM(I79)),"Self-approved | ",""))&amp;IF(J79="","No support | ","")&amp;IF(WEEKDAY(B79,2)&gt;5,"Weekend posting | ","")&amp;IF(COUNTIF(Settings!$A$14:$A$43,B79)&gt;0,"Holiday posting | ","")&amp;IF(B79&gt;Settings!$C$8,"Posted after close | ","")&amp;IF(OR(B79&lt;Settings!$C$6,B79&gt;Settings!$C$7),"Outside period | ","")&amp;IF(COUNTIF(Settings!$E$14:$E$43,C79&amp;"")&gt;0,"Sensitive account | ","")&amp;IF(AND(MAX(N(E79),N(F79))&gt;=Settings!$C$9,MOD(MAX(N(E79),N(F79)),Settings!$C$10)=0),"Round amount | ",""))-3)))</f>
        <v/>
      </c>
      <c r="M79" s="21" t="str">
        <f aca="false">IF(A79="","",IF(COUNTIF($A$9:A79,A79)=1,MAX($M$8:M78)+1,""))</f>
        <v/>
      </c>
    </row>
    <row r="80" customFormat="false" ht="15" hidden="false" customHeight="false" outlineLevel="0" collapsed="false">
      <c r="A80" s="8"/>
      <c r="B80" s="17"/>
      <c r="C80" s="19"/>
      <c r="D80" s="8"/>
      <c r="E80" s="18"/>
      <c r="F80" s="18"/>
      <c r="G80" s="8"/>
      <c r="H80" s="8"/>
      <c r="I80" s="8"/>
      <c r="J80" s="8"/>
      <c r="K80" s="10" t="str">
        <f aca="false">IF(A80="","",IF(ABS(SUMIFS($E$9:$E$2008,$A$9:$A$2008,A80)-SUMIFS($F$9:$F$2008,$A$9:$A$2008,A80))&lt;0.5,"Yes","No"))</f>
        <v/>
      </c>
      <c r="L80" s="10" t="str">
        <f aca="false">IF(A80="","",IF(IF(K80="No","Does not balance | ","")&amp;IF(I80="","Not approved | ",IF(UPPER(TRIM(H80))=UPPER(TRIM(I80)),"Self-approved | ",""))&amp;IF(J80="","No support | ","")&amp;IF(WEEKDAY(B80,2)&gt;5,"Weekend posting | ","")&amp;IF(COUNTIF(Settings!$A$14:$A$43,B80)&gt;0,"Holiday posting | ","")&amp;IF(B80&gt;Settings!$C$8,"Posted after close | ","")&amp;IF(OR(B80&lt;Settings!$C$6,B80&gt;Settings!$C$7),"Outside period | ","")&amp;IF(COUNTIF(Settings!$E$14:$E$43,C80&amp;"")&gt;0,"Sensitive account | ","")&amp;IF(AND(MAX(N(E80),N(F80))&gt;=Settings!$C$9,MOD(MAX(N(E80),N(F80)),Settings!$C$10)=0),"Round amount | ","")="","",LEFT(IF(K80="No","Does not balance | ","")&amp;IF(I80="","Not approved | ",IF(UPPER(TRIM(H80))=UPPER(TRIM(I80)),"Self-approved | ",""))&amp;IF(J80="","No support | ","")&amp;IF(WEEKDAY(B80,2)&gt;5,"Weekend posting | ","")&amp;IF(COUNTIF(Settings!$A$14:$A$43,B80)&gt;0,"Holiday posting | ","")&amp;IF(B80&gt;Settings!$C$8,"Posted after close | ","")&amp;IF(OR(B80&lt;Settings!$C$6,B80&gt;Settings!$C$7),"Outside period | ","")&amp;IF(COUNTIF(Settings!$E$14:$E$43,C80&amp;"")&gt;0,"Sensitive account | ","")&amp;IF(AND(MAX(N(E80),N(F80))&gt;=Settings!$C$9,MOD(MAX(N(E80),N(F80)),Settings!$C$10)=0),"Round amount | ",""),LEN(IF(K80="No","Does not balance | ","")&amp;IF(I80="","Not approved | ",IF(UPPER(TRIM(H80))=UPPER(TRIM(I80)),"Self-approved | ",""))&amp;IF(J80="","No support | ","")&amp;IF(WEEKDAY(B80,2)&gt;5,"Weekend posting | ","")&amp;IF(COUNTIF(Settings!$A$14:$A$43,B80)&gt;0,"Holiday posting | ","")&amp;IF(B80&gt;Settings!$C$8,"Posted after close | ","")&amp;IF(OR(B80&lt;Settings!$C$6,B80&gt;Settings!$C$7),"Outside period | ","")&amp;IF(COUNTIF(Settings!$E$14:$E$43,C80&amp;"")&gt;0,"Sensitive account | ","")&amp;IF(AND(MAX(N(E80),N(F80))&gt;=Settings!$C$9,MOD(MAX(N(E80),N(F80)),Settings!$C$10)=0),"Round amount | ",""))-3)))</f>
        <v/>
      </c>
      <c r="M80" s="21" t="str">
        <f aca="false">IF(A80="","",IF(COUNTIF($A$9:A80,A80)=1,MAX($M$8:M79)+1,""))</f>
        <v/>
      </c>
    </row>
    <row r="81" customFormat="false" ht="15" hidden="false" customHeight="false" outlineLevel="0" collapsed="false">
      <c r="A81" s="8"/>
      <c r="B81" s="17"/>
      <c r="C81" s="19"/>
      <c r="D81" s="8"/>
      <c r="E81" s="18"/>
      <c r="F81" s="18"/>
      <c r="G81" s="8"/>
      <c r="H81" s="8"/>
      <c r="I81" s="8"/>
      <c r="J81" s="8"/>
      <c r="K81" s="10" t="str">
        <f aca="false">IF(A81="","",IF(ABS(SUMIFS($E$9:$E$2008,$A$9:$A$2008,A81)-SUMIFS($F$9:$F$2008,$A$9:$A$2008,A81))&lt;0.5,"Yes","No"))</f>
        <v/>
      </c>
      <c r="L81" s="10" t="str">
        <f aca="false">IF(A81="","",IF(IF(K81="No","Does not balance | ","")&amp;IF(I81="","Not approved | ",IF(UPPER(TRIM(H81))=UPPER(TRIM(I81)),"Self-approved | ",""))&amp;IF(J81="","No support | ","")&amp;IF(WEEKDAY(B81,2)&gt;5,"Weekend posting | ","")&amp;IF(COUNTIF(Settings!$A$14:$A$43,B81)&gt;0,"Holiday posting | ","")&amp;IF(B81&gt;Settings!$C$8,"Posted after close | ","")&amp;IF(OR(B81&lt;Settings!$C$6,B81&gt;Settings!$C$7),"Outside period | ","")&amp;IF(COUNTIF(Settings!$E$14:$E$43,C81&amp;"")&gt;0,"Sensitive account | ","")&amp;IF(AND(MAX(N(E81),N(F81))&gt;=Settings!$C$9,MOD(MAX(N(E81),N(F81)),Settings!$C$10)=0),"Round amount | ","")="","",LEFT(IF(K81="No","Does not balance | ","")&amp;IF(I81="","Not approved | ",IF(UPPER(TRIM(H81))=UPPER(TRIM(I81)),"Self-approved | ",""))&amp;IF(J81="","No support | ","")&amp;IF(WEEKDAY(B81,2)&gt;5,"Weekend posting | ","")&amp;IF(COUNTIF(Settings!$A$14:$A$43,B81)&gt;0,"Holiday posting | ","")&amp;IF(B81&gt;Settings!$C$8,"Posted after close | ","")&amp;IF(OR(B81&lt;Settings!$C$6,B81&gt;Settings!$C$7),"Outside period | ","")&amp;IF(COUNTIF(Settings!$E$14:$E$43,C81&amp;"")&gt;0,"Sensitive account | ","")&amp;IF(AND(MAX(N(E81),N(F81))&gt;=Settings!$C$9,MOD(MAX(N(E81),N(F81)),Settings!$C$10)=0),"Round amount | ",""),LEN(IF(K81="No","Does not balance | ","")&amp;IF(I81="","Not approved | ",IF(UPPER(TRIM(H81))=UPPER(TRIM(I81)),"Self-approved | ",""))&amp;IF(J81="","No support | ","")&amp;IF(WEEKDAY(B81,2)&gt;5,"Weekend posting | ","")&amp;IF(COUNTIF(Settings!$A$14:$A$43,B81)&gt;0,"Holiday posting | ","")&amp;IF(B81&gt;Settings!$C$8,"Posted after close | ","")&amp;IF(OR(B81&lt;Settings!$C$6,B81&gt;Settings!$C$7),"Outside period | ","")&amp;IF(COUNTIF(Settings!$E$14:$E$43,C81&amp;"")&gt;0,"Sensitive account | ","")&amp;IF(AND(MAX(N(E81),N(F81))&gt;=Settings!$C$9,MOD(MAX(N(E81),N(F81)),Settings!$C$10)=0),"Round amount | ",""))-3)))</f>
        <v/>
      </c>
      <c r="M81" s="21" t="str">
        <f aca="false">IF(A81="","",IF(COUNTIF($A$9:A81,A81)=1,MAX($M$8:M80)+1,""))</f>
        <v/>
      </c>
    </row>
    <row r="82" customFormat="false" ht="15" hidden="false" customHeight="false" outlineLevel="0" collapsed="false">
      <c r="A82" s="8"/>
      <c r="B82" s="17"/>
      <c r="C82" s="19"/>
      <c r="D82" s="8"/>
      <c r="E82" s="18"/>
      <c r="F82" s="18"/>
      <c r="G82" s="8"/>
      <c r="H82" s="8"/>
      <c r="I82" s="8"/>
      <c r="J82" s="8"/>
      <c r="K82" s="10" t="str">
        <f aca="false">IF(A82="","",IF(ABS(SUMIFS($E$9:$E$2008,$A$9:$A$2008,A82)-SUMIFS($F$9:$F$2008,$A$9:$A$2008,A82))&lt;0.5,"Yes","No"))</f>
        <v/>
      </c>
      <c r="L82" s="10" t="str">
        <f aca="false">IF(A82="","",IF(IF(K82="No","Does not balance | ","")&amp;IF(I82="","Not approved | ",IF(UPPER(TRIM(H82))=UPPER(TRIM(I82)),"Self-approved | ",""))&amp;IF(J82="","No support | ","")&amp;IF(WEEKDAY(B82,2)&gt;5,"Weekend posting | ","")&amp;IF(COUNTIF(Settings!$A$14:$A$43,B82)&gt;0,"Holiday posting | ","")&amp;IF(B82&gt;Settings!$C$8,"Posted after close | ","")&amp;IF(OR(B82&lt;Settings!$C$6,B82&gt;Settings!$C$7),"Outside period | ","")&amp;IF(COUNTIF(Settings!$E$14:$E$43,C82&amp;"")&gt;0,"Sensitive account | ","")&amp;IF(AND(MAX(N(E82),N(F82))&gt;=Settings!$C$9,MOD(MAX(N(E82),N(F82)),Settings!$C$10)=0),"Round amount | ","")="","",LEFT(IF(K82="No","Does not balance | ","")&amp;IF(I82="","Not approved | ",IF(UPPER(TRIM(H82))=UPPER(TRIM(I82)),"Self-approved | ",""))&amp;IF(J82="","No support | ","")&amp;IF(WEEKDAY(B82,2)&gt;5,"Weekend posting | ","")&amp;IF(COUNTIF(Settings!$A$14:$A$43,B82)&gt;0,"Holiday posting | ","")&amp;IF(B82&gt;Settings!$C$8,"Posted after close | ","")&amp;IF(OR(B82&lt;Settings!$C$6,B82&gt;Settings!$C$7),"Outside period | ","")&amp;IF(COUNTIF(Settings!$E$14:$E$43,C82&amp;"")&gt;0,"Sensitive account | ","")&amp;IF(AND(MAX(N(E82),N(F82))&gt;=Settings!$C$9,MOD(MAX(N(E82),N(F82)),Settings!$C$10)=0),"Round amount | ",""),LEN(IF(K82="No","Does not balance | ","")&amp;IF(I82="","Not approved | ",IF(UPPER(TRIM(H82))=UPPER(TRIM(I82)),"Self-approved | ",""))&amp;IF(J82="","No support | ","")&amp;IF(WEEKDAY(B82,2)&gt;5,"Weekend posting | ","")&amp;IF(COUNTIF(Settings!$A$14:$A$43,B82)&gt;0,"Holiday posting | ","")&amp;IF(B82&gt;Settings!$C$8,"Posted after close | ","")&amp;IF(OR(B82&lt;Settings!$C$6,B82&gt;Settings!$C$7),"Outside period | ","")&amp;IF(COUNTIF(Settings!$E$14:$E$43,C82&amp;"")&gt;0,"Sensitive account | ","")&amp;IF(AND(MAX(N(E82),N(F82))&gt;=Settings!$C$9,MOD(MAX(N(E82),N(F82)),Settings!$C$10)=0),"Round amount | ",""))-3)))</f>
        <v/>
      </c>
      <c r="M82" s="21" t="str">
        <f aca="false">IF(A82="","",IF(COUNTIF($A$9:A82,A82)=1,MAX($M$8:M81)+1,""))</f>
        <v/>
      </c>
    </row>
    <row r="83" customFormat="false" ht="15" hidden="false" customHeight="false" outlineLevel="0" collapsed="false">
      <c r="A83" s="8"/>
      <c r="B83" s="17"/>
      <c r="C83" s="19"/>
      <c r="D83" s="8"/>
      <c r="E83" s="18"/>
      <c r="F83" s="18"/>
      <c r="G83" s="8"/>
      <c r="H83" s="8"/>
      <c r="I83" s="8"/>
      <c r="J83" s="8"/>
      <c r="K83" s="10" t="str">
        <f aca="false">IF(A83="","",IF(ABS(SUMIFS($E$9:$E$2008,$A$9:$A$2008,A83)-SUMIFS($F$9:$F$2008,$A$9:$A$2008,A83))&lt;0.5,"Yes","No"))</f>
        <v/>
      </c>
      <c r="L83" s="10" t="str">
        <f aca="false">IF(A83="","",IF(IF(K83="No","Does not balance | ","")&amp;IF(I83="","Not approved | ",IF(UPPER(TRIM(H83))=UPPER(TRIM(I83)),"Self-approved | ",""))&amp;IF(J83="","No support | ","")&amp;IF(WEEKDAY(B83,2)&gt;5,"Weekend posting | ","")&amp;IF(COUNTIF(Settings!$A$14:$A$43,B83)&gt;0,"Holiday posting | ","")&amp;IF(B83&gt;Settings!$C$8,"Posted after close | ","")&amp;IF(OR(B83&lt;Settings!$C$6,B83&gt;Settings!$C$7),"Outside period | ","")&amp;IF(COUNTIF(Settings!$E$14:$E$43,C83&amp;"")&gt;0,"Sensitive account | ","")&amp;IF(AND(MAX(N(E83),N(F83))&gt;=Settings!$C$9,MOD(MAX(N(E83),N(F83)),Settings!$C$10)=0),"Round amount | ","")="","",LEFT(IF(K83="No","Does not balance | ","")&amp;IF(I83="","Not approved | ",IF(UPPER(TRIM(H83))=UPPER(TRIM(I83)),"Self-approved | ",""))&amp;IF(J83="","No support | ","")&amp;IF(WEEKDAY(B83,2)&gt;5,"Weekend posting | ","")&amp;IF(COUNTIF(Settings!$A$14:$A$43,B83)&gt;0,"Holiday posting | ","")&amp;IF(B83&gt;Settings!$C$8,"Posted after close | ","")&amp;IF(OR(B83&lt;Settings!$C$6,B83&gt;Settings!$C$7),"Outside period | ","")&amp;IF(COUNTIF(Settings!$E$14:$E$43,C83&amp;"")&gt;0,"Sensitive account | ","")&amp;IF(AND(MAX(N(E83),N(F83))&gt;=Settings!$C$9,MOD(MAX(N(E83),N(F83)),Settings!$C$10)=0),"Round amount | ",""),LEN(IF(K83="No","Does not balance | ","")&amp;IF(I83="","Not approved | ",IF(UPPER(TRIM(H83))=UPPER(TRIM(I83)),"Self-approved | ",""))&amp;IF(J83="","No support | ","")&amp;IF(WEEKDAY(B83,2)&gt;5,"Weekend posting | ","")&amp;IF(COUNTIF(Settings!$A$14:$A$43,B83)&gt;0,"Holiday posting | ","")&amp;IF(B83&gt;Settings!$C$8,"Posted after close | ","")&amp;IF(OR(B83&lt;Settings!$C$6,B83&gt;Settings!$C$7),"Outside period | ","")&amp;IF(COUNTIF(Settings!$E$14:$E$43,C83&amp;"")&gt;0,"Sensitive account | ","")&amp;IF(AND(MAX(N(E83),N(F83))&gt;=Settings!$C$9,MOD(MAX(N(E83),N(F83)),Settings!$C$10)=0),"Round amount | ",""))-3)))</f>
        <v/>
      </c>
      <c r="M83" s="21" t="str">
        <f aca="false">IF(A83="","",IF(COUNTIF($A$9:A83,A83)=1,MAX($M$8:M82)+1,""))</f>
        <v/>
      </c>
    </row>
    <row r="84" customFormat="false" ht="15" hidden="false" customHeight="false" outlineLevel="0" collapsed="false">
      <c r="A84" s="8"/>
      <c r="B84" s="17"/>
      <c r="C84" s="19"/>
      <c r="D84" s="8"/>
      <c r="E84" s="18"/>
      <c r="F84" s="18"/>
      <c r="G84" s="8"/>
      <c r="H84" s="8"/>
      <c r="I84" s="8"/>
      <c r="J84" s="8"/>
      <c r="K84" s="10" t="str">
        <f aca="false">IF(A84="","",IF(ABS(SUMIFS($E$9:$E$2008,$A$9:$A$2008,A84)-SUMIFS($F$9:$F$2008,$A$9:$A$2008,A84))&lt;0.5,"Yes","No"))</f>
        <v/>
      </c>
      <c r="L84" s="10" t="str">
        <f aca="false">IF(A84="","",IF(IF(K84="No","Does not balance | ","")&amp;IF(I84="","Not approved | ",IF(UPPER(TRIM(H84))=UPPER(TRIM(I84)),"Self-approved | ",""))&amp;IF(J84="","No support | ","")&amp;IF(WEEKDAY(B84,2)&gt;5,"Weekend posting | ","")&amp;IF(COUNTIF(Settings!$A$14:$A$43,B84)&gt;0,"Holiday posting | ","")&amp;IF(B84&gt;Settings!$C$8,"Posted after close | ","")&amp;IF(OR(B84&lt;Settings!$C$6,B84&gt;Settings!$C$7),"Outside period | ","")&amp;IF(COUNTIF(Settings!$E$14:$E$43,C84&amp;"")&gt;0,"Sensitive account | ","")&amp;IF(AND(MAX(N(E84),N(F84))&gt;=Settings!$C$9,MOD(MAX(N(E84),N(F84)),Settings!$C$10)=0),"Round amount | ","")="","",LEFT(IF(K84="No","Does not balance | ","")&amp;IF(I84="","Not approved | ",IF(UPPER(TRIM(H84))=UPPER(TRIM(I84)),"Self-approved | ",""))&amp;IF(J84="","No support | ","")&amp;IF(WEEKDAY(B84,2)&gt;5,"Weekend posting | ","")&amp;IF(COUNTIF(Settings!$A$14:$A$43,B84)&gt;0,"Holiday posting | ","")&amp;IF(B84&gt;Settings!$C$8,"Posted after close | ","")&amp;IF(OR(B84&lt;Settings!$C$6,B84&gt;Settings!$C$7),"Outside period | ","")&amp;IF(COUNTIF(Settings!$E$14:$E$43,C84&amp;"")&gt;0,"Sensitive account | ","")&amp;IF(AND(MAX(N(E84),N(F84))&gt;=Settings!$C$9,MOD(MAX(N(E84),N(F84)),Settings!$C$10)=0),"Round amount | ",""),LEN(IF(K84="No","Does not balance | ","")&amp;IF(I84="","Not approved | ",IF(UPPER(TRIM(H84))=UPPER(TRIM(I84)),"Self-approved | ",""))&amp;IF(J84="","No support | ","")&amp;IF(WEEKDAY(B84,2)&gt;5,"Weekend posting | ","")&amp;IF(COUNTIF(Settings!$A$14:$A$43,B84)&gt;0,"Holiday posting | ","")&amp;IF(B84&gt;Settings!$C$8,"Posted after close | ","")&amp;IF(OR(B84&lt;Settings!$C$6,B84&gt;Settings!$C$7),"Outside period | ","")&amp;IF(COUNTIF(Settings!$E$14:$E$43,C84&amp;"")&gt;0,"Sensitive account | ","")&amp;IF(AND(MAX(N(E84),N(F84))&gt;=Settings!$C$9,MOD(MAX(N(E84),N(F84)),Settings!$C$10)=0),"Round amount | ",""))-3)))</f>
        <v/>
      </c>
      <c r="M84" s="21" t="str">
        <f aca="false">IF(A84="","",IF(COUNTIF($A$9:A84,A84)=1,MAX($M$8:M83)+1,""))</f>
        <v/>
      </c>
    </row>
    <row r="85" customFormat="false" ht="15" hidden="false" customHeight="false" outlineLevel="0" collapsed="false">
      <c r="A85" s="8"/>
      <c r="B85" s="17"/>
      <c r="C85" s="19"/>
      <c r="D85" s="8"/>
      <c r="E85" s="18"/>
      <c r="F85" s="18"/>
      <c r="G85" s="8"/>
      <c r="H85" s="8"/>
      <c r="I85" s="8"/>
      <c r="J85" s="8"/>
      <c r="K85" s="10" t="str">
        <f aca="false">IF(A85="","",IF(ABS(SUMIFS($E$9:$E$2008,$A$9:$A$2008,A85)-SUMIFS($F$9:$F$2008,$A$9:$A$2008,A85))&lt;0.5,"Yes","No"))</f>
        <v/>
      </c>
      <c r="L85" s="10" t="str">
        <f aca="false">IF(A85="","",IF(IF(K85="No","Does not balance | ","")&amp;IF(I85="","Not approved | ",IF(UPPER(TRIM(H85))=UPPER(TRIM(I85)),"Self-approved | ",""))&amp;IF(J85="","No support | ","")&amp;IF(WEEKDAY(B85,2)&gt;5,"Weekend posting | ","")&amp;IF(COUNTIF(Settings!$A$14:$A$43,B85)&gt;0,"Holiday posting | ","")&amp;IF(B85&gt;Settings!$C$8,"Posted after close | ","")&amp;IF(OR(B85&lt;Settings!$C$6,B85&gt;Settings!$C$7),"Outside period | ","")&amp;IF(COUNTIF(Settings!$E$14:$E$43,C85&amp;"")&gt;0,"Sensitive account | ","")&amp;IF(AND(MAX(N(E85),N(F85))&gt;=Settings!$C$9,MOD(MAX(N(E85),N(F85)),Settings!$C$10)=0),"Round amount | ","")="","",LEFT(IF(K85="No","Does not balance | ","")&amp;IF(I85="","Not approved | ",IF(UPPER(TRIM(H85))=UPPER(TRIM(I85)),"Self-approved | ",""))&amp;IF(J85="","No support | ","")&amp;IF(WEEKDAY(B85,2)&gt;5,"Weekend posting | ","")&amp;IF(COUNTIF(Settings!$A$14:$A$43,B85)&gt;0,"Holiday posting | ","")&amp;IF(B85&gt;Settings!$C$8,"Posted after close | ","")&amp;IF(OR(B85&lt;Settings!$C$6,B85&gt;Settings!$C$7),"Outside period | ","")&amp;IF(COUNTIF(Settings!$E$14:$E$43,C85&amp;"")&gt;0,"Sensitive account | ","")&amp;IF(AND(MAX(N(E85),N(F85))&gt;=Settings!$C$9,MOD(MAX(N(E85),N(F85)),Settings!$C$10)=0),"Round amount | ",""),LEN(IF(K85="No","Does not balance | ","")&amp;IF(I85="","Not approved | ",IF(UPPER(TRIM(H85))=UPPER(TRIM(I85)),"Self-approved | ",""))&amp;IF(J85="","No support | ","")&amp;IF(WEEKDAY(B85,2)&gt;5,"Weekend posting | ","")&amp;IF(COUNTIF(Settings!$A$14:$A$43,B85)&gt;0,"Holiday posting | ","")&amp;IF(B85&gt;Settings!$C$8,"Posted after close | ","")&amp;IF(OR(B85&lt;Settings!$C$6,B85&gt;Settings!$C$7),"Outside period | ","")&amp;IF(COUNTIF(Settings!$E$14:$E$43,C85&amp;"")&gt;0,"Sensitive account | ","")&amp;IF(AND(MAX(N(E85),N(F85))&gt;=Settings!$C$9,MOD(MAX(N(E85),N(F85)),Settings!$C$10)=0),"Round amount | ",""))-3)))</f>
        <v/>
      </c>
      <c r="M85" s="21" t="str">
        <f aca="false">IF(A85="","",IF(COUNTIF($A$9:A85,A85)=1,MAX($M$8:M84)+1,""))</f>
        <v/>
      </c>
    </row>
    <row r="86" customFormat="false" ht="15" hidden="false" customHeight="false" outlineLevel="0" collapsed="false">
      <c r="A86" s="8"/>
      <c r="B86" s="17"/>
      <c r="C86" s="19"/>
      <c r="D86" s="8"/>
      <c r="E86" s="18"/>
      <c r="F86" s="18"/>
      <c r="G86" s="8"/>
      <c r="H86" s="8"/>
      <c r="I86" s="8"/>
      <c r="J86" s="8"/>
      <c r="K86" s="10" t="str">
        <f aca="false">IF(A86="","",IF(ABS(SUMIFS($E$9:$E$2008,$A$9:$A$2008,A86)-SUMIFS($F$9:$F$2008,$A$9:$A$2008,A86))&lt;0.5,"Yes","No"))</f>
        <v/>
      </c>
      <c r="L86" s="10" t="str">
        <f aca="false">IF(A86="","",IF(IF(K86="No","Does not balance | ","")&amp;IF(I86="","Not approved | ",IF(UPPER(TRIM(H86))=UPPER(TRIM(I86)),"Self-approved | ",""))&amp;IF(J86="","No support | ","")&amp;IF(WEEKDAY(B86,2)&gt;5,"Weekend posting | ","")&amp;IF(COUNTIF(Settings!$A$14:$A$43,B86)&gt;0,"Holiday posting | ","")&amp;IF(B86&gt;Settings!$C$8,"Posted after close | ","")&amp;IF(OR(B86&lt;Settings!$C$6,B86&gt;Settings!$C$7),"Outside period | ","")&amp;IF(COUNTIF(Settings!$E$14:$E$43,C86&amp;"")&gt;0,"Sensitive account | ","")&amp;IF(AND(MAX(N(E86),N(F86))&gt;=Settings!$C$9,MOD(MAX(N(E86),N(F86)),Settings!$C$10)=0),"Round amount | ","")="","",LEFT(IF(K86="No","Does not balance | ","")&amp;IF(I86="","Not approved | ",IF(UPPER(TRIM(H86))=UPPER(TRIM(I86)),"Self-approved | ",""))&amp;IF(J86="","No support | ","")&amp;IF(WEEKDAY(B86,2)&gt;5,"Weekend posting | ","")&amp;IF(COUNTIF(Settings!$A$14:$A$43,B86)&gt;0,"Holiday posting | ","")&amp;IF(B86&gt;Settings!$C$8,"Posted after close | ","")&amp;IF(OR(B86&lt;Settings!$C$6,B86&gt;Settings!$C$7),"Outside period | ","")&amp;IF(COUNTIF(Settings!$E$14:$E$43,C86&amp;"")&gt;0,"Sensitive account | ","")&amp;IF(AND(MAX(N(E86),N(F86))&gt;=Settings!$C$9,MOD(MAX(N(E86),N(F86)),Settings!$C$10)=0),"Round amount | ",""),LEN(IF(K86="No","Does not balance | ","")&amp;IF(I86="","Not approved | ",IF(UPPER(TRIM(H86))=UPPER(TRIM(I86)),"Self-approved | ",""))&amp;IF(J86="","No support | ","")&amp;IF(WEEKDAY(B86,2)&gt;5,"Weekend posting | ","")&amp;IF(COUNTIF(Settings!$A$14:$A$43,B86)&gt;0,"Holiday posting | ","")&amp;IF(B86&gt;Settings!$C$8,"Posted after close | ","")&amp;IF(OR(B86&lt;Settings!$C$6,B86&gt;Settings!$C$7),"Outside period | ","")&amp;IF(COUNTIF(Settings!$E$14:$E$43,C86&amp;"")&gt;0,"Sensitive account | ","")&amp;IF(AND(MAX(N(E86),N(F86))&gt;=Settings!$C$9,MOD(MAX(N(E86),N(F86)),Settings!$C$10)=0),"Round amount | ",""))-3)))</f>
        <v/>
      </c>
      <c r="M86" s="21" t="str">
        <f aca="false">IF(A86="","",IF(COUNTIF($A$9:A86,A86)=1,MAX($M$8:M85)+1,""))</f>
        <v/>
      </c>
    </row>
    <row r="87" customFormat="false" ht="15" hidden="false" customHeight="false" outlineLevel="0" collapsed="false">
      <c r="A87" s="8"/>
      <c r="B87" s="17"/>
      <c r="C87" s="19"/>
      <c r="D87" s="8"/>
      <c r="E87" s="18"/>
      <c r="F87" s="18"/>
      <c r="G87" s="8"/>
      <c r="H87" s="8"/>
      <c r="I87" s="8"/>
      <c r="J87" s="8"/>
      <c r="K87" s="10" t="str">
        <f aca="false">IF(A87="","",IF(ABS(SUMIFS($E$9:$E$2008,$A$9:$A$2008,A87)-SUMIFS($F$9:$F$2008,$A$9:$A$2008,A87))&lt;0.5,"Yes","No"))</f>
        <v/>
      </c>
      <c r="L87" s="10" t="str">
        <f aca="false">IF(A87="","",IF(IF(K87="No","Does not balance | ","")&amp;IF(I87="","Not approved | ",IF(UPPER(TRIM(H87))=UPPER(TRIM(I87)),"Self-approved | ",""))&amp;IF(J87="","No support | ","")&amp;IF(WEEKDAY(B87,2)&gt;5,"Weekend posting | ","")&amp;IF(COUNTIF(Settings!$A$14:$A$43,B87)&gt;0,"Holiday posting | ","")&amp;IF(B87&gt;Settings!$C$8,"Posted after close | ","")&amp;IF(OR(B87&lt;Settings!$C$6,B87&gt;Settings!$C$7),"Outside period | ","")&amp;IF(COUNTIF(Settings!$E$14:$E$43,C87&amp;"")&gt;0,"Sensitive account | ","")&amp;IF(AND(MAX(N(E87),N(F87))&gt;=Settings!$C$9,MOD(MAX(N(E87),N(F87)),Settings!$C$10)=0),"Round amount | ","")="","",LEFT(IF(K87="No","Does not balance | ","")&amp;IF(I87="","Not approved | ",IF(UPPER(TRIM(H87))=UPPER(TRIM(I87)),"Self-approved | ",""))&amp;IF(J87="","No support | ","")&amp;IF(WEEKDAY(B87,2)&gt;5,"Weekend posting | ","")&amp;IF(COUNTIF(Settings!$A$14:$A$43,B87)&gt;0,"Holiday posting | ","")&amp;IF(B87&gt;Settings!$C$8,"Posted after close | ","")&amp;IF(OR(B87&lt;Settings!$C$6,B87&gt;Settings!$C$7),"Outside period | ","")&amp;IF(COUNTIF(Settings!$E$14:$E$43,C87&amp;"")&gt;0,"Sensitive account | ","")&amp;IF(AND(MAX(N(E87),N(F87))&gt;=Settings!$C$9,MOD(MAX(N(E87),N(F87)),Settings!$C$10)=0),"Round amount | ",""),LEN(IF(K87="No","Does not balance | ","")&amp;IF(I87="","Not approved | ",IF(UPPER(TRIM(H87))=UPPER(TRIM(I87)),"Self-approved | ",""))&amp;IF(J87="","No support | ","")&amp;IF(WEEKDAY(B87,2)&gt;5,"Weekend posting | ","")&amp;IF(COUNTIF(Settings!$A$14:$A$43,B87)&gt;0,"Holiday posting | ","")&amp;IF(B87&gt;Settings!$C$8,"Posted after close | ","")&amp;IF(OR(B87&lt;Settings!$C$6,B87&gt;Settings!$C$7),"Outside period | ","")&amp;IF(COUNTIF(Settings!$E$14:$E$43,C87&amp;"")&gt;0,"Sensitive account | ","")&amp;IF(AND(MAX(N(E87),N(F87))&gt;=Settings!$C$9,MOD(MAX(N(E87),N(F87)),Settings!$C$10)=0),"Round amount | ",""))-3)))</f>
        <v/>
      </c>
      <c r="M87" s="21" t="str">
        <f aca="false">IF(A87="","",IF(COUNTIF($A$9:A87,A87)=1,MAX($M$8:M86)+1,""))</f>
        <v/>
      </c>
    </row>
    <row r="88" customFormat="false" ht="15" hidden="false" customHeight="false" outlineLevel="0" collapsed="false">
      <c r="A88" s="8"/>
      <c r="B88" s="17"/>
      <c r="C88" s="19"/>
      <c r="D88" s="8"/>
      <c r="E88" s="18"/>
      <c r="F88" s="18"/>
      <c r="G88" s="8"/>
      <c r="H88" s="8"/>
      <c r="I88" s="8"/>
      <c r="J88" s="8"/>
      <c r="K88" s="10" t="str">
        <f aca="false">IF(A88="","",IF(ABS(SUMIFS($E$9:$E$2008,$A$9:$A$2008,A88)-SUMIFS($F$9:$F$2008,$A$9:$A$2008,A88))&lt;0.5,"Yes","No"))</f>
        <v/>
      </c>
      <c r="L88" s="10" t="str">
        <f aca="false">IF(A88="","",IF(IF(K88="No","Does not balance | ","")&amp;IF(I88="","Not approved | ",IF(UPPER(TRIM(H88))=UPPER(TRIM(I88)),"Self-approved | ",""))&amp;IF(J88="","No support | ","")&amp;IF(WEEKDAY(B88,2)&gt;5,"Weekend posting | ","")&amp;IF(COUNTIF(Settings!$A$14:$A$43,B88)&gt;0,"Holiday posting | ","")&amp;IF(B88&gt;Settings!$C$8,"Posted after close | ","")&amp;IF(OR(B88&lt;Settings!$C$6,B88&gt;Settings!$C$7),"Outside period | ","")&amp;IF(COUNTIF(Settings!$E$14:$E$43,C88&amp;"")&gt;0,"Sensitive account | ","")&amp;IF(AND(MAX(N(E88),N(F88))&gt;=Settings!$C$9,MOD(MAX(N(E88),N(F88)),Settings!$C$10)=0),"Round amount | ","")="","",LEFT(IF(K88="No","Does not balance | ","")&amp;IF(I88="","Not approved | ",IF(UPPER(TRIM(H88))=UPPER(TRIM(I88)),"Self-approved | ",""))&amp;IF(J88="","No support | ","")&amp;IF(WEEKDAY(B88,2)&gt;5,"Weekend posting | ","")&amp;IF(COUNTIF(Settings!$A$14:$A$43,B88)&gt;0,"Holiday posting | ","")&amp;IF(B88&gt;Settings!$C$8,"Posted after close | ","")&amp;IF(OR(B88&lt;Settings!$C$6,B88&gt;Settings!$C$7),"Outside period | ","")&amp;IF(COUNTIF(Settings!$E$14:$E$43,C88&amp;"")&gt;0,"Sensitive account | ","")&amp;IF(AND(MAX(N(E88),N(F88))&gt;=Settings!$C$9,MOD(MAX(N(E88),N(F88)),Settings!$C$10)=0),"Round amount | ",""),LEN(IF(K88="No","Does not balance | ","")&amp;IF(I88="","Not approved | ",IF(UPPER(TRIM(H88))=UPPER(TRIM(I88)),"Self-approved | ",""))&amp;IF(J88="","No support | ","")&amp;IF(WEEKDAY(B88,2)&gt;5,"Weekend posting | ","")&amp;IF(COUNTIF(Settings!$A$14:$A$43,B88)&gt;0,"Holiday posting | ","")&amp;IF(B88&gt;Settings!$C$8,"Posted after close | ","")&amp;IF(OR(B88&lt;Settings!$C$6,B88&gt;Settings!$C$7),"Outside period | ","")&amp;IF(COUNTIF(Settings!$E$14:$E$43,C88&amp;"")&gt;0,"Sensitive account | ","")&amp;IF(AND(MAX(N(E88),N(F88))&gt;=Settings!$C$9,MOD(MAX(N(E88),N(F88)),Settings!$C$10)=0),"Round amount | ",""))-3)))</f>
        <v/>
      </c>
      <c r="M88" s="21" t="str">
        <f aca="false">IF(A88="","",IF(COUNTIF($A$9:A88,A88)=1,MAX($M$8:M87)+1,""))</f>
        <v/>
      </c>
    </row>
    <row r="89" customFormat="false" ht="15" hidden="false" customHeight="false" outlineLevel="0" collapsed="false">
      <c r="A89" s="8"/>
      <c r="B89" s="17"/>
      <c r="C89" s="19"/>
      <c r="D89" s="8"/>
      <c r="E89" s="18"/>
      <c r="F89" s="18"/>
      <c r="G89" s="8"/>
      <c r="H89" s="8"/>
      <c r="I89" s="8"/>
      <c r="J89" s="8"/>
      <c r="K89" s="10" t="str">
        <f aca="false">IF(A89="","",IF(ABS(SUMIFS($E$9:$E$2008,$A$9:$A$2008,A89)-SUMIFS($F$9:$F$2008,$A$9:$A$2008,A89))&lt;0.5,"Yes","No"))</f>
        <v/>
      </c>
      <c r="L89" s="10" t="str">
        <f aca="false">IF(A89="","",IF(IF(K89="No","Does not balance | ","")&amp;IF(I89="","Not approved | ",IF(UPPER(TRIM(H89))=UPPER(TRIM(I89)),"Self-approved | ",""))&amp;IF(J89="","No support | ","")&amp;IF(WEEKDAY(B89,2)&gt;5,"Weekend posting | ","")&amp;IF(COUNTIF(Settings!$A$14:$A$43,B89)&gt;0,"Holiday posting | ","")&amp;IF(B89&gt;Settings!$C$8,"Posted after close | ","")&amp;IF(OR(B89&lt;Settings!$C$6,B89&gt;Settings!$C$7),"Outside period | ","")&amp;IF(COUNTIF(Settings!$E$14:$E$43,C89&amp;"")&gt;0,"Sensitive account | ","")&amp;IF(AND(MAX(N(E89),N(F89))&gt;=Settings!$C$9,MOD(MAX(N(E89),N(F89)),Settings!$C$10)=0),"Round amount | ","")="","",LEFT(IF(K89="No","Does not balance | ","")&amp;IF(I89="","Not approved | ",IF(UPPER(TRIM(H89))=UPPER(TRIM(I89)),"Self-approved | ",""))&amp;IF(J89="","No support | ","")&amp;IF(WEEKDAY(B89,2)&gt;5,"Weekend posting | ","")&amp;IF(COUNTIF(Settings!$A$14:$A$43,B89)&gt;0,"Holiday posting | ","")&amp;IF(B89&gt;Settings!$C$8,"Posted after close | ","")&amp;IF(OR(B89&lt;Settings!$C$6,B89&gt;Settings!$C$7),"Outside period | ","")&amp;IF(COUNTIF(Settings!$E$14:$E$43,C89&amp;"")&gt;0,"Sensitive account | ","")&amp;IF(AND(MAX(N(E89),N(F89))&gt;=Settings!$C$9,MOD(MAX(N(E89),N(F89)),Settings!$C$10)=0),"Round amount | ",""),LEN(IF(K89="No","Does not balance | ","")&amp;IF(I89="","Not approved | ",IF(UPPER(TRIM(H89))=UPPER(TRIM(I89)),"Self-approved | ",""))&amp;IF(J89="","No support | ","")&amp;IF(WEEKDAY(B89,2)&gt;5,"Weekend posting | ","")&amp;IF(COUNTIF(Settings!$A$14:$A$43,B89)&gt;0,"Holiday posting | ","")&amp;IF(B89&gt;Settings!$C$8,"Posted after close | ","")&amp;IF(OR(B89&lt;Settings!$C$6,B89&gt;Settings!$C$7),"Outside period | ","")&amp;IF(COUNTIF(Settings!$E$14:$E$43,C89&amp;"")&gt;0,"Sensitive account | ","")&amp;IF(AND(MAX(N(E89),N(F89))&gt;=Settings!$C$9,MOD(MAX(N(E89),N(F89)),Settings!$C$10)=0),"Round amount | ",""))-3)))</f>
        <v/>
      </c>
      <c r="M89" s="21" t="str">
        <f aca="false">IF(A89="","",IF(COUNTIF($A$9:A89,A89)=1,MAX($M$8:M88)+1,""))</f>
        <v/>
      </c>
    </row>
    <row r="90" customFormat="false" ht="15" hidden="false" customHeight="false" outlineLevel="0" collapsed="false">
      <c r="A90" s="8"/>
      <c r="B90" s="17"/>
      <c r="C90" s="19"/>
      <c r="D90" s="8"/>
      <c r="E90" s="18"/>
      <c r="F90" s="18"/>
      <c r="G90" s="8"/>
      <c r="H90" s="8"/>
      <c r="I90" s="8"/>
      <c r="J90" s="8"/>
      <c r="K90" s="10" t="str">
        <f aca="false">IF(A90="","",IF(ABS(SUMIFS($E$9:$E$2008,$A$9:$A$2008,A90)-SUMIFS($F$9:$F$2008,$A$9:$A$2008,A90))&lt;0.5,"Yes","No"))</f>
        <v/>
      </c>
      <c r="L90" s="10" t="str">
        <f aca="false">IF(A90="","",IF(IF(K90="No","Does not balance | ","")&amp;IF(I90="","Not approved | ",IF(UPPER(TRIM(H90))=UPPER(TRIM(I90)),"Self-approved | ",""))&amp;IF(J90="","No support | ","")&amp;IF(WEEKDAY(B90,2)&gt;5,"Weekend posting | ","")&amp;IF(COUNTIF(Settings!$A$14:$A$43,B90)&gt;0,"Holiday posting | ","")&amp;IF(B90&gt;Settings!$C$8,"Posted after close | ","")&amp;IF(OR(B90&lt;Settings!$C$6,B90&gt;Settings!$C$7),"Outside period | ","")&amp;IF(COUNTIF(Settings!$E$14:$E$43,C90&amp;"")&gt;0,"Sensitive account | ","")&amp;IF(AND(MAX(N(E90),N(F90))&gt;=Settings!$C$9,MOD(MAX(N(E90),N(F90)),Settings!$C$10)=0),"Round amount | ","")="","",LEFT(IF(K90="No","Does not balance | ","")&amp;IF(I90="","Not approved | ",IF(UPPER(TRIM(H90))=UPPER(TRIM(I90)),"Self-approved | ",""))&amp;IF(J90="","No support | ","")&amp;IF(WEEKDAY(B90,2)&gt;5,"Weekend posting | ","")&amp;IF(COUNTIF(Settings!$A$14:$A$43,B90)&gt;0,"Holiday posting | ","")&amp;IF(B90&gt;Settings!$C$8,"Posted after close | ","")&amp;IF(OR(B90&lt;Settings!$C$6,B90&gt;Settings!$C$7),"Outside period | ","")&amp;IF(COUNTIF(Settings!$E$14:$E$43,C90&amp;"")&gt;0,"Sensitive account | ","")&amp;IF(AND(MAX(N(E90),N(F90))&gt;=Settings!$C$9,MOD(MAX(N(E90),N(F90)),Settings!$C$10)=0),"Round amount | ",""),LEN(IF(K90="No","Does not balance | ","")&amp;IF(I90="","Not approved | ",IF(UPPER(TRIM(H90))=UPPER(TRIM(I90)),"Self-approved | ",""))&amp;IF(J90="","No support | ","")&amp;IF(WEEKDAY(B90,2)&gt;5,"Weekend posting | ","")&amp;IF(COUNTIF(Settings!$A$14:$A$43,B90)&gt;0,"Holiday posting | ","")&amp;IF(B90&gt;Settings!$C$8,"Posted after close | ","")&amp;IF(OR(B90&lt;Settings!$C$6,B90&gt;Settings!$C$7),"Outside period | ","")&amp;IF(COUNTIF(Settings!$E$14:$E$43,C90&amp;"")&gt;0,"Sensitive account | ","")&amp;IF(AND(MAX(N(E90),N(F90))&gt;=Settings!$C$9,MOD(MAX(N(E90),N(F90)),Settings!$C$10)=0),"Round amount | ",""))-3)))</f>
        <v/>
      </c>
      <c r="M90" s="21" t="str">
        <f aca="false">IF(A90="","",IF(COUNTIF($A$9:A90,A90)=1,MAX($M$8:M89)+1,""))</f>
        <v/>
      </c>
    </row>
    <row r="91" customFormat="false" ht="15" hidden="false" customHeight="false" outlineLevel="0" collapsed="false">
      <c r="A91" s="8"/>
      <c r="B91" s="17"/>
      <c r="C91" s="19"/>
      <c r="D91" s="8"/>
      <c r="E91" s="18"/>
      <c r="F91" s="18"/>
      <c r="G91" s="8"/>
      <c r="H91" s="8"/>
      <c r="I91" s="8"/>
      <c r="J91" s="8"/>
      <c r="K91" s="10" t="str">
        <f aca="false">IF(A91="","",IF(ABS(SUMIFS($E$9:$E$2008,$A$9:$A$2008,A91)-SUMIFS($F$9:$F$2008,$A$9:$A$2008,A91))&lt;0.5,"Yes","No"))</f>
        <v/>
      </c>
      <c r="L91" s="10" t="str">
        <f aca="false">IF(A91="","",IF(IF(K91="No","Does not balance | ","")&amp;IF(I91="","Not approved | ",IF(UPPER(TRIM(H91))=UPPER(TRIM(I91)),"Self-approved | ",""))&amp;IF(J91="","No support | ","")&amp;IF(WEEKDAY(B91,2)&gt;5,"Weekend posting | ","")&amp;IF(COUNTIF(Settings!$A$14:$A$43,B91)&gt;0,"Holiday posting | ","")&amp;IF(B91&gt;Settings!$C$8,"Posted after close | ","")&amp;IF(OR(B91&lt;Settings!$C$6,B91&gt;Settings!$C$7),"Outside period | ","")&amp;IF(COUNTIF(Settings!$E$14:$E$43,C91&amp;"")&gt;0,"Sensitive account | ","")&amp;IF(AND(MAX(N(E91),N(F91))&gt;=Settings!$C$9,MOD(MAX(N(E91),N(F91)),Settings!$C$10)=0),"Round amount | ","")="","",LEFT(IF(K91="No","Does not balance | ","")&amp;IF(I91="","Not approved | ",IF(UPPER(TRIM(H91))=UPPER(TRIM(I91)),"Self-approved | ",""))&amp;IF(J91="","No support | ","")&amp;IF(WEEKDAY(B91,2)&gt;5,"Weekend posting | ","")&amp;IF(COUNTIF(Settings!$A$14:$A$43,B91)&gt;0,"Holiday posting | ","")&amp;IF(B91&gt;Settings!$C$8,"Posted after close | ","")&amp;IF(OR(B91&lt;Settings!$C$6,B91&gt;Settings!$C$7),"Outside period | ","")&amp;IF(COUNTIF(Settings!$E$14:$E$43,C91&amp;"")&gt;0,"Sensitive account | ","")&amp;IF(AND(MAX(N(E91),N(F91))&gt;=Settings!$C$9,MOD(MAX(N(E91),N(F91)),Settings!$C$10)=0),"Round amount | ",""),LEN(IF(K91="No","Does not balance | ","")&amp;IF(I91="","Not approved | ",IF(UPPER(TRIM(H91))=UPPER(TRIM(I91)),"Self-approved | ",""))&amp;IF(J91="","No support | ","")&amp;IF(WEEKDAY(B91,2)&gt;5,"Weekend posting | ","")&amp;IF(COUNTIF(Settings!$A$14:$A$43,B91)&gt;0,"Holiday posting | ","")&amp;IF(B91&gt;Settings!$C$8,"Posted after close | ","")&amp;IF(OR(B91&lt;Settings!$C$6,B91&gt;Settings!$C$7),"Outside period | ","")&amp;IF(COUNTIF(Settings!$E$14:$E$43,C91&amp;"")&gt;0,"Sensitive account | ","")&amp;IF(AND(MAX(N(E91),N(F91))&gt;=Settings!$C$9,MOD(MAX(N(E91),N(F91)),Settings!$C$10)=0),"Round amount | ",""))-3)))</f>
        <v/>
      </c>
      <c r="M91" s="21" t="str">
        <f aca="false">IF(A91="","",IF(COUNTIF($A$9:A91,A91)=1,MAX($M$8:M90)+1,""))</f>
        <v/>
      </c>
    </row>
    <row r="92" customFormat="false" ht="15" hidden="false" customHeight="false" outlineLevel="0" collapsed="false">
      <c r="A92" s="8"/>
      <c r="B92" s="17"/>
      <c r="C92" s="19"/>
      <c r="D92" s="8"/>
      <c r="E92" s="18"/>
      <c r="F92" s="18"/>
      <c r="G92" s="8"/>
      <c r="H92" s="8"/>
      <c r="I92" s="8"/>
      <c r="J92" s="8"/>
      <c r="K92" s="10" t="str">
        <f aca="false">IF(A92="","",IF(ABS(SUMIFS($E$9:$E$2008,$A$9:$A$2008,A92)-SUMIFS($F$9:$F$2008,$A$9:$A$2008,A92))&lt;0.5,"Yes","No"))</f>
        <v/>
      </c>
      <c r="L92" s="10" t="str">
        <f aca="false">IF(A92="","",IF(IF(K92="No","Does not balance | ","")&amp;IF(I92="","Not approved | ",IF(UPPER(TRIM(H92))=UPPER(TRIM(I92)),"Self-approved | ",""))&amp;IF(J92="","No support | ","")&amp;IF(WEEKDAY(B92,2)&gt;5,"Weekend posting | ","")&amp;IF(COUNTIF(Settings!$A$14:$A$43,B92)&gt;0,"Holiday posting | ","")&amp;IF(B92&gt;Settings!$C$8,"Posted after close | ","")&amp;IF(OR(B92&lt;Settings!$C$6,B92&gt;Settings!$C$7),"Outside period | ","")&amp;IF(COUNTIF(Settings!$E$14:$E$43,C92&amp;"")&gt;0,"Sensitive account | ","")&amp;IF(AND(MAX(N(E92),N(F92))&gt;=Settings!$C$9,MOD(MAX(N(E92),N(F92)),Settings!$C$10)=0),"Round amount | ","")="","",LEFT(IF(K92="No","Does not balance | ","")&amp;IF(I92="","Not approved | ",IF(UPPER(TRIM(H92))=UPPER(TRIM(I92)),"Self-approved | ",""))&amp;IF(J92="","No support | ","")&amp;IF(WEEKDAY(B92,2)&gt;5,"Weekend posting | ","")&amp;IF(COUNTIF(Settings!$A$14:$A$43,B92)&gt;0,"Holiday posting | ","")&amp;IF(B92&gt;Settings!$C$8,"Posted after close | ","")&amp;IF(OR(B92&lt;Settings!$C$6,B92&gt;Settings!$C$7),"Outside period | ","")&amp;IF(COUNTIF(Settings!$E$14:$E$43,C92&amp;"")&gt;0,"Sensitive account | ","")&amp;IF(AND(MAX(N(E92),N(F92))&gt;=Settings!$C$9,MOD(MAX(N(E92),N(F92)),Settings!$C$10)=0),"Round amount | ",""),LEN(IF(K92="No","Does not balance | ","")&amp;IF(I92="","Not approved | ",IF(UPPER(TRIM(H92))=UPPER(TRIM(I92)),"Self-approved | ",""))&amp;IF(J92="","No support | ","")&amp;IF(WEEKDAY(B92,2)&gt;5,"Weekend posting | ","")&amp;IF(COUNTIF(Settings!$A$14:$A$43,B92)&gt;0,"Holiday posting | ","")&amp;IF(B92&gt;Settings!$C$8,"Posted after close | ","")&amp;IF(OR(B92&lt;Settings!$C$6,B92&gt;Settings!$C$7),"Outside period | ","")&amp;IF(COUNTIF(Settings!$E$14:$E$43,C92&amp;"")&gt;0,"Sensitive account | ","")&amp;IF(AND(MAX(N(E92),N(F92))&gt;=Settings!$C$9,MOD(MAX(N(E92),N(F92)),Settings!$C$10)=0),"Round amount | ",""))-3)))</f>
        <v/>
      </c>
      <c r="M92" s="21" t="str">
        <f aca="false">IF(A92="","",IF(COUNTIF($A$9:A92,A92)=1,MAX($M$8:M91)+1,""))</f>
        <v/>
      </c>
    </row>
    <row r="93" customFormat="false" ht="15" hidden="false" customHeight="false" outlineLevel="0" collapsed="false">
      <c r="A93" s="8"/>
      <c r="B93" s="17"/>
      <c r="C93" s="19"/>
      <c r="D93" s="8"/>
      <c r="E93" s="18"/>
      <c r="F93" s="18"/>
      <c r="G93" s="8"/>
      <c r="H93" s="8"/>
      <c r="I93" s="8"/>
      <c r="J93" s="8"/>
      <c r="K93" s="10" t="str">
        <f aca="false">IF(A93="","",IF(ABS(SUMIFS($E$9:$E$2008,$A$9:$A$2008,A93)-SUMIFS($F$9:$F$2008,$A$9:$A$2008,A93))&lt;0.5,"Yes","No"))</f>
        <v/>
      </c>
      <c r="L93" s="10" t="str">
        <f aca="false">IF(A93="","",IF(IF(K93="No","Does not balance | ","")&amp;IF(I93="","Not approved | ",IF(UPPER(TRIM(H93))=UPPER(TRIM(I93)),"Self-approved | ",""))&amp;IF(J93="","No support | ","")&amp;IF(WEEKDAY(B93,2)&gt;5,"Weekend posting | ","")&amp;IF(COUNTIF(Settings!$A$14:$A$43,B93)&gt;0,"Holiday posting | ","")&amp;IF(B93&gt;Settings!$C$8,"Posted after close | ","")&amp;IF(OR(B93&lt;Settings!$C$6,B93&gt;Settings!$C$7),"Outside period | ","")&amp;IF(COUNTIF(Settings!$E$14:$E$43,C93&amp;"")&gt;0,"Sensitive account | ","")&amp;IF(AND(MAX(N(E93),N(F93))&gt;=Settings!$C$9,MOD(MAX(N(E93),N(F93)),Settings!$C$10)=0),"Round amount | ","")="","",LEFT(IF(K93="No","Does not balance | ","")&amp;IF(I93="","Not approved | ",IF(UPPER(TRIM(H93))=UPPER(TRIM(I93)),"Self-approved | ",""))&amp;IF(J93="","No support | ","")&amp;IF(WEEKDAY(B93,2)&gt;5,"Weekend posting | ","")&amp;IF(COUNTIF(Settings!$A$14:$A$43,B93)&gt;0,"Holiday posting | ","")&amp;IF(B93&gt;Settings!$C$8,"Posted after close | ","")&amp;IF(OR(B93&lt;Settings!$C$6,B93&gt;Settings!$C$7),"Outside period | ","")&amp;IF(COUNTIF(Settings!$E$14:$E$43,C93&amp;"")&gt;0,"Sensitive account | ","")&amp;IF(AND(MAX(N(E93),N(F93))&gt;=Settings!$C$9,MOD(MAX(N(E93),N(F93)),Settings!$C$10)=0),"Round amount | ",""),LEN(IF(K93="No","Does not balance | ","")&amp;IF(I93="","Not approved | ",IF(UPPER(TRIM(H93))=UPPER(TRIM(I93)),"Self-approved | ",""))&amp;IF(J93="","No support | ","")&amp;IF(WEEKDAY(B93,2)&gt;5,"Weekend posting | ","")&amp;IF(COUNTIF(Settings!$A$14:$A$43,B93)&gt;0,"Holiday posting | ","")&amp;IF(B93&gt;Settings!$C$8,"Posted after close | ","")&amp;IF(OR(B93&lt;Settings!$C$6,B93&gt;Settings!$C$7),"Outside period | ","")&amp;IF(COUNTIF(Settings!$E$14:$E$43,C93&amp;"")&gt;0,"Sensitive account | ","")&amp;IF(AND(MAX(N(E93),N(F93))&gt;=Settings!$C$9,MOD(MAX(N(E93),N(F93)),Settings!$C$10)=0),"Round amount | ",""))-3)))</f>
        <v/>
      </c>
      <c r="M93" s="21" t="str">
        <f aca="false">IF(A93="","",IF(COUNTIF($A$9:A93,A93)=1,MAX($M$8:M92)+1,""))</f>
        <v/>
      </c>
    </row>
    <row r="94" customFormat="false" ht="15" hidden="false" customHeight="false" outlineLevel="0" collapsed="false">
      <c r="A94" s="8"/>
      <c r="B94" s="17"/>
      <c r="C94" s="19"/>
      <c r="D94" s="8"/>
      <c r="E94" s="18"/>
      <c r="F94" s="18"/>
      <c r="G94" s="8"/>
      <c r="H94" s="8"/>
      <c r="I94" s="8"/>
      <c r="J94" s="8"/>
      <c r="K94" s="10" t="str">
        <f aca="false">IF(A94="","",IF(ABS(SUMIFS($E$9:$E$2008,$A$9:$A$2008,A94)-SUMIFS($F$9:$F$2008,$A$9:$A$2008,A94))&lt;0.5,"Yes","No"))</f>
        <v/>
      </c>
      <c r="L94" s="10" t="str">
        <f aca="false">IF(A94="","",IF(IF(K94="No","Does not balance | ","")&amp;IF(I94="","Not approved | ",IF(UPPER(TRIM(H94))=UPPER(TRIM(I94)),"Self-approved | ",""))&amp;IF(J94="","No support | ","")&amp;IF(WEEKDAY(B94,2)&gt;5,"Weekend posting | ","")&amp;IF(COUNTIF(Settings!$A$14:$A$43,B94)&gt;0,"Holiday posting | ","")&amp;IF(B94&gt;Settings!$C$8,"Posted after close | ","")&amp;IF(OR(B94&lt;Settings!$C$6,B94&gt;Settings!$C$7),"Outside period | ","")&amp;IF(COUNTIF(Settings!$E$14:$E$43,C94&amp;"")&gt;0,"Sensitive account | ","")&amp;IF(AND(MAX(N(E94),N(F94))&gt;=Settings!$C$9,MOD(MAX(N(E94),N(F94)),Settings!$C$10)=0),"Round amount | ","")="","",LEFT(IF(K94="No","Does not balance | ","")&amp;IF(I94="","Not approved | ",IF(UPPER(TRIM(H94))=UPPER(TRIM(I94)),"Self-approved | ",""))&amp;IF(J94="","No support | ","")&amp;IF(WEEKDAY(B94,2)&gt;5,"Weekend posting | ","")&amp;IF(COUNTIF(Settings!$A$14:$A$43,B94)&gt;0,"Holiday posting | ","")&amp;IF(B94&gt;Settings!$C$8,"Posted after close | ","")&amp;IF(OR(B94&lt;Settings!$C$6,B94&gt;Settings!$C$7),"Outside period | ","")&amp;IF(COUNTIF(Settings!$E$14:$E$43,C94&amp;"")&gt;0,"Sensitive account | ","")&amp;IF(AND(MAX(N(E94),N(F94))&gt;=Settings!$C$9,MOD(MAX(N(E94),N(F94)),Settings!$C$10)=0),"Round amount | ",""),LEN(IF(K94="No","Does not balance | ","")&amp;IF(I94="","Not approved | ",IF(UPPER(TRIM(H94))=UPPER(TRIM(I94)),"Self-approved | ",""))&amp;IF(J94="","No support | ","")&amp;IF(WEEKDAY(B94,2)&gt;5,"Weekend posting | ","")&amp;IF(COUNTIF(Settings!$A$14:$A$43,B94)&gt;0,"Holiday posting | ","")&amp;IF(B94&gt;Settings!$C$8,"Posted after close | ","")&amp;IF(OR(B94&lt;Settings!$C$6,B94&gt;Settings!$C$7),"Outside period | ","")&amp;IF(COUNTIF(Settings!$E$14:$E$43,C94&amp;"")&gt;0,"Sensitive account | ","")&amp;IF(AND(MAX(N(E94),N(F94))&gt;=Settings!$C$9,MOD(MAX(N(E94),N(F94)),Settings!$C$10)=0),"Round amount | ",""))-3)))</f>
        <v/>
      </c>
      <c r="M94" s="21" t="str">
        <f aca="false">IF(A94="","",IF(COUNTIF($A$9:A94,A94)=1,MAX($M$8:M93)+1,""))</f>
        <v/>
      </c>
    </row>
    <row r="95" customFormat="false" ht="15" hidden="false" customHeight="false" outlineLevel="0" collapsed="false">
      <c r="A95" s="8"/>
      <c r="B95" s="17"/>
      <c r="C95" s="19"/>
      <c r="D95" s="8"/>
      <c r="E95" s="18"/>
      <c r="F95" s="18"/>
      <c r="G95" s="8"/>
      <c r="H95" s="8"/>
      <c r="I95" s="8"/>
      <c r="J95" s="8"/>
      <c r="K95" s="10" t="str">
        <f aca="false">IF(A95="","",IF(ABS(SUMIFS($E$9:$E$2008,$A$9:$A$2008,A95)-SUMIFS($F$9:$F$2008,$A$9:$A$2008,A95))&lt;0.5,"Yes","No"))</f>
        <v/>
      </c>
      <c r="L95" s="10" t="str">
        <f aca="false">IF(A95="","",IF(IF(K95="No","Does not balance | ","")&amp;IF(I95="","Not approved | ",IF(UPPER(TRIM(H95))=UPPER(TRIM(I95)),"Self-approved | ",""))&amp;IF(J95="","No support | ","")&amp;IF(WEEKDAY(B95,2)&gt;5,"Weekend posting | ","")&amp;IF(COUNTIF(Settings!$A$14:$A$43,B95)&gt;0,"Holiday posting | ","")&amp;IF(B95&gt;Settings!$C$8,"Posted after close | ","")&amp;IF(OR(B95&lt;Settings!$C$6,B95&gt;Settings!$C$7),"Outside period | ","")&amp;IF(COUNTIF(Settings!$E$14:$E$43,C95&amp;"")&gt;0,"Sensitive account | ","")&amp;IF(AND(MAX(N(E95),N(F95))&gt;=Settings!$C$9,MOD(MAX(N(E95),N(F95)),Settings!$C$10)=0),"Round amount | ","")="","",LEFT(IF(K95="No","Does not balance | ","")&amp;IF(I95="","Not approved | ",IF(UPPER(TRIM(H95))=UPPER(TRIM(I95)),"Self-approved | ",""))&amp;IF(J95="","No support | ","")&amp;IF(WEEKDAY(B95,2)&gt;5,"Weekend posting | ","")&amp;IF(COUNTIF(Settings!$A$14:$A$43,B95)&gt;0,"Holiday posting | ","")&amp;IF(B95&gt;Settings!$C$8,"Posted after close | ","")&amp;IF(OR(B95&lt;Settings!$C$6,B95&gt;Settings!$C$7),"Outside period | ","")&amp;IF(COUNTIF(Settings!$E$14:$E$43,C95&amp;"")&gt;0,"Sensitive account | ","")&amp;IF(AND(MAX(N(E95),N(F95))&gt;=Settings!$C$9,MOD(MAX(N(E95),N(F95)),Settings!$C$10)=0),"Round amount | ",""),LEN(IF(K95="No","Does not balance | ","")&amp;IF(I95="","Not approved | ",IF(UPPER(TRIM(H95))=UPPER(TRIM(I95)),"Self-approved | ",""))&amp;IF(J95="","No support | ","")&amp;IF(WEEKDAY(B95,2)&gt;5,"Weekend posting | ","")&amp;IF(COUNTIF(Settings!$A$14:$A$43,B95)&gt;0,"Holiday posting | ","")&amp;IF(B95&gt;Settings!$C$8,"Posted after close | ","")&amp;IF(OR(B95&lt;Settings!$C$6,B95&gt;Settings!$C$7),"Outside period | ","")&amp;IF(COUNTIF(Settings!$E$14:$E$43,C95&amp;"")&gt;0,"Sensitive account | ","")&amp;IF(AND(MAX(N(E95),N(F95))&gt;=Settings!$C$9,MOD(MAX(N(E95),N(F95)),Settings!$C$10)=0),"Round amount | ",""))-3)))</f>
        <v/>
      </c>
      <c r="M95" s="21" t="str">
        <f aca="false">IF(A95="","",IF(COUNTIF($A$9:A95,A95)=1,MAX($M$8:M94)+1,""))</f>
        <v/>
      </c>
    </row>
    <row r="96" customFormat="false" ht="15" hidden="false" customHeight="false" outlineLevel="0" collapsed="false">
      <c r="A96" s="8"/>
      <c r="B96" s="17"/>
      <c r="C96" s="19"/>
      <c r="D96" s="8"/>
      <c r="E96" s="18"/>
      <c r="F96" s="18"/>
      <c r="G96" s="8"/>
      <c r="H96" s="8"/>
      <c r="I96" s="8"/>
      <c r="J96" s="8"/>
      <c r="K96" s="10" t="str">
        <f aca="false">IF(A96="","",IF(ABS(SUMIFS($E$9:$E$2008,$A$9:$A$2008,A96)-SUMIFS($F$9:$F$2008,$A$9:$A$2008,A96))&lt;0.5,"Yes","No"))</f>
        <v/>
      </c>
      <c r="L96" s="10" t="str">
        <f aca="false">IF(A96="","",IF(IF(K96="No","Does not balance | ","")&amp;IF(I96="","Not approved | ",IF(UPPER(TRIM(H96))=UPPER(TRIM(I96)),"Self-approved | ",""))&amp;IF(J96="","No support | ","")&amp;IF(WEEKDAY(B96,2)&gt;5,"Weekend posting | ","")&amp;IF(COUNTIF(Settings!$A$14:$A$43,B96)&gt;0,"Holiday posting | ","")&amp;IF(B96&gt;Settings!$C$8,"Posted after close | ","")&amp;IF(OR(B96&lt;Settings!$C$6,B96&gt;Settings!$C$7),"Outside period | ","")&amp;IF(COUNTIF(Settings!$E$14:$E$43,C96&amp;"")&gt;0,"Sensitive account | ","")&amp;IF(AND(MAX(N(E96),N(F96))&gt;=Settings!$C$9,MOD(MAX(N(E96),N(F96)),Settings!$C$10)=0),"Round amount | ","")="","",LEFT(IF(K96="No","Does not balance | ","")&amp;IF(I96="","Not approved | ",IF(UPPER(TRIM(H96))=UPPER(TRIM(I96)),"Self-approved | ",""))&amp;IF(J96="","No support | ","")&amp;IF(WEEKDAY(B96,2)&gt;5,"Weekend posting | ","")&amp;IF(COUNTIF(Settings!$A$14:$A$43,B96)&gt;0,"Holiday posting | ","")&amp;IF(B96&gt;Settings!$C$8,"Posted after close | ","")&amp;IF(OR(B96&lt;Settings!$C$6,B96&gt;Settings!$C$7),"Outside period | ","")&amp;IF(COUNTIF(Settings!$E$14:$E$43,C96&amp;"")&gt;0,"Sensitive account | ","")&amp;IF(AND(MAX(N(E96),N(F96))&gt;=Settings!$C$9,MOD(MAX(N(E96),N(F96)),Settings!$C$10)=0),"Round amount | ",""),LEN(IF(K96="No","Does not balance | ","")&amp;IF(I96="","Not approved | ",IF(UPPER(TRIM(H96))=UPPER(TRIM(I96)),"Self-approved | ",""))&amp;IF(J96="","No support | ","")&amp;IF(WEEKDAY(B96,2)&gt;5,"Weekend posting | ","")&amp;IF(COUNTIF(Settings!$A$14:$A$43,B96)&gt;0,"Holiday posting | ","")&amp;IF(B96&gt;Settings!$C$8,"Posted after close | ","")&amp;IF(OR(B96&lt;Settings!$C$6,B96&gt;Settings!$C$7),"Outside period | ","")&amp;IF(COUNTIF(Settings!$E$14:$E$43,C96&amp;"")&gt;0,"Sensitive account | ","")&amp;IF(AND(MAX(N(E96),N(F96))&gt;=Settings!$C$9,MOD(MAX(N(E96),N(F96)),Settings!$C$10)=0),"Round amount | ",""))-3)))</f>
        <v/>
      </c>
      <c r="M96" s="21" t="str">
        <f aca="false">IF(A96="","",IF(COUNTIF($A$9:A96,A96)=1,MAX($M$8:M95)+1,""))</f>
        <v/>
      </c>
    </row>
    <row r="97" customFormat="false" ht="15" hidden="false" customHeight="false" outlineLevel="0" collapsed="false">
      <c r="A97" s="8"/>
      <c r="B97" s="17"/>
      <c r="C97" s="19"/>
      <c r="D97" s="8"/>
      <c r="E97" s="18"/>
      <c r="F97" s="18"/>
      <c r="G97" s="8"/>
      <c r="H97" s="8"/>
      <c r="I97" s="8"/>
      <c r="J97" s="8"/>
      <c r="K97" s="10" t="str">
        <f aca="false">IF(A97="","",IF(ABS(SUMIFS($E$9:$E$2008,$A$9:$A$2008,A97)-SUMIFS($F$9:$F$2008,$A$9:$A$2008,A97))&lt;0.5,"Yes","No"))</f>
        <v/>
      </c>
      <c r="L97" s="10" t="str">
        <f aca="false">IF(A97="","",IF(IF(K97="No","Does not balance | ","")&amp;IF(I97="","Not approved | ",IF(UPPER(TRIM(H97))=UPPER(TRIM(I97)),"Self-approved | ",""))&amp;IF(J97="","No support | ","")&amp;IF(WEEKDAY(B97,2)&gt;5,"Weekend posting | ","")&amp;IF(COUNTIF(Settings!$A$14:$A$43,B97)&gt;0,"Holiday posting | ","")&amp;IF(B97&gt;Settings!$C$8,"Posted after close | ","")&amp;IF(OR(B97&lt;Settings!$C$6,B97&gt;Settings!$C$7),"Outside period | ","")&amp;IF(COUNTIF(Settings!$E$14:$E$43,C97&amp;"")&gt;0,"Sensitive account | ","")&amp;IF(AND(MAX(N(E97),N(F97))&gt;=Settings!$C$9,MOD(MAX(N(E97),N(F97)),Settings!$C$10)=0),"Round amount | ","")="","",LEFT(IF(K97="No","Does not balance | ","")&amp;IF(I97="","Not approved | ",IF(UPPER(TRIM(H97))=UPPER(TRIM(I97)),"Self-approved | ",""))&amp;IF(J97="","No support | ","")&amp;IF(WEEKDAY(B97,2)&gt;5,"Weekend posting | ","")&amp;IF(COUNTIF(Settings!$A$14:$A$43,B97)&gt;0,"Holiday posting | ","")&amp;IF(B97&gt;Settings!$C$8,"Posted after close | ","")&amp;IF(OR(B97&lt;Settings!$C$6,B97&gt;Settings!$C$7),"Outside period | ","")&amp;IF(COUNTIF(Settings!$E$14:$E$43,C97&amp;"")&gt;0,"Sensitive account | ","")&amp;IF(AND(MAX(N(E97),N(F97))&gt;=Settings!$C$9,MOD(MAX(N(E97),N(F97)),Settings!$C$10)=0),"Round amount | ",""),LEN(IF(K97="No","Does not balance | ","")&amp;IF(I97="","Not approved | ",IF(UPPER(TRIM(H97))=UPPER(TRIM(I97)),"Self-approved | ",""))&amp;IF(J97="","No support | ","")&amp;IF(WEEKDAY(B97,2)&gt;5,"Weekend posting | ","")&amp;IF(COUNTIF(Settings!$A$14:$A$43,B97)&gt;0,"Holiday posting | ","")&amp;IF(B97&gt;Settings!$C$8,"Posted after close | ","")&amp;IF(OR(B97&lt;Settings!$C$6,B97&gt;Settings!$C$7),"Outside period | ","")&amp;IF(COUNTIF(Settings!$E$14:$E$43,C97&amp;"")&gt;0,"Sensitive account | ","")&amp;IF(AND(MAX(N(E97),N(F97))&gt;=Settings!$C$9,MOD(MAX(N(E97),N(F97)),Settings!$C$10)=0),"Round amount | ",""))-3)))</f>
        <v/>
      </c>
      <c r="M97" s="21" t="str">
        <f aca="false">IF(A97="","",IF(COUNTIF($A$9:A97,A97)=1,MAX($M$8:M96)+1,""))</f>
        <v/>
      </c>
    </row>
    <row r="98" customFormat="false" ht="15" hidden="false" customHeight="false" outlineLevel="0" collapsed="false">
      <c r="A98" s="8"/>
      <c r="B98" s="17"/>
      <c r="C98" s="19"/>
      <c r="D98" s="8"/>
      <c r="E98" s="18"/>
      <c r="F98" s="18"/>
      <c r="G98" s="8"/>
      <c r="H98" s="8"/>
      <c r="I98" s="8"/>
      <c r="J98" s="8"/>
      <c r="K98" s="10" t="str">
        <f aca="false">IF(A98="","",IF(ABS(SUMIFS($E$9:$E$2008,$A$9:$A$2008,A98)-SUMIFS($F$9:$F$2008,$A$9:$A$2008,A98))&lt;0.5,"Yes","No"))</f>
        <v/>
      </c>
      <c r="L98" s="10" t="str">
        <f aca="false">IF(A98="","",IF(IF(K98="No","Does not balance | ","")&amp;IF(I98="","Not approved | ",IF(UPPER(TRIM(H98))=UPPER(TRIM(I98)),"Self-approved | ",""))&amp;IF(J98="","No support | ","")&amp;IF(WEEKDAY(B98,2)&gt;5,"Weekend posting | ","")&amp;IF(COUNTIF(Settings!$A$14:$A$43,B98)&gt;0,"Holiday posting | ","")&amp;IF(B98&gt;Settings!$C$8,"Posted after close | ","")&amp;IF(OR(B98&lt;Settings!$C$6,B98&gt;Settings!$C$7),"Outside period | ","")&amp;IF(COUNTIF(Settings!$E$14:$E$43,C98&amp;"")&gt;0,"Sensitive account | ","")&amp;IF(AND(MAX(N(E98),N(F98))&gt;=Settings!$C$9,MOD(MAX(N(E98),N(F98)),Settings!$C$10)=0),"Round amount | ","")="","",LEFT(IF(K98="No","Does not balance | ","")&amp;IF(I98="","Not approved | ",IF(UPPER(TRIM(H98))=UPPER(TRIM(I98)),"Self-approved | ",""))&amp;IF(J98="","No support | ","")&amp;IF(WEEKDAY(B98,2)&gt;5,"Weekend posting | ","")&amp;IF(COUNTIF(Settings!$A$14:$A$43,B98)&gt;0,"Holiday posting | ","")&amp;IF(B98&gt;Settings!$C$8,"Posted after close | ","")&amp;IF(OR(B98&lt;Settings!$C$6,B98&gt;Settings!$C$7),"Outside period | ","")&amp;IF(COUNTIF(Settings!$E$14:$E$43,C98&amp;"")&gt;0,"Sensitive account | ","")&amp;IF(AND(MAX(N(E98),N(F98))&gt;=Settings!$C$9,MOD(MAX(N(E98),N(F98)),Settings!$C$10)=0),"Round amount | ",""),LEN(IF(K98="No","Does not balance | ","")&amp;IF(I98="","Not approved | ",IF(UPPER(TRIM(H98))=UPPER(TRIM(I98)),"Self-approved | ",""))&amp;IF(J98="","No support | ","")&amp;IF(WEEKDAY(B98,2)&gt;5,"Weekend posting | ","")&amp;IF(COUNTIF(Settings!$A$14:$A$43,B98)&gt;0,"Holiday posting | ","")&amp;IF(B98&gt;Settings!$C$8,"Posted after close | ","")&amp;IF(OR(B98&lt;Settings!$C$6,B98&gt;Settings!$C$7),"Outside period | ","")&amp;IF(COUNTIF(Settings!$E$14:$E$43,C98&amp;"")&gt;0,"Sensitive account | ","")&amp;IF(AND(MAX(N(E98),N(F98))&gt;=Settings!$C$9,MOD(MAX(N(E98),N(F98)),Settings!$C$10)=0),"Round amount | ",""))-3)))</f>
        <v/>
      </c>
      <c r="M98" s="21" t="str">
        <f aca="false">IF(A98="","",IF(COUNTIF($A$9:A98,A98)=1,MAX($M$8:M97)+1,""))</f>
        <v/>
      </c>
    </row>
    <row r="99" customFormat="false" ht="15" hidden="false" customHeight="false" outlineLevel="0" collapsed="false">
      <c r="A99" s="8"/>
      <c r="B99" s="17"/>
      <c r="C99" s="19"/>
      <c r="D99" s="8"/>
      <c r="E99" s="18"/>
      <c r="F99" s="18"/>
      <c r="G99" s="8"/>
      <c r="H99" s="8"/>
      <c r="I99" s="8"/>
      <c r="J99" s="8"/>
      <c r="K99" s="10" t="str">
        <f aca="false">IF(A99="","",IF(ABS(SUMIFS($E$9:$E$2008,$A$9:$A$2008,A99)-SUMIFS($F$9:$F$2008,$A$9:$A$2008,A99))&lt;0.5,"Yes","No"))</f>
        <v/>
      </c>
      <c r="L99" s="10" t="str">
        <f aca="false">IF(A99="","",IF(IF(K99="No","Does not balance | ","")&amp;IF(I99="","Not approved | ",IF(UPPER(TRIM(H99))=UPPER(TRIM(I99)),"Self-approved | ",""))&amp;IF(J99="","No support | ","")&amp;IF(WEEKDAY(B99,2)&gt;5,"Weekend posting | ","")&amp;IF(COUNTIF(Settings!$A$14:$A$43,B99)&gt;0,"Holiday posting | ","")&amp;IF(B99&gt;Settings!$C$8,"Posted after close | ","")&amp;IF(OR(B99&lt;Settings!$C$6,B99&gt;Settings!$C$7),"Outside period | ","")&amp;IF(COUNTIF(Settings!$E$14:$E$43,C99&amp;"")&gt;0,"Sensitive account | ","")&amp;IF(AND(MAX(N(E99),N(F99))&gt;=Settings!$C$9,MOD(MAX(N(E99),N(F99)),Settings!$C$10)=0),"Round amount | ","")="","",LEFT(IF(K99="No","Does not balance | ","")&amp;IF(I99="","Not approved | ",IF(UPPER(TRIM(H99))=UPPER(TRIM(I99)),"Self-approved | ",""))&amp;IF(J99="","No support | ","")&amp;IF(WEEKDAY(B99,2)&gt;5,"Weekend posting | ","")&amp;IF(COUNTIF(Settings!$A$14:$A$43,B99)&gt;0,"Holiday posting | ","")&amp;IF(B99&gt;Settings!$C$8,"Posted after close | ","")&amp;IF(OR(B99&lt;Settings!$C$6,B99&gt;Settings!$C$7),"Outside period | ","")&amp;IF(COUNTIF(Settings!$E$14:$E$43,C99&amp;"")&gt;0,"Sensitive account | ","")&amp;IF(AND(MAX(N(E99),N(F99))&gt;=Settings!$C$9,MOD(MAX(N(E99),N(F99)),Settings!$C$10)=0),"Round amount | ",""),LEN(IF(K99="No","Does not balance | ","")&amp;IF(I99="","Not approved | ",IF(UPPER(TRIM(H99))=UPPER(TRIM(I99)),"Self-approved | ",""))&amp;IF(J99="","No support | ","")&amp;IF(WEEKDAY(B99,2)&gt;5,"Weekend posting | ","")&amp;IF(COUNTIF(Settings!$A$14:$A$43,B99)&gt;0,"Holiday posting | ","")&amp;IF(B99&gt;Settings!$C$8,"Posted after close | ","")&amp;IF(OR(B99&lt;Settings!$C$6,B99&gt;Settings!$C$7),"Outside period | ","")&amp;IF(COUNTIF(Settings!$E$14:$E$43,C99&amp;"")&gt;0,"Sensitive account | ","")&amp;IF(AND(MAX(N(E99),N(F99))&gt;=Settings!$C$9,MOD(MAX(N(E99),N(F99)),Settings!$C$10)=0),"Round amount | ",""))-3)))</f>
        <v/>
      </c>
      <c r="M99" s="21" t="str">
        <f aca="false">IF(A99="","",IF(COUNTIF($A$9:A99,A99)=1,MAX($M$8:M98)+1,""))</f>
        <v/>
      </c>
    </row>
    <row r="100" customFormat="false" ht="15" hidden="false" customHeight="false" outlineLevel="0" collapsed="false">
      <c r="A100" s="8"/>
      <c r="B100" s="17"/>
      <c r="C100" s="19"/>
      <c r="D100" s="8"/>
      <c r="E100" s="18"/>
      <c r="F100" s="18"/>
      <c r="G100" s="8"/>
      <c r="H100" s="8"/>
      <c r="I100" s="8"/>
      <c r="J100" s="8"/>
      <c r="K100" s="10" t="str">
        <f aca="false">IF(A100="","",IF(ABS(SUMIFS($E$9:$E$2008,$A$9:$A$2008,A100)-SUMIFS($F$9:$F$2008,$A$9:$A$2008,A100))&lt;0.5,"Yes","No"))</f>
        <v/>
      </c>
      <c r="L100" s="10" t="str">
        <f aca="false">IF(A100="","",IF(IF(K100="No","Does not balance | ","")&amp;IF(I100="","Not approved | ",IF(UPPER(TRIM(H100))=UPPER(TRIM(I100)),"Self-approved | ",""))&amp;IF(J100="","No support | ","")&amp;IF(WEEKDAY(B100,2)&gt;5,"Weekend posting | ","")&amp;IF(COUNTIF(Settings!$A$14:$A$43,B100)&gt;0,"Holiday posting | ","")&amp;IF(B100&gt;Settings!$C$8,"Posted after close | ","")&amp;IF(OR(B100&lt;Settings!$C$6,B100&gt;Settings!$C$7),"Outside period | ","")&amp;IF(COUNTIF(Settings!$E$14:$E$43,C100&amp;"")&gt;0,"Sensitive account | ","")&amp;IF(AND(MAX(N(E100),N(F100))&gt;=Settings!$C$9,MOD(MAX(N(E100),N(F100)),Settings!$C$10)=0),"Round amount | ","")="","",LEFT(IF(K100="No","Does not balance | ","")&amp;IF(I100="","Not approved | ",IF(UPPER(TRIM(H100))=UPPER(TRIM(I100)),"Self-approved | ",""))&amp;IF(J100="","No support | ","")&amp;IF(WEEKDAY(B100,2)&gt;5,"Weekend posting | ","")&amp;IF(COUNTIF(Settings!$A$14:$A$43,B100)&gt;0,"Holiday posting | ","")&amp;IF(B100&gt;Settings!$C$8,"Posted after close | ","")&amp;IF(OR(B100&lt;Settings!$C$6,B100&gt;Settings!$C$7),"Outside period | ","")&amp;IF(COUNTIF(Settings!$E$14:$E$43,C100&amp;"")&gt;0,"Sensitive account | ","")&amp;IF(AND(MAX(N(E100),N(F100))&gt;=Settings!$C$9,MOD(MAX(N(E100),N(F100)),Settings!$C$10)=0),"Round amount | ",""),LEN(IF(K100="No","Does not balance | ","")&amp;IF(I100="","Not approved | ",IF(UPPER(TRIM(H100))=UPPER(TRIM(I100)),"Self-approved | ",""))&amp;IF(J100="","No support | ","")&amp;IF(WEEKDAY(B100,2)&gt;5,"Weekend posting | ","")&amp;IF(COUNTIF(Settings!$A$14:$A$43,B100)&gt;0,"Holiday posting | ","")&amp;IF(B100&gt;Settings!$C$8,"Posted after close | ","")&amp;IF(OR(B100&lt;Settings!$C$6,B100&gt;Settings!$C$7),"Outside period | ","")&amp;IF(COUNTIF(Settings!$E$14:$E$43,C100&amp;"")&gt;0,"Sensitive account | ","")&amp;IF(AND(MAX(N(E100),N(F100))&gt;=Settings!$C$9,MOD(MAX(N(E100),N(F100)),Settings!$C$10)=0),"Round amount | ",""))-3)))</f>
        <v/>
      </c>
      <c r="M100" s="21" t="str">
        <f aca="false">IF(A100="","",IF(COUNTIF($A$9:A100,A100)=1,MAX($M$8:M99)+1,""))</f>
        <v/>
      </c>
    </row>
    <row r="101" customFormat="false" ht="15" hidden="false" customHeight="false" outlineLevel="0" collapsed="false">
      <c r="A101" s="8"/>
      <c r="B101" s="17"/>
      <c r="C101" s="19"/>
      <c r="D101" s="8"/>
      <c r="E101" s="18"/>
      <c r="F101" s="18"/>
      <c r="G101" s="8"/>
      <c r="H101" s="8"/>
      <c r="I101" s="8"/>
      <c r="J101" s="8"/>
      <c r="K101" s="10" t="str">
        <f aca="false">IF(A101="","",IF(ABS(SUMIFS($E$9:$E$2008,$A$9:$A$2008,A101)-SUMIFS($F$9:$F$2008,$A$9:$A$2008,A101))&lt;0.5,"Yes","No"))</f>
        <v/>
      </c>
      <c r="L101" s="10" t="str">
        <f aca="false">IF(A101="","",IF(IF(K101="No","Does not balance | ","")&amp;IF(I101="","Not approved | ",IF(UPPER(TRIM(H101))=UPPER(TRIM(I101)),"Self-approved | ",""))&amp;IF(J101="","No support | ","")&amp;IF(WEEKDAY(B101,2)&gt;5,"Weekend posting | ","")&amp;IF(COUNTIF(Settings!$A$14:$A$43,B101)&gt;0,"Holiday posting | ","")&amp;IF(B101&gt;Settings!$C$8,"Posted after close | ","")&amp;IF(OR(B101&lt;Settings!$C$6,B101&gt;Settings!$C$7),"Outside period | ","")&amp;IF(COUNTIF(Settings!$E$14:$E$43,C101&amp;"")&gt;0,"Sensitive account | ","")&amp;IF(AND(MAX(N(E101),N(F101))&gt;=Settings!$C$9,MOD(MAX(N(E101),N(F101)),Settings!$C$10)=0),"Round amount | ","")="","",LEFT(IF(K101="No","Does not balance | ","")&amp;IF(I101="","Not approved | ",IF(UPPER(TRIM(H101))=UPPER(TRIM(I101)),"Self-approved | ",""))&amp;IF(J101="","No support | ","")&amp;IF(WEEKDAY(B101,2)&gt;5,"Weekend posting | ","")&amp;IF(COUNTIF(Settings!$A$14:$A$43,B101)&gt;0,"Holiday posting | ","")&amp;IF(B101&gt;Settings!$C$8,"Posted after close | ","")&amp;IF(OR(B101&lt;Settings!$C$6,B101&gt;Settings!$C$7),"Outside period | ","")&amp;IF(COUNTIF(Settings!$E$14:$E$43,C101&amp;"")&gt;0,"Sensitive account | ","")&amp;IF(AND(MAX(N(E101),N(F101))&gt;=Settings!$C$9,MOD(MAX(N(E101),N(F101)),Settings!$C$10)=0),"Round amount | ",""),LEN(IF(K101="No","Does not balance | ","")&amp;IF(I101="","Not approved | ",IF(UPPER(TRIM(H101))=UPPER(TRIM(I101)),"Self-approved | ",""))&amp;IF(J101="","No support | ","")&amp;IF(WEEKDAY(B101,2)&gt;5,"Weekend posting | ","")&amp;IF(COUNTIF(Settings!$A$14:$A$43,B101)&gt;0,"Holiday posting | ","")&amp;IF(B101&gt;Settings!$C$8,"Posted after close | ","")&amp;IF(OR(B101&lt;Settings!$C$6,B101&gt;Settings!$C$7),"Outside period | ","")&amp;IF(COUNTIF(Settings!$E$14:$E$43,C101&amp;"")&gt;0,"Sensitive account | ","")&amp;IF(AND(MAX(N(E101),N(F101))&gt;=Settings!$C$9,MOD(MAX(N(E101),N(F101)),Settings!$C$10)=0),"Round amount | ",""))-3)))</f>
        <v/>
      </c>
      <c r="M101" s="21" t="str">
        <f aca="false">IF(A101="","",IF(COUNTIF($A$9:A101,A101)=1,MAX($M$8:M100)+1,""))</f>
        <v/>
      </c>
    </row>
    <row r="102" customFormat="false" ht="15" hidden="false" customHeight="false" outlineLevel="0" collapsed="false">
      <c r="A102" s="8"/>
      <c r="B102" s="17"/>
      <c r="C102" s="19"/>
      <c r="D102" s="8"/>
      <c r="E102" s="18"/>
      <c r="F102" s="18"/>
      <c r="G102" s="8"/>
      <c r="H102" s="8"/>
      <c r="I102" s="8"/>
      <c r="J102" s="8"/>
      <c r="K102" s="10" t="str">
        <f aca="false">IF(A102="","",IF(ABS(SUMIFS($E$9:$E$2008,$A$9:$A$2008,A102)-SUMIFS($F$9:$F$2008,$A$9:$A$2008,A102))&lt;0.5,"Yes","No"))</f>
        <v/>
      </c>
      <c r="L102" s="10" t="str">
        <f aca="false">IF(A102="","",IF(IF(K102="No","Does not balance | ","")&amp;IF(I102="","Not approved | ",IF(UPPER(TRIM(H102))=UPPER(TRIM(I102)),"Self-approved | ",""))&amp;IF(J102="","No support | ","")&amp;IF(WEEKDAY(B102,2)&gt;5,"Weekend posting | ","")&amp;IF(COUNTIF(Settings!$A$14:$A$43,B102)&gt;0,"Holiday posting | ","")&amp;IF(B102&gt;Settings!$C$8,"Posted after close | ","")&amp;IF(OR(B102&lt;Settings!$C$6,B102&gt;Settings!$C$7),"Outside period | ","")&amp;IF(COUNTIF(Settings!$E$14:$E$43,C102&amp;"")&gt;0,"Sensitive account | ","")&amp;IF(AND(MAX(N(E102),N(F102))&gt;=Settings!$C$9,MOD(MAX(N(E102),N(F102)),Settings!$C$10)=0),"Round amount | ","")="","",LEFT(IF(K102="No","Does not balance | ","")&amp;IF(I102="","Not approved | ",IF(UPPER(TRIM(H102))=UPPER(TRIM(I102)),"Self-approved | ",""))&amp;IF(J102="","No support | ","")&amp;IF(WEEKDAY(B102,2)&gt;5,"Weekend posting | ","")&amp;IF(COUNTIF(Settings!$A$14:$A$43,B102)&gt;0,"Holiday posting | ","")&amp;IF(B102&gt;Settings!$C$8,"Posted after close | ","")&amp;IF(OR(B102&lt;Settings!$C$6,B102&gt;Settings!$C$7),"Outside period | ","")&amp;IF(COUNTIF(Settings!$E$14:$E$43,C102&amp;"")&gt;0,"Sensitive account | ","")&amp;IF(AND(MAX(N(E102),N(F102))&gt;=Settings!$C$9,MOD(MAX(N(E102),N(F102)),Settings!$C$10)=0),"Round amount | ",""),LEN(IF(K102="No","Does not balance | ","")&amp;IF(I102="","Not approved | ",IF(UPPER(TRIM(H102))=UPPER(TRIM(I102)),"Self-approved | ",""))&amp;IF(J102="","No support | ","")&amp;IF(WEEKDAY(B102,2)&gt;5,"Weekend posting | ","")&amp;IF(COUNTIF(Settings!$A$14:$A$43,B102)&gt;0,"Holiday posting | ","")&amp;IF(B102&gt;Settings!$C$8,"Posted after close | ","")&amp;IF(OR(B102&lt;Settings!$C$6,B102&gt;Settings!$C$7),"Outside period | ","")&amp;IF(COUNTIF(Settings!$E$14:$E$43,C102&amp;"")&gt;0,"Sensitive account | ","")&amp;IF(AND(MAX(N(E102),N(F102))&gt;=Settings!$C$9,MOD(MAX(N(E102),N(F102)),Settings!$C$10)=0),"Round amount | ",""))-3)))</f>
        <v/>
      </c>
      <c r="M102" s="21" t="str">
        <f aca="false">IF(A102="","",IF(COUNTIF($A$9:A102,A102)=1,MAX($M$8:M101)+1,""))</f>
        <v/>
      </c>
    </row>
    <row r="103" customFormat="false" ht="15" hidden="false" customHeight="false" outlineLevel="0" collapsed="false">
      <c r="A103" s="8"/>
      <c r="B103" s="17"/>
      <c r="C103" s="19"/>
      <c r="D103" s="8"/>
      <c r="E103" s="18"/>
      <c r="F103" s="18"/>
      <c r="G103" s="8"/>
      <c r="H103" s="8"/>
      <c r="I103" s="8"/>
      <c r="J103" s="8"/>
      <c r="K103" s="10" t="str">
        <f aca="false">IF(A103="","",IF(ABS(SUMIFS($E$9:$E$2008,$A$9:$A$2008,A103)-SUMIFS($F$9:$F$2008,$A$9:$A$2008,A103))&lt;0.5,"Yes","No"))</f>
        <v/>
      </c>
      <c r="L103" s="10" t="str">
        <f aca="false">IF(A103="","",IF(IF(K103="No","Does not balance | ","")&amp;IF(I103="","Not approved | ",IF(UPPER(TRIM(H103))=UPPER(TRIM(I103)),"Self-approved | ",""))&amp;IF(J103="","No support | ","")&amp;IF(WEEKDAY(B103,2)&gt;5,"Weekend posting | ","")&amp;IF(COUNTIF(Settings!$A$14:$A$43,B103)&gt;0,"Holiday posting | ","")&amp;IF(B103&gt;Settings!$C$8,"Posted after close | ","")&amp;IF(OR(B103&lt;Settings!$C$6,B103&gt;Settings!$C$7),"Outside period | ","")&amp;IF(COUNTIF(Settings!$E$14:$E$43,C103&amp;"")&gt;0,"Sensitive account | ","")&amp;IF(AND(MAX(N(E103),N(F103))&gt;=Settings!$C$9,MOD(MAX(N(E103),N(F103)),Settings!$C$10)=0),"Round amount | ","")="","",LEFT(IF(K103="No","Does not balance | ","")&amp;IF(I103="","Not approved | ",IF(UPPER(TRIM(H103))=UPPER(TRIM(I103)),"Self-approved | ",""))&amp;IF(J103="","No support | ","")&amp;IF(WEEKDAY(B103,2)&gt;5,"Weekend posting | ","")&amp;IF(COUNTIF(Settings!$A$14:$A$43,B103)&gt;0,"Holiday posting | ","")&amp;IF(B103&gt;Settings!$C$8,"Posted after close | ","")&amp;IF(OR(B103&lt;Settings!$C$6,B103&gt;Settings!$C$7),"Outside period | ","")&amp;IF(COUNTIF(Settings!$E$14:$E$43,C103&amp;"")&gt;0,"Sensitive account | ","")&amp;IF(AND(MAX(N(E103),N(F103))&gt;=Settings!$C$9,MOD(MAX(N(E103),N(F103)),Settings!$C$10)=0),"Round amount | ",""),LEN(IF(K103="No","Does not balance | ","")&amp;IF(I103="","Not approved | ",IF(UPPER(TRIM(H103))=UPPER(TRIM(I103)),"Self-approved | ",""))&amp;IF(J103="","No support | ","")&amp;IF(WEEKDAY(B103,2)&gt;5,"Weekend posting | ","")&amp;IF(COUNTIF(Settings!$A$14:$A$43,B103)&gt;0,"Holiday posting | ","")&amp;IF(B103&gt;Settings!$C$8,"Posted after close | ","")&amp;IF(OR(B103&lt;Settings!$C$6,B103&gt;Settings!$C$7),"Outside period | ","")&amp;IF(COUNTIF(Settings!$E$14:$E$43,C103&amp;"")&gt;0,"Sensitive account | ","")&amp;IF(AND(MAX(N(E103),N(F103))&gt;=Settings!$C$9,MOD(MAX(N(E103),N(F103)),Settings!$C$10)=0),"Round amount | ",""))-3)))</f>
        <v/>
      </c>
      <c r="M103" s="21" t="str">
        <f aca="false">IF(A103="","",IF(COUNTIF($A$9:A103,A103)=1,MAX($M$8:M102)+1,""))</f>
        <v/>
      </c>
    </row>
    <row r="104" customFormat="false" ht="15" hidden="false" customHeight="false" outlineLevel="0" collapsed="false">
      <c r="A104" s="8"/>
      <c r="B104" s="17"/>
      <c r="C104" s="19"/>
      <c r="D104" s="8"/>
      <c r="E104" s="18"/>
      <c r="F104" s="18"/>
      <c r="G104" s="8"/>
      <c r="H104" s="8"/>
      <c r="I104" s="8"/>
      <c r="J104" s="8"/>
      <c r="K104" s="10" t="str">
        <f aca="false">IF(A104="","",IF(ABS(SUMIFS($E$9:$E$2008,$A$9:$A$2008,A104)-SUMIFS($F$9:$F$2008,$A$9:$A$2008,A104))&lt;0.5,"Yes","No"))</f>
        <v/>
      </c>
      <c r="L104" s="10" t="str">
        <f aca="false">IF(A104="","",IF(IF(K104="No","Does not balance | ","")&amp;IF(I104="","Not approved | ",IF(UPPER(TRIM(H104))=UPPER(TRIM(I104)),"Self-approved | ",""))&amp;IF(J104="","No support | ","")&amp;IF(WEEKDAY(B104,2)&gt;5,"Weekend posting | ","")&amp;IF(COUNTIF(Settings!$A$14:$A$43,B104)&gt;0,"Holiday posting | ","")&amp;IF(B104&gt;Settings!$C$8,"Posted after close | ","")&amp;IF(OR(B104&lt;Settings!$C$6,B104&gt;Settings!$C$7),"Outside period | ","")&amp;IF(COUNTIF(Settings!$E$14:$E$43,C104&amp;"")&gt;0,"Sensitive account | ","")&amp;IF(AND(MAX(N(E104),N(F104))&gt;=Settings!$C$9,MOD(MAX(N(E104),N(F104)),Settings!$C$10)=0),"Round amount | ","")="","",LEFT(IF(K104="No","Does not balance | ","")&amp;IF(I104="","Not approved | ",IF(UPPER(TRIM(H104))=UPPER(TRIM(I104)),"Self-approved | ",""))&amp;IF(J104="","No support | ","")&amp;IF(WEEKDAY(B104,2)&gt;5,"Weekend posting | ","")&amp;IF(COUNTIF(Settings!$A$14:$A$43,B104)&gt;0,"Holiday posting | ","")&amp;IF(B104&gt;Settings!$C$8,"Posted after close | ","")&amp;IF(OR(B104&lt;Settings!$C$6,B104&gt;Settings!$C$7),"Outside period | ","")&amp;IF(COUNTIF(Settings!$E$14:$E$43,C104&amp;"")&gt;0,"Sensitive account | ","")&amp;IF(AND(MAX(N(E104),N(F104))&gt;=Settings!$C$9,MOD(MAX(N(E104),N(F104)),Settings!$C$10)=0),"Round amount | ",""),LEN(IF(K104="No","Does not balance | ","")&amp;IF(I104="","Not approved | ",IF(UPPER(TRIM(H104))=UPPER(TRIM(I104)),"Self-approved | ",""))&amp;IF(J104="","No support | ","")&amp;IF(WEEKDAY(B104,2)&gt;5,"Weekend posting | ","")&amp;IF(COUNTIF(Settings!$A$14:$A$43,B104)&gt;0,"Holiday posting | ","")&amp;IF(B104&gt;Settings!$C$8,"Posted after close | ","")&amp;IF(OR(B104&lt;Settings!$C$6,B104&gt;Settings!$C$7),"Outside period | ","")&amp;IF(COUNTIF(Settings!$E$14:$E$43,C104&amp;"")&gt;0,"Sensitive account | ","")&amp;IF(AND(MAX(N(E104),N(F104))&gt;=Settings!$C$9,MOD(MAX(N(E104),N(F104)),Settings!$C$10)=0),"Round amount | ",""))-3)))</f>
        <v/>
      </c>
      <c r="M104" s="21" t="str">
        <f aca="false">IF(A104="","",IF(COUNTIF($A$9:A104,A104)=1,MAX($M$8:M103)+1,""))</f>
        <v/>
      </c>
    </row>
    <row r="105" customFormat="false" ht="15" hidden="false" customHeight="false" outlineLevel="0" collapsed="false">
      <c r="A105" s="8"/>
      <c r="B105" s="17"/>
      <c r="C105" s="19"/>
      <c r="D105" s="8"/>
      <c r="E105" s="18"/>
      <c r="F105" s="18"/>
      <c r="G105" s="8"/>
      <c r="H105" s="8"/>
      <c r="I105" s="8"/>
      <c r="J105" s="8"/>
      <c r="K105" s="10" t="str">
        <f aca="false">IF(A105="","",IF(ABS(SUMIFS($E$9:$E$2008,$A$9:$A$2008,A105)-SUMIFS($F$9:$F$2008,$A$9:$A$2008,A105))&lt;0.5,"Yes","No"))</f>
        <v/>
      </c>
      <c r="L105" s="10" t="str">
        <f aca="false">IF(A105="","",IF(IF(K105="No","Does not balance | ","")&amp;IF(I105="","Not approved | ",IF(UPPER(TRIM(H105))=UPPER(TRIM(I105)),"Self-approved | ",""))&amp;IF(J105="","No support | ","")&amp;IF(WEEKDAY(B105,2)&gt;5,"Weekend posting | ","")&amp;IF(COUNTIF(Settings!$A$14:$A$43,B105)&gt;0,"Holiday posting | ","")&amp;IF(B105&gt;Settings!$C$8,"Posted after close | ","")&amp;IF(OR(B105&lt;Settings!$C$6,B105&gt;Settings!$C$7),"Outside period | ","")&amp;IF(COUNTIF(Settings!$E$14:$E$43,C105&amp;"")&gt;0,"Sensitive account | ","")&amp;IF(AND(MAX(N(E105),N(F105))&gt;=Settings!$C$9,MOD(MAX(N(E105),N(F105)),Settings!$C$10)=0),"Round amount | ","")="","",LEFT(IF(K105="No","Does not balance | ","")&amp;IF(I105="","Not approved | ",IF(UPPER(TRIM(H105))=UPPER(TRIM(I105)),"Self-approved | ",""))&amp;IF(J105="","No support | ","")&amp;IF(WEEKDAY(B105,2)&gt;5,"Weekend posting | ","")&amp;IF(COUNTIF(Settings!$A$14:$A$43,B105)&gt;0,"Holiday posting | ","")&amp;IF(B105&gt;Settings!$C$8,"Posted after close | ","")&amp;IF(OR(B105&lt;Settings!$C$6,B105&gt;Settings!$C$7),"Outside period | ","")&amp;IF(COUNTIF(Settings!$E$14:$E$43,C105&amp;"")&gt;0,"Sensitive account | ","")&amp;IF(AND(MAX(N(E105),N(F105))&gt;=Settings!$C$9,MOD(MAX(N(E105),N(F105)),Settings!$C$10)=0),"Round amount | ",""),LEN(IF(K105="No","Does not balance | ","")&amp;IF(I105="","Not approved | ",IF(UPPER(TRIM(H105))=UPPER(TRIM(I105)),"Self-approved | ",""))&amp;IF(J105="","No support | ","")&amp;IF(WEEKDAY(B105,2)&gt;5,"Weekend posting | ","")&amp;IF(COUNTIF(Settings!$A$14:$A$43,B105)&gt;0,"Holiday posting | ","")&amp;IF(B105&gt;Settings!$C$8,"Posted after close | ","")&amp;IF(OR(B105&lt;Settings!$C$6,B105&gt;Settings!$C$7),"Outside period | ","")&amp;IF(COUNTIF(Settings!$E$14:$E$43,C105&amp;"")&gt;0,"Sensitive account | ","")&amp;IF(AND(MAX(N(E105),N(F105))&gt;=Settings!$C$9,MOD(MAX(N(E105),N(F105)),Settings!$C$10)=0),"Round amount | ",""))-3)))</f>
        <v/>
      </c>
      <c r="M105" s="21" t="str">
        <f aca="false">IF(A105="","",IF(COUNTIF($A$9:A105,A105)=1,MAX($M$8:M104)+1,""))</f>
        <v/>
      </c>
    </row>
    <row r="106" customFormat="false" ht="15" hidden="false" customHeight="false" outlineLevel="0" collapsed="false">
      <c r="A106" s="8"/>
      <c r="B106" s="17"/>
      <c r="C106" s="19"/>
      <c r="D106" s="8"/>
      <c r="E106" s="18"/>
      <c r="F106" s="18"/>
      <c r="G106" s="8"/>
      <c r="H106" s="8"/>
      <c r="I106" s="8"/>
      <c r="J106" s="8"/>
      <c r="K106" s="10" t="str">
        <f aca="false">IF(A106="","",IF(ABS(SUMIFS($E$9:$E$2008,$A$9:$A$2008,A106)-SUMIFS($F$9:$F$2008,$A$9:$A$2008,A106))&lt;0.5,"Yes","No"))</f>
        <v/>
      </c>
      <c r="L106" s="10" t="str">
        <f aca="false">IF(A106="","",IF(IF(K106="No","Does not balance | ","")&amp;IF(I106="","Not approved | ",IF(UPPER(TRIM(H106))=UPPER(TRIM(I106)),"Self-approved | ",""))&amp;IF(J106="","No support | ","")&amp;IF(WEEKDAY(B106,2)&gt;5,"Weekend posting | ","")&amp;IF(COUNTIF(Settings!$A$14:$A$43,B106)&gt;0,"Holiday posting | ","")&amp;IF(B106&gt;Settings!$C$8,"Posted after close | ","")&amp;IF(OR(B106&lt;Settings!$C$6,B106&gt;Settings!$C$7),"Outside period | ","")&amp;IF(COUNTIF(Settings!$E$14:$E$43,C106&amp;"")&gt;0,"Sensitive account | ","")&amp;IF(AND(MAX(N(E106),N(F106))&gt;=Settings!$C$9,MOD(MAX(N(E106),N(F106)),Settings!$C$10)=0),"Round amount | ","")="","",LEFT(IF(K106="No","Does not balance | ","")&amp;IF(I106="","Not approved | ",IF(UPPER(TRIM(H106))=UPPER(TRIM(I106)),"Self-approved | ",""))&amp;IF(J106="","No support | ","")&amp;IF(WEEKDAY(B106,2)&gt;5,"Weekend posting | ","")&amp;IF(COUNTIF(Settings!$A$14:$A$43,B106)&gt;0,"Holiday posting | ","")&amp;IF(B106&gt;Settings!$C$8,"Posted after close | ","")&amp;IF(OR(B106&lt;Settings!$C$6,B106&gt;Settings!$C$7),"Outside period | ","")&amp;IF(COUNTIF(Settings!$E$14:$E$43,C106&amp;"")&gt;0,"Sensitive account | ","")&amp;IF(AND(MAX(N(E106),N(F106))&gt;=Settings!$C$9,MOD(MAX(N(E106),N(F106)),Settings!$C$10)=0),"Round amount | ",""),LEN(IF(K106="No","Does not balance | ","")&amp;IF(I106="","Not approved | ",IF(UPPER(TRIM(H106))=UPPER(TRIM(I106)),"Self-approved | ",""))&amp;IF(J106="","No support | ","")&amp;IF(WEEKDAY(B106,2)&gt;5,"Weekend posting | ","")&amp;IF(COUNTIF(Settings!$A$14:$A$43,B106)&gt;0,"Holiday posting | ","")&amp;IF(B106&gt;Settings!$C$8,"Posted after close | ","")&amp;IF(OR(B106&lt;Settings!$C$6,B106&gt;Settings!$C$7),"Outside period | ","")&amp;IF(COUNTIF(Settings!$E$14:$E$43,C106&amp;"")&gt;0,"Sensitive account | ","")&amp;IF(AND(MAX(N(E106),N(F106))&gt;=Settings!$C$9,MOD(MAX(N(E106),N(F106)),Settings!$C$10)=0),"Round amount | ",""))-3)))</f>
        <v/>
      </c>
      <c r="M106" s="21" t="str">
        <f aca="false">IF(A106="","",IF(COUNTIF($A$9:A106,A106)=1,MAX($M$8:M105)+1,""))</f>
        <v/>
      </c>
    </row>
    <row r="107" customFormat="false" ht="15" hidden="false" customHeight="false" outlineLevel="0" collapsed="false">
      <c r="A107" s="8"/>
      <c r="B107" s="17"/>
      <c r="C107" s="19"/>
      <c r="D107" s="8"/>
      <c r="E107" s="18"/>
      <c r="F107" s="18"/>
      <c r="G107" s="8"/>
      <c r="H107" s="8"/>
      <c r="I107" s="8"/>
      <c r="J107" s="8"/>
      <c r="K107" s="10" t="str">
        <f aca="false">IF(A107="","",IF(ABS(SUMIFS($E$9:$E$2008,$A$9:$A$2008,A107)-SUMIFS($F$9:$F$2008,$A$9:$A$2008,A107))&lt;0.5,"Yes","No"))</f>
        <v/>
      </c>
      <c r="L107" s="10" t="str">
        <f aca="false">IF(A107="","",IF(IF(K107="No","Does not balance | ","")&amp;IF(I107="","Not approved | ",IF(UPPER(TRIM(H107))=UPPER(TRIM(I107)),"Self-approved | ",""))&amp;IF(J107="","No support | ","")&amp;IF(WEEKDAY(B107,2)&gt;5,"Weekend posting | ","")&amp;IF(COUNTIF(Settings!$A$14:$A$43,B107)&gt;0,"Holiday posting | ","")&amp;IF(B107&gt;Settings!$C$8,"Posted after close | ","")&amp;IF(OR(B107&lt;Settings!$C$6,B107&gt;Settings!$C$7),"Outside period | ","")&amp;IF(COUNTIF(Settings!$E$14:$E$43,C107&amp;"")&gt;0,"Sensitive account | ","")&amp;IF(AND(MAX(N(E107),N(F107))&gt;=Settings!$C$9,MOD(MAX(N(E107),N(F107)),Settings!$C$10)=0),"Round amount | ","")="","",LEFT(IF(K107="No","Does not balance | ","")&amp;IF(I107="","Not approved | ",IF(UPPER(TRIM(H107))=UPPER(TRIM(I107)),"Self-approved | ",""))&amp;IF(J107="","No support | ","")&amp;IF(WEEKDAY(B107,2)&gt;5,"Weekend posting | ","")&amp;IF(COUNTIF(Settings!$A$14:$A$43,B107)&gt;0,"Holiday posting | ","")&amp;IF(B107&gt;Settings!$C$8,"Posted after close | ","")&amp;IF(OR(B107&lt;Settings!$C$6,B107&gt;Settings!$C$7),"Outside period | ","")&amp;IF(COUNTIF(Settings!$E$14:$E$43,C107&amp;"")&gt;0,"Sensitive account | ","")&amp;IF(AND(MAX(N(E107),N(F107))&gt;=Settings!$C$9,MOD(MAX(N(E107),N(F107)),Settings!$C$10)=0),"Round amount | ",""),LEN(IF(K107="No","Does not balance | ","")&amp;IF(I107="","Not approved | ",IF(UPPER(TRIM(H107))=UPPER(TRIM(I107)),"Self-approved | ",""))&amp;IF(J107="","No support | ","")&amp;IF(WEEKDAY(B107,2)&gt;5,"Weekend posting | ","")&amp;IF(COUNTIF(Settings!$A$14:$A$43,B107)&gt;0,"Holiday posting | ","")&amp;IF(B107&gt;Settings!$C$8,"Posted after close | ","")&amp;IF(OR(B107&lt;Settings!$C$6,B107&gt;Settings!$C$7),"Outside period | ","")&amp;IF(COUNTIF(Settings!$E$14:$E$43,C107&amp;"")&gt;0,"Sensitive account | ","")&amp;IF(AND(MAX(N(E107),N(F107))&gt;=Settings!$C$9,MOD(MAX(N(E107),N(F107)),Settings!$C$10)=0),"Round amount | ",""))-3)))</f>
        <v/>
      </c>
      <c r="M107" s="21" t="str">
        <f aca="false">IF(A107="","",IF(COUNTIF($A$9:A107,A107)=1,MAX($M$8:M106)+1,""))</f>
        <v/>
      </c>
    </row>
    <row r="108" customFormat="false" ht="15" hidden="false" customHeight="false" outlineLevel="0" collapsed="false">
      <c r="A108" s="8"/>
      <c r="B108" s="17"/>
      <c r="C108" s="19"/>
      <c r="D108" s="8"/>
      <c r="E108" s="18"/>
      <c r="F108" s="18"/>
      <c r="G108" s="8"/>
      <c r="H108" s="8"/>
      <c r="I108" s="8"/>
      <c r="J108" s="8"/>
      <c r="K108" s="10" t="str">
        <f aca="false">IF(A108="","",IF(ABS(SUMIFS($E$9:$E$2008,$A$9:$A$2008,A108)-SUMIFS($F$9:$F$2008,$A$9:$A$2008,A108))&lt;0.5,"Yes","No"))</f>
        <v/>
      </c>
      <c r="L108" s="10" t="str">
        <f aca="false">IF(A108="","",IF(IF(K108="No","Does not balance | ","")&amp;IF(I108="","Not approved | ",IF(UPPER(TRIM(H108))=UPPER(TRIM(I108)),"Self-approved | ",""))&amp;IF(J108="","No support | ","")&amp;IF(WEEKDAY(B108,2)&gt;5,"Weekend posting | ","")&amp;IF(COUNTIF(Settings!$A$14:$A$43,B108)&gt;0,"Holiday posting | ","")&amp;IF(B108&gt;Settings!$C$8,"Posted after close | ","")&amp;IF(OR(B108&lt;Settings!$C$6,B108&gt;Settings!$C$7),"Outside period | ","")&amp;IF(COUNTIF(Settings!$E$14:$E$43,C108&amp;"")&gt;0,"Sensitive account | ","")&amp;IF(AND(MAX(N(E108),N(F108))&gt;=Settings!$C$9,MOD(MAX(N(E108),N(F108)),Settings!$C$10)=0),"Round amount | ","")="","",LEFT(IF(K108="No","Does not balance | ","")&amp;IF(I108="","Not approved | ",IF(UPPER(TRIM(H108))=UPPER(TRIM(I108)),"Self-approved | ",""))&amp;IF(J108="","No support | ","")&amp;IF(WEEKDAY(B108,2)&gt;5,"Weekend posting | ","")&amp;IF(COUNTIF(Settings!$A$14:$A$43,B108)&gt;0,"Holiday posting | ","")&amp;IF(B108&gt;Settings!$C$8,"Posted after close | ","")&amp;IF(OR(B108&lt;Settings!$C$6,B108&gt;Settings!$C$7),"Outside period | ","")&amp;IF(COUNTIF(Settings!$E$14:$E$43,C108&amp;"")&gt;0,"Sensitive account | ","")&amp;IF(AND(MAX(N(E108),N(F108))&gt;=Settings!$C$9,MOD(MAX(N(E108),N(F108)),Settings!$C$10)=0),"Round amount | ",""),LEN(IF(K108="No","Does not balance | ","")&amp;IF(I108="","Not approved | ",IF(UPPER(TRIM(H108))=UPPER(TRIM(I108)),"Self-approved | ",""))&amp;IF(J108="","No support | ","")&amp;IF(WEEKDAY(B108,2)&gt;5,"Weekend posting | ","")&amp;IF(COUNTIF(Settings!$A$14:$A$43,B108)&gt;0,"Holiday posting | ","")&amp;IF(B108&gt;Settings!$C$8,"Posted after close | ","")&amp;IF(OR(B108&lt;Settings!$C$6,B108&gt;Settings!$C$7),"Outside period | ","")&amp;IF(COUNTIF(Settings!$E$14:$E$43,C108&amp;"")&gt;0,"Sensitive account | ","")&amp;IF(AND(MAX(N(E108),N(F108))&gt;=Settings!$C$9,MOD(MAX(N(E108),N(F108)),Settings!$C$10)=0),"Round amount | ",""))-3)))</f>
        <v/>
      </c>
      <c r="M108" s="21" t="str">
        <f aca="false">IF(A108="","",IF(COUNTIF($A$9:A108,A108)=1,MAX($M$8:M107)+1,""))</f>
        <v/>
      </c>
    </row>
    <row r="109" customFormat="false" ht="15" hidden="false" customHeight="false" outlineLevel="0" collapsed="false">
      <c r="A109" s="8"/>
      <c r="B109" s="17"/>
      <c r="C109" s="19"/>
      <c r="D109" s="8"/>
      <c r="E109" s="18"/>
      <c r="F109" s="18"/>
      <c r="G109" s="8"/>
      <c r="H109" s="8"/>
      <c r="I109" s="8"/>
      <c r="J109" s="8"/>
      <c r="K109" s="10" t="str">
        <f aca="false">IF(A109="","",IF(ABS(SUMIFS($E$9:$E$2008,$A$9:$A$2008,A109)-SUMIFS($F$9:$F$2008,$A$9:$A$2008,A109))&lt;0.5,"Yes","No"))</f>
        <v/>
      </c>
      <c r="L109" s="10" t="str">
        <f aca="false">IF(A109="","",IF(IF(K109="No","Does not balance | ","")&amp;IF(I109="","Not approved | ",IF(UPPER(TRIM(H109))=UPPER(TRIM(I109)),"Self-approved | ",""))&amp;IF(J109="","No support | ","")&amp;IF(WEEKDAY(B109,2)&gt;5,"Weekend posting | ","")&amp;IF(COUNTIF(Settings!$A$14:$A$43,B109)&gt;0,"Holiday posting | ","")&amp;IF(B109&gt;Settings!$C$8,"Posted after close | ","")&amp;IF(OR(B109&lt;Settings!$C$6,B109&gt;Settings!$C$7),"Outside period | ","")&amp;IF(COUNTIF(Settings!$E$14:$E$43,C109&amp;"")&gt;0,"Sensitive account | ","")&amp;IF(AND(MAX(N(E109),N(F109))&gt;=Settings!$C$9,MOD(MAX(N(E109),N(F109)),Settings!$C$10)=0),"Round amount | ","")="","",LEFT(IF(K109="No","Does not balance | ","")&amp;IF(I109="","Not approved | ",IF(UPPER(TRIM(H109))=UPPER(TRIM(I109)),"Self-approved | ",""))&amp;IF(J109="","No support | ","")&amp;IF(WEEKDAY(B109,2)&gt;5,"Weekend posting | ","")&amp;IF(COUNTIF(Settings!$A$14:$A$43,B109)&gt;0,"Holiday posting | ","")&amp;IF(B109&gt;Settings!$C$8,"Posted after close | ","")&amp;IF(OR(B109&lt;Settings!$C$6,B109&gt;Settings!$C$7),"Outside period | ","")&amp;IF(COUNTIF(Settings!$E$14:$E$43,C109&amp;"")&gt;0,"Sensitive account | ","")&amp;IF(AND(MAX(N(E109),N(F109))&gt;=Settings!$C$9,MOD(MAX(N(E109),N(F109)),Settings!$C$10)=0),"Round amount | ",""),LEN(IF(K109="No","Does not balance | ","")&amp;IF(I109="","Not approved | ",IF(UPPER(TRIM(H109))=UPPER(TRIM(I109)),"Self-approved | ",""))&amp;IF(J109="","No support | ","")&amp;IF(WEEKDAY(B109,2)&gt;5,"Weekend posting | ","")&amp;IF(COUNTIF(Settings!$A$14:$A$43,B109)&gt;0,"Holiday posting | ","")&amp;IF(B109&gt;Settings!$C$8,"Posted after close | ","")&amp;IF(OR(B109&lt;Settings!$C$6,B109&gt;Settings!$C$7),"Outside period | ","")&amp;IF(COUNTIF(Settings!$E$14:$E$43,C109&amp;"")&gt;0,"Sensitive account | ","")&amp;IF(AND(MAX(N(E109),N(F109))&gt;=Settings!$C$9,MOD(MAX(N(E109),N(F109)),Settings!$C$10)=0),"Round amount | ",""))-3)))</f>
        <v/>
      </c>
      <c r="M109" s="21" t="str">
        <f aca="false">IF(A109="","",IF(COUNTIF($A$9:A109,A109)=1,MAX($M$8:M108)+1,""))</f>
        <v/>
      </c>
    </row>
    <row r="110" customFormat="false" ht="15" hidden="false" customHeight="false" outlineLevel="0" collapsed="false">
      <c r="A110" s="8"/>
      <c r="B110" s="17"/>
      <c r="C110" s="19"/>
      <c r="D110" s="8"/>
      <c r="E110" s="18"/>
      <c r="F110" s="18"/>
      <c r="G110" s="8"/>
      <c r="H110" s="8"/>
      <c r="I110" s="8"/>
      <c r="J110" s="8"/>
      <c r="K110" s="10" t="str">
        <f aca="false">IF(A110="","",IF(ABS(SUMIFS($E$9:$E$2008,$A$9:$A$2008,A110)-SUMIFS($F$9:$F$2008,$A$9:$A$2008,A110))&lt;0.5,"Yes","No"))</f>
        <v/>
      </c>
      <c r="L110" s="10" t="str">
        <f aca="false">IF(A110="","",IF(IF(K110="No","Does not balance | ","")&amp;IF(I110="","Not approved | ",IF(UPPER(TRIM(H110))=UPPER(TRIM(I110)),"Self-approved | ",""))&amp;IF(J110="","No support | ","")&amp;IF(WEEKDAY(B110,2)&gt;5,"Weekend posting | ","")&amp;IF(COUNTIF(Settings!$A$14:$A$43,B110)&gt;0,"Holiday posting | ","")&amp;IF(B110&gt;Settings!$C$8,"Posted after close | ","")&amp;IF(OR(B110&lt;Settings!$C$6,B110&gt;Settings!$C$7),"Outside period | ","")&amp;IF(COUNTIF(Settings!$E$14:$E$43,C110&amp;"")&gt;0,"Sensitive account | ","")&amp;IF(AND(MAX(N(E110),N(F110))&gt;=Settings!$C$9,MOD(MAX(N(E110),N(F110)),Settings!$C$10)=0),"Round amount | ","")="","",LEFT(IF(K110="No","Does not balance | ","")&amp;IF(I110="","Not approved | ",IF(UPPER(TRIM(H110))=UPPER(TRIM(I110)),"Self-approved | ",""))&amp;IF(J110="","No support | ","")&amp;IF(WEEKDAY(B110,2)&gt;5,"Weekend posting | ","")&amp;IF(COUNTIF(Settings!$A$14:$A$43,B110)&gt;0,"Holiday posting | ","")&amp;IF(B110&gt;Settings!$C$8,"Posted after close | ","")&amp;IF(OR(B110&lt;Settings!$C$6,B110&gt;Settings!$C$7),"Outside period | ","")&amp;IF(COUNTIF(Settings!$E$14:$E$43,C110&amp;"")&gt;0,"Sensitive account | ","")&amp;IF(AND(MAX(N(E110),N(F110))&gt;=Settings!$C$9,MOD(MAX(N(E110),N(F110)),Settings!$C$10)=0),"Round amount | ",""),LEN(IF(K110="No","Does not balance | ","")&amp;IF(I110="","Not approved | ",IF(UPPER(TRIM(H110))=UPPER(TRIM(I110)),"Self-approved | ",""))&amp;IF(J110="","No support | ","")&amp;IF(WEEKDAY(B110,2)&gt;5,"Weekend posting | ","")&amp;IF(COUNTIF(Settings!$A$14:$A$43,B110)&gt;0,"Holiday posting | ","")&amp;IF(B110&gt;Settings!$C$8,"Posted after close | ","")&amp;IF(OR(B110&lt;Settings!$C$6,B110&gt;Settings!$C$7),"Outside period | ","")&amp;IF(COUNTIF(Settings!$E$14:$E$43,C110&amp;"")&gt;0,"Sensitive account | ","")&amp;IF(AND(MAX(N(E110),N(F110))&gt;=Settings!$C$9,MOD(MAX(N(E110),N(F110)),Settings!$C$10)=0),"Round amount | ",""))-3)))</f>
        <v/>
      </c>
      <c r="M110" s="21" t="str">
        <f aca="false">IF(A110="","",IF(COUNTIF($A$9:A110,A110)=1,MAX($M$8:M109)+1,""))</f>
        <v/>
      </c>
    </row>
    <row r="111" customFormat="false" ht="15" hidden="false" customHeight="false" outlineLevel="0" collapsed="false">
      <c r="A111" s="8"/>
      <c r="B111" s="17"/>
      <c r="C111" s="19"/>
      <c r="D111" s="8"/>
      <c r="E111" s="18"/>
      <c r="F111" s="18"/>
      <c r="G111" s="8"/>
      <c r="H111" s="8"/>
      <c r="I111" s="8"/>
      <c r="J111" s="8"/>
      <c r="K111" s="10" t="str">
        <f aca="false">IF(A111="","",IF(ABS(SUMIFS($E$9:$E$2008,$A$9:$A$2008,A111)-SUMIFS($F$9:$F$2008,$A$9:$A$2008,A111))&lt;0.5,"Yes","No"))</f>
        <v/>
      </c>
      <c r="L111" s="10" t="str">
        <f aca="false">IF(A111="","",IF(IF(K111="No","Does not balance | ","")&amp;IF(I111="","Not approved | ",IF(UPPER(TRIM(H111))=UPPER(TRIM(I111)),"Self-approved | ",""))&amp;IF(J111="","No support | ","")&amp;IF(WEEKDAY(B111,2)&gt;5,"Weekend posting | ","")&amp;IF(COUNTIF(Settings!$A$14:$A$43,B111)&gt;0,"Holiday posting | ","")&amp;IF(B111&gt;Settings!$C$8,"Posted after close | ","")&amp;IF(OR(B111&lt;Settings!$C$6,B111&gt;Settings!$C$7),"Outside period | ","")&amp;IF(COUNTIF(Settings!$E$14:$E$43,C111&amp;"")&gt;0,"Sensitive account | ","")&amp;IF(AND(MAX(N(E111),N(F111))&gt;=Settings!$C$9,MOD(MAX(N(E111),N(F111)),Settings!$C$10)=0),"Round amount | ","")="","",LEFT(IF(K111="No","Does not balance | ","")&amp;IF(I111="","Not approved | ",IF(UPPER(TRIM(H111))=UPPER(TRIM(I111)),"Self-approved | ",""))&amp;IF(J111="","No support | ","")&amp;IF(WEEKDAY(B111,2)&gt;5,"Weekend posting | ","")&amp;IF(COUNTIF(Settings!$A$14:$A$43,B111)&gt;0,"Holiday posting | ","")&amp;IF(B111&gt;Settings!$C$8,"Posted after close | ","")&amp;IF(OR(B111&lt;Settings!$C$6,B111&gt;Settings!$C$7),"Outside period | ","")&amp;IF(COUNTIF(Settings!$E$14:$E$43,C111&amp;"")&gt;0,"Sensitive account | ","")&amp;IF(AND(MAX(N(E111),N(F111))&gt;=Settings!$C$9,MOD(MAX(N(E111),N(F111)),Settings!$C$10)=0),"Round amount | ",""),LEN(IF(K111="No","Does not balance | ","")&amp;IF(I111="","Not approved | ",IF(UPPER(TRIM(H111))=UPPER(TRIM(I111)),"Self-approved | ",""))&amp;IF(J111="","No support | ","")&amp;IF(WEEKDAY(B111,2)&gt;5,"Weekend posting | ","")&amp;IF(COUNTIF(Settings!$A$14:$A$43,B111)&gt;0,"Holiday posting | ","")&amp;IF(B111&gt;Settings!$C$8,"Posted after close | ","")&amp;IF(OR(B111&lt;Settings!$C$6,B111&gt;Settings!$C$7),"Outside period | ","")&amp;IF(COUNTIF(Settings!$E$14:$E$43,C111&amp;"")&gt;0,"Sensitive account | ","")&amp;IF(AND(MAX(N(E111),N(F111))&gt;=Settings!$C$9,MOD(MAX(N(E111),N(F111)),Settings!$C$10)=0),"Round amount | ",""))-3)))</f>
        <v/>
      </c>
      <c r="M111" s="21" t="str">
        <f aca="false">IF(A111="","",IF(COUNTIF($A$9:A111,A111)=1,MAX($M$8:M110)+1,""))</f>
        <v/>
      </c>
    </row>
    <row r="112" customFormat="false" ht="15" hidden="false" customHeight="false" outlineLevel="0" collapsed="false">
      <c r="A112" s="8"/>
      <c r="B112" s="17"/>
      <c r="C112" s="19"/>
      <c r="D112" s="8"/>
      <c r="E112" s="18"/>
      <c r="F112" s="18"/>
      <c r="G112" s="8"/>
      <c r="H112" s="8"/>
      <c r="I112" s="8"/>
      <c r="J112" s="8"/>
      <c r="K112" s="10" t="str">
        <f aca="false">IF(A112="","",IF(ABS(SUMIFS($E$9:$E$2008,$A$9:$A$2008,A112)-SUMIFS($F$9:$F$2008,$A$9:$A$2008,A112))&lt;0.5,"Yes","No"))</f>
        <v/>
      </c>
      <c r="L112" s="10" t="str">
        <f aca="false">IF(A112="","",IF(IF(K112="No","Does not balance | ","")&amp;IF(I112="","Not approved | ",IF(UPPER(TRIM(H112))=UPPER(TRIM(I112)),"Self-approved | ",""))&amp;IF(J112="","No support | ","")&amp;IF(WEEKDAY(B112,2)&gt;5,"Weekend posting | ","")&amp;IF(COUNTIF(Settings!$A$14:$A$43,B112)&gt;0,"Holiday posting | ","")&amp;IF(B112&gt;Settings!$C$8,"Posted after close | ","")&amp;IF(OR(B112&lt;Settings!$C$6,B112&gt;Settings!$C$7),"Outside period | ","")&amp;IF(COUNTIF(Settings!$E$14:$E$43,C112&amp;"")&gt;0,"Sensitive account | ","")&amp;IF(AND(MAX(N(E112),N(F112))&gt;=Settings!$C$9,MOD(MAX(N(E112),N(F112)),Settings!$C$10)=0),"Round amount | ","")="","",LEFT(IF(K112="No","Does not balance | ","")&amp;IF(I112="","Not approved | ",IF(UPPER(TRIM(H112))=UPPER(TRIM(I112)),"Self-approved | ",""))&amp;IF(J112="","No support | ","")&amp;IF(WEEKDAY(B112,2)&gt;5,"Weekend posting | ","")&amp;IF(COUNTIF(Settings!$A$14:$A$43,B112)&gt;0,"Holiday posting | ","")&amp;IF(B112&gt;Settings!$C$8,"Posted after close | ","")&amp;IF(OR(B112&lt;Settings!$C$6,B112&gt;Settings!$C$7),"Outside period | ","")&amp;IF(COUNTIF(Settings!$E$14:$E$43,C112&amp;"")&gt;0,"Sensitive account | ","")&amp;IF(AND(MAX(N(E112),N(F112))&gt;=Settings!$C$9,MOD(MAX(N(E112),N(F112)),Settings!$C$10)=0),"Round amount | ",""),LEN(IF(K112="No","Does not balance | ","")&amp;IF(I112="","Not approved | ",IF(UPPER(TRIM(H112))=UPPER(TRIM(I112)),"Self-approved | ",""))&amp;IF(J112="","No support | ","")&amp;IF(WEEKDAY(B112,2)&gt;5,"Weekend posting | ","")&amp;IF(COUNTIF(Settings!$A$14:$A$43,B112)&gt;0,"Holiday posting | ","")&amp;IF(B112&gt;Settings!$C$8,"Posted after close | ","")&amp;IF(OR(B112&lt;Settings!$C$6,B112&gt;Settings!$C$7),"Outside period | ","")&amp;IF(COUNTIF(Settings!$E$14:$E$43,C112&amp;"")&gt;0,"Sensitive account | ","")&amp;IF(AND(MAX(N(E112),N(F112))&gt;=Settings!$C$9,MOD(MAX(N(E112),N(F112)),Settings!$C$10)=0),"Round amount | ",""))-3)))</f>
        <v/>
      </c>
      <c r="M112" s="21" t="str">
        <f aca="false">IF(A112="","",IF(COUNTIF($A$9:A112,A112)=1,MAX($M$8:M111)+1,""))</f>
        <v/>
      </c>
    </row>
    <row r="113" customFormat="false" ht="15" hidden="false" customHeight="false" outlineLevel="0" collapsed="false">
      <c r="A113" s="8"/>
      <c r="B113" s="17"/>
      <c r="C113" s="19"/>
      <c r="D113" s="8"/>
      <c r="E113" s="18"/>
      <c r="F113" s="18"/>
      <c r="G113" s="8"/>
      <c r="H113" s="8"/>
      <c r="I113" s="8"/>
      <c r="J113" s="8"/>
      <c r="K113" s="10" t="str">
        <f aca="false">IF(A113="","",IF(ABS(SUMIFS($E$9:$E$2008,$A$9:$A$2008,A113)-SUMIFS($F$9:$F$2008,$A$9:$A$2008,A113))&lt;0.5,"Yes","No"))</f>
        <v/>
      </c>
      <c r="L113" s="10" t="str">
        <f aca="false">IF(A113="","",IF(IF(K113="No","Does not balance | ","")&amp;IF(I113="","Not approved | ",IF(UPPER(TRIM(H113))=UPPER(TRIM(I113)),"Self-approved | ",""))&amp;IF(J113="","No support | ","")&amp;IF(WEEKDAY(B113,2)&gt;5,"Weekend posting | ","")&amp;IF(COUNTIF(Settings!$A$14:$A$43,B113)&gt;0,"Holiday posting | ","")&amp;IF(B113&gt;Settings!$C$8,"Posted after close | ","")&amp;IF(OR(B113&lt;Settings!$C$6,B113&gt;Settings!$C$7),"Outside period | ","")&amp;IF(COUNTIF(Settings!$E$14:$E$43,C113&amp;"")&gt;0,"Sensitive account | ","")&amp;IF(AND(MAX(N(E113),N(F113))&gt;=Settings!$C$9,MOD(MAX(N(E113),N(F113)),Settings!$C$10)=0),"Round amount | ","")="","",LEFT(IF(K113="No","Does not balance | ","")&amp;IF(I113="","Not approved | ",IF(UPPER(TRIM(H113))=UPPER(TRIM(I113)),"Self-approved | ",""))&amp;IF(J113="","No support | ","")&amp;IF(WEEKDAY(B113,2)&gt;5,"Weekend posting | ","")&amp;IF(COUNTIF(Settings!$A$14:$A$43,B113)&gt;0,"Holiday posting | ","")&amp;IF(B113&gt;Settings!$C$8,"Posted after close | ","")&amp;IF(OR(B113&lt;Settings!$C$6,B113&gt;Settings!$C$7),"Outside period | ","")&amp;IF(COUNTIF(Settings!$E$14:$E$43,C113&amp;"")&gt;0,"Sensitive account | ","")&amp;IF(AND(MAX(N(E113),N(F113))&gt;=Settings!$C$9,MOD(MAX(N(E113),N(F113)),Settings!$C$10)=0),"Round amount | ",""),LEN(IF(K113="No","Does not balance | ","")&amp;IF(I113="","Not approved | ",IF(UPPER(TRIM(H113))=UPPER(TRIM(I113)),"Self-approved | ",""))&amp;IF(J113="","No support | ","")&amp;IF(WEEKDAY(B113,2)&gt;5,"Weekend posting | ","")&amp;IF(COUNTIF(Settings!$A$14:$A$43,B113)&gt;0,"Holiday posting | ","")&amp;IF(B113&gt;Settings!$C$8,"Posted after close | ","")&amp;IF(OR(B113&lt;Settings!$C$6,B113&gt;Settings!$C$7),"Outside period | ","")&amp;IF(COUNTIF(Settings!$E$14:$E$43,C113&amp;"")&gt;0,"Sensitive account | ","")&amp;IF(AND(MAX(N(E113),N(F113))&gt;=Settings!$C$9,MOD(MAX(N(E113),N(F113)),Settings!$C$10)=0),"Round amount | ",""))-3)))</f>
        <v/>
      </c>
      <c r="M113" s="21" t="str">
        <f aca="false">IF(A113="","",IF(COUNTIF($A$9:A113,A113)=1,MAX($M$8:M112)+1,""))</f>
        <v/>
      </c>
    </row>
    <row r="114" customFormat="false" ht="15" hidden="false" customHeight="false" outlineLevel="0" collapsed="false">
      <c r="A114" s="8"/>
      <c r="B114" s="17"/>
      <c r="C114" s="19"/>
      <c r="D114" s="8"/>
      <c r="E114" s="18"/>
      <c r="F114" s="18"/>
      <c r="G114" s="8"/>
      <c r="H114" s="8"/>
      <c r="I114" s="8"/>
      <c r="J114" s="8"/>
      <c r="K114" s="10" t="str">
        <f aca="false">IF(A114="","",IF(ABS(SUMIFS($E$9:$E$2008,$A$9:$A$2008,A114)-SUMIFS($F$9:$F$2008,$A$9:$A$2008,A114))&lt;0.5,"Yes","No"))</f>
        <v/>
      </c>
      <c r="L114" s="10" t="str">
        <f aca="false">IF(A114="","",IF(IF(K114="No","Does not balance | ","")&amp;IF(I114="","Not approved | ",IF(UPPER(TRIM(H114))=UPPER(TRIM(I114)),"Self-approved | ",""))&amp;IF(J114="","No support | ","")&amp;IF(WEEKDAY(B114,2)&gt;5,"Weekend posting | ","")&amp;IF(COUNTIF(Settings!$A$14:$A$43,B114)&gt;0,"Holiday posting | ","")&amp;IF(B114&gt;Settings!$C$8,"Posted after close | ","")&amp;IF(OR(B114&lt;Settings!$C$6,B114&gt;Settings!$C$7),"Outside period | ","")&amp;IF(COUNTIF(Settings!$E$14:$E$43,C114&amp;"")&gt;0,"Sensitive account | ","")&amp;IF(AND(MAX(N(E114),N(F114))&gt;=Settings!$C$9,MOD(MAX(N(E114),N(F114)),Settings!$C$10)=0),"Round amount | ","")="","",LEFT(IF(K114="No","Does not balance | ","")&amp;IF(I114="","Not approved | ",IF(UPPER(TRIM(H114))=UPPER(TRIM(I114)),"Self-approved | ",""))&amp;IF(J114="","No support | ","")&amp;IF(WEEKDAY(B114,2)&gt;5,"Weekend posting | ","")&amp;IF(COUNTIF(Settings!$A$14:$A$43,B114)&gt;0,"Holiday posting | ","")&amp;IF(B114&gt;Settings!$C$8,"Posted after close | ","")&amp;IF(OR(B114&lt;Settings!$C$6,B114&gt;Settings!$C$7),"Outside period | ","")&amp;IF(COUNTIF(Settings!$E$14:$E$43,C114&amp;"")&gt;0,"Sensitive account | ","")&amp;IF(AND(MAX(N(E114),N(F114))&gt;=Settings!$C$9,MOD(MAX(N(E114),N(F114)),Settings!$C$10)=0),"Round amount | ",""),LEN(IF(K114="No","Does not balance | ","")&amp;IF(I114="","Not approved | ",IF(UPPER(TRIM(H114))=UPPER(TRIM(I114)),"Self-approved | ",""))&amp;IF(J114="","No support | ","")&amp;IF(WEEKDAY(B114,2)&gt;5,"Weekend posting | ","")&amp;IF(COUNTIF(Settings!$A$14:$A$43,B114)&gt;0,"Holiday posting | ","")&amp;IF(B114&gt;Settings!$C$8,"Posted after close | ","")&amp;IF(OR(B114&lt;Settings!$C$6,B114&gt;Settings!$C$7),"Outside period | ","")&amp;IF(COUNTIF(Settings!$E$14:$E$43,C114&amp;"")&gt;0,"Sensitive account | ","")&amp;IF(AND(MAX(N(E114),N(F114))&gt;=Settings!$C$9,MOD(MAX(N(E114),N(F114)),Settings!$C$10)=0),"Round amount | ",""))-3)))</f>
        <v/>
      </c>
      <c r="M114" s="21" t="str">
        <f aca="false">IF(A114="","",IF(COUNTIF($A$9:A114,A114)=1,MAX($M$8:M113)+1,""))</f>
        <v/>
      </c>
    </row>
    <row r="115" customFormat="false" ht="15" hidden="false" customHeight="false" outlineLevel="0" collapsed="false">
      <c r="A115" s="8"/>
      <c r="B115" s="17"/>
      <c r="C115" s="19"/>
      <c r="D115" s="8"/>
      <c r="E115" s="18"/>
      <c r="F115" s="18"/>
      <c r="G115" s="8"/>
      <c r="H115" s="8"/>
      <c r="I115" s="8"/>
      <c r="J115" s="8"/>
      <c r="K115" s="10" t="str">
        <f aca="false">IF(A115="","",IF(ABS(SUMIFS($E$9:$E$2008,$A$9:$A$2008,A115)-SUMIFS($F$9:$F$2008,$A$9:$A$2008,A115))&lt;0.5,"Yes","No"))</f>
        <v/>
      </c>
      <c r="L115" s="10" t="str">
        <f aca="false">IF(A115="","",IF(IF(K115="No","Does not balance | ","")&amp;IF(I115="","Not approved | ",IF(UPPER(TRIM(H115))=UPPER(TRIM(I115)),"Self-approved | ",""))&amp;IF(J115="","No support | ","")&amp;IF(WEEKDAY(B115,2)&gt;5,"Weekend posting | ","")&amp;IF(COUNTIF(Settings!$A$14:$A$43,B115)&gt;0,"Holiday posting | ","")&amp;IF(B115&gt;Settings!$C$8,"Posted after close | ","")&amp;IF(OR(B115&lt;Settings!$C$6,B115&gt;Settings!$C$7),"Outside period | ","")&amp;IF(COUNTIF(Settings!$E$14:$E$43,C115&amp;"")&gt;0,"Sensitive account | ","")&amp;IF(AND(MAX(N(E115),N(F115))&gt;=Settings!$C$9,MOD(MAX(N(E115),N(F115)),Settings!$C$10)=0),"Round amount | ","")="","",LEFT(IF(K115="No","Does not balance | ","")&amp;IF(I115="","Not approved | ",IF(UPPER(TRIM(H115))=UPPER(TRIM(I115)),"Self-approved | ",""))&amp;IF(J115="","No support | ","")&amp;IF(WEEKDAY(B115,2)&gt;5,"Weekend posting | ","")&amp;IF(COUNTIF(Settings!$A$14:$A$43,B115)&gt;0,"Holiday posting | ","")&amp;IF(B115&gt;Settings!$C$8,"Posted after close | ","")&amp;IF(OR(B115&lt;Settings!$C$6,B115&gt;Settings!$C$7),"Outside period | ","")&amp;IF(COUNTIF(Settings!$E$14:$E$43,C115&amp;"")&gt;0,"Sensitive account | ","")&amp;IF(AND(MAX(N(E115),N(F115))&gt;=Settings!$C$9,MOD(MAX(N(E115),N(F115)),Settings!$C$10)=0),"Round amount | ",""),LEN(IF(K115="No","Does not balance | ","")&amp;IF(I115="","Not approved | ",IF(UPPER(TRIM(H115))=UPPER(TRIM(I115)),"Self-approved | ",""))&amp;IF(J115="","No support | ","")&amp;IF(WEEKDAY(B115,2)&gt;5,"Weekend posting | ","")&amp;IF(COUNTIF(Settings!$A$14:$A$43,B115)&gt;0,"Holiday posting | ","")&amp;IF(B115&gt;Settings!$C$8,"Posted after close | ","")&amp;IF(OR(B115&lt;Settings!$C$6,B115&gt;Settings!$C$7),"Outside period | ","")&amp;IF(COUNTIF(Settings!$E$14:$E$43,C115&amp;"")&gt;0,"Sensitive account | ","")&amp;IF(AND(MAX(N(E115),N(F115))&gt;=Settings!$C$9,MOD(MAX(N(E115),N(F115)),Settings!$C$10)=0),"Round amount | ",""))-3)))</f>
        <v/>
      </c>
      <c r="M115" s="21" t="str">
        <f aca="false">IF(A115="","",IF(COUNTIF($A$9:A115,A115)=1,MAX($M$8:M114)+1,""))</f>
        <v/>
      </c>
    </row>
    <row r="116" customFormat="false" ht="15" hidden="false" customHeight="false" outlineLevel="0" collapsed="false">
      <c r="A116" s="8"/>
      <c r="B116" s="17"/>
      <c r="C116" s="19"/>
      <c r="D116" s="8"/>
      <c r="E116" s="18"/>
      <c r="F116" s="18"/>
      <c r="G116" s="8"/>
      <c r="H116" s="8"/>
      <c r="I116" s="8"/>
      <c r="J116" s="8"/>
      <c r="K116" s="10" t="str">
        <f aca="false">IF(A116="","",IF(ABS(SUMIFS($E$9:$E$2008,$A$9:$A$2008,A116)-SUMIFS($F$9:$F$2008,$A$9:$A$2008,A116))&lt;0.5,"Yes","No"))</f>
        <v/>
      </c>
      <c r="L116" s="10" t="str">
        <f aca="false">IF(A116="","",IF(IF(K116="No","Does not balance | ","")&amp;IF(I116="","Not approved | ",IF(UPPER(TRIM(H116))=UPPER(TRIM(I116)),"Self-approved | ",""))&amp;IF(J116="","No support | ","")&amp;IF(WEEKDAY(B116,2)&gt;5,"Weekend posting | ","")&amp;IF(COUNTIF(Settings!$A$14:$A$43,B116)&gt;0,"Holiday posting | ","")&amp;IF(B116&gt;Settings!$C$8,"Posted after close | ","")&amp;IF(OR(B116&lt;Settings!$C$6,B116&gt;Settings!$C$7),"Outside period | ","")&amp;IF(COUNTIF(Settings!$E$14:$E$43,C116&amp;"")&gt;0,"Sensitive account | ","")&amp;IF(AND(MAX(N(E116),N(F116))&gt;=Settings!$C$9,MOD(MAX(N(E116),N(F116)),Settings!$C$10)=0),"Round amount | ","")="","",LEFT(IF(K116="No","Does not balance | ","")&amp;IF(I116="","Not approved | ",IF(UPPER(TRIM(H116))=UPPER(TRIM(I116)),"Self-approved | ",""))&amp;IF(J116="","No support | ","")&amp;IF(WEEKDAY(B116,2)&gt;5,"Weekend posting | ","")&amp;IF(COUNTIF(Settings!$A$14:$A$43,B116)&gt;0,"Holiday posting | ","")&amp;IF(B116&gt;Settings!$C$8,"Posted after close | ","")&amp;IF(OR(B116&lt;Settings!$C$6,B116&gt;Settings!$C$7),"Outside period | ","")&amp;IF(COUNTIF(Settings!$E$14:$E$43,C116&amp;"")&gt;0,"Sensitive account | ","")&amp;IF(AND(MAX(N(E116),N(F116))&gt;=Settings!$C$9,MOD(MAX(N(E116),N(F116)),Settings!$C$10)=0),"Round amount | ",""),LEN(IF(K116="No","Does not balance | ","")&amp;IF(I116="","Not approved | ",IF(UPPER(TRIM(H116))=UPPER(TRIM(I116)),"Self-approved | ",""))&amp;IF(J116="","No support | ","")&amp;IF(WEEKDAY(B116,2)&gt;5,"Weekend posting | ","")&amp;IF(COUNTIF(Settings!$A$14:$A$43,B116)&gt;0,"Holiday posting | ","")&amp;IF(B116&gt;Settings!$C$8,"Posted after close | ","")&amp;IF(OR(B116&lt;Settings!$C$6,B116&gt;Settings!$C$7),"Outside period | ","")&amp;IF(COUNTIF(Settings!$E$14:$E$43,C116&amp;"")&gt;0,"Sensitive account | ","")&amp;IF(AND(MAX(N(E116),N(F116))&gt;=Settings!$C$9,MOD(MAX(N(E116),N(F116)),Settings!$C$10)=0),"Round amount | ",""))-3)))</f>
        <v/>
      </c>
      <c r="M116" s="21" t="str">
        <f aca="false">IF(A116="","",IF(COUNTIF($A$9:A116,A116)=1,MAX($M$8:M115)+1,""))</f>
        <v/>
      </c>
    </row>
    <row r="117" customFormat="false" ht="15" hidden="false" customHeight="false" outlineLevel="0" collapsed="false">
      <c r="A117" s="8"/>
      <c r="B117" s="17"/>
      <c r="C117" s="19"/>
      <c r="D117" s="8"/>
      <c r="E117" s="18"/>
      <c r="F117" s="18"/>
      <c r="G117" s="8"/>
      <c r="H117" s="8"/>
      <c r="I117" s="8"/>
      <c r="J117" s="8"/>
      <c r="K117" s="10" t="str">
        <f aca="false">IF(A117="","",IF(ABS(SUMIFS($E$9:$E$2008,$A$9:$A$2008,A117)-SUMIFS($F$9:$F$2008,$A$9:$A$2008,A117))&lt;0.5,"Yes","No"))</f>
        <v/>
      </c>
      <c r="L117" s="10" t="str">
        <f aca="false">IF(A117="","",IF(IF(K117="No","Does not balance | ","")&amp;IF(I117="","Not approved | ",IF(UPPER(TRIM(H117))=UPPER(TRIM(I117)),"Self-approved | ",""))&amp;IF(J117="","No support | ","")&amp;IF(WEEKDAY(B117,2)&gt;5,"Weekend posting | ","")&amp;IF(COUNTIF(Settings!$A$14:$A$43,B117)&gt;0,"Holiday posting | ","")&amp;IF(B117&gt;Settings!$C$8,"Posted after close | ","")&amp;IF(OR(B117&lt;Settings!$C$6,B117&gt;Settings!$C$7),"Outside period | ","")&amp;IF(COUNTIF(Settings!$E$14:$E$43,C117&amp;"")&gt;0,"Sensitive account | ","")&amp;IF(AND(MAX(N(E117),N(F117))&gt;=Settings!$C$9,MOD(MAX(N(E117),N(F117)),Settings!$C$10)=0),"Round amount | ","")="","",LEFT(IF(K117="No","Does not balance | ","")&amp;IF(I117="","Not approved | ",IF(UPPER(TRIM(H117))=UPPER(TRIM(I117)),"Self-approved | ",""))&amp;IF(J117="","No support | ","")&amp;IF(WEEKDAY(B117,2)&gt;5,"Weekend posting | ","")&amp;IF(COUNTIF(Settings!$A$14:$A$43,B117)&gt;0,"Holiday posting | ","")&amp;IF(B117&gt;Settings!$C$8,"Posted after close | ","")&amp;IF(OR(B117&lt;Settings!$C$6,B117&gt;Settings!$C$7),"Outside period | ","")&amp;IF(COUNTIF(Settings!$E$14:$E$43,C117&amp;"")&gt;0,"Sensitive account | ","")&amp;IF(AND(MAX(N(E117),N(F117))&gt;=Settings!$C$9,MOD(MAX(N(E117),N(F117)),Settings!$C$10)=0),"Round amount | ",""),LEN(IF(K117="No","Does not balance | ","")&amp;IF(I117="","Not approved | ",IF(UPPER(TRIM(H117))=UPPER(TRIM(I117)),"Self-approved | ",""))&amp;IF(J117="","No support | ","")&amp;IF(WEEKDAY(B117,2)&gt;5,"Weekend posting | ","")&amp;IF(COUNTIF(Settings!$A$14:$A$43,B117)&gt;0,"Holiday posting | ","")&amp;IF(B117&gt;Settings!$C$8,"Posted after close | ","")&amp;IF(OR(B117&lt;Settings!$C$6,B117&gt;Settings!$C$7),"Outside period | ","")&amp;IF(COUNTIF(Settings!$E$14:$E$43,C117&amp;"")&gt;0,"Sensitive account | ","")&amp;IF(AND(MAX(N(E117),N(F117))&gt;=Settings!$C$9,MOD(MAX(N(E117),N(F117)),Settings!$C$10)=0),"Round amount | ",""))-3)))</f>
        <v/>
      </c>
      <c r="M117" s="21" t="str">
        <f aca="false">IF(A117="","",IF(COUNTIF($A$9:A117,A117)=1,MAX($M$8:M116)+1,""))</f>
        <v/>
      </c>
    </row>
    <row r="118" customFormat="false" ht="15" hidden="false" customHeight="false" outlineLevel="0" collapsed="false">
      <c r="A118" s="8"/>
      <c r="B118" s="17"/>
      <c r="C118" s="19"/>
      <c r="D118" s="8"/>
      <c r="E118" s="18"/>
      <c r="F118" s="18"/>
      <c r="G118" s="8"/>
      <c r="H118" s="8"/>
      <c r="I118" s="8"/>
      <c r="J118" s="8"/>
      <c r="K118" s="10" t="str">
        <f aca="false">IF(A118="","",IF(ABS(SUMIFS($E$9:$E$2008,$A$9:$A$2008,A118)-SUMIFS($F$9:$F$2008,$A$9:$A$2008,A118))&lt;0.5,"Yes","No"))</f>
        <v/>
      </c>
      <c r="L118" s="10" t="str">
        <f aca="false">IF(A118="","",IF(IF(K118="No","Does not balance | ","")&amp;IF(I118="","Not approved | ",IF(UPPER(TRIM(H118))=UPPER(TRIM(I118)),"Self-approved | ",""))&amp;IF(J118="","No support | ","")&amp;IF(WEEKDAY(B118,2)&gt;5,"Weekend posting | ","")&amp;IF(COUNTIF(Settings!$A$14:$A$43,B118)&gt;0,"Holiday posting | ","")&amp;IF(B118&gt;Settings!$C$8,"Posted after close | ","")&amp;IF(OR(B118&lt;Settings!$C$6,B118&gt;Settings!$C$7),"Outside period | ","")&amp;IF(COUNTIF(Settings!$E$14:$E$43,C118&amp;"")&gt;0,"Sensitive account | ","")&amp;IF(AND(MAX(N(E118),N(F118))&gt;=Settings!$C$9,MOD(MAX(N(E118),N(F118)),Settings!$C$10)=0),"Round amount | ","")="","",LEFT(IF(K118="No","Does not balance | ","")&amp;IF(I118="","Not approved | ",IF(UPPER(TRIM(H118))=UPPER(TRIM(I118)),"Self-approved | ",""))&amp;IF(J118="","No support | ","")&amp;IF(WEEKDAY(B118,2)&gt;5,"Weekend posting | ","")&amp;IF(COUNTIF(Settings!$A$14:$A$43,B118)&gt;0,"Holiday posting | ","")&amp;IF(B118&gt;Settings!$C$8,"Posted after close | ","")&amp;IF(OR(B118&lt;Settings!$C$6,B118&gt;Settings!$C$7),"Outside period | ","")&amp;IF(COUNTIF(Settings!$E$14:$E$43,C118&amp;"")&gt;0,"Sensitive account | ","")&amp;IF(AND(MAX(N(E118),N(F118))&gt;=Settings!$C$9,MOD(MAX(N(E118),N(F118)),Settings!$C$10)=0),"Round amount | ",""),LEN(IF(K118="No","Does not balance | ","")&amp;IF(I118="","Not approved | ",IF(UPPER(TRIM(H118))=UPPER(TRIM(I118)),"Self-approved | ",""))&amp;IF(J118="","No support | ","")&amp;IF(WEEKDAY(B118,2)&gt;5,"Weekend posting | ","")&amp;IF(COUNTIF(Settings!$A$14:$A$43,B118)&gt;0,"Holiday posting | ","")&amp;IF(B118&gt;Settings!$C$8,"Posted after close | ","")&amp;IF(OR(B118&lt;Settings!$C$6,B118&gt;Settings!$C$7),"Outside period | ","")&amp;IF(COUNTIF(Settings!$E$14:$E$43,C118&amp;"")&gt;0,"Sensitive account | ","")&amp;IF(AND(MAX(N(E118),N(F118))&gt;=Settings!$C$9,MOD(MAX(N(E118),N(F118)),Settings!$C$10)=0),"Round amount | ",""))-3)))</f>
        <v/>
      </c>
      <c r="M118" s="21" t="str">
        <f aca="false">IF(A118="","",IF(COUNTIF($A$9:A118,A118)=1,MAX($M$8:M117)+1,""))</f>
        <v/>
      </c>
    </row>
    <row r="119" customFormat="false" ht="15" hidden="false" customHeight="false" outlineLevel="0" collapsed="false">
      <c r="A119" s="8"/>
      <c r="B119" s="17"/>
      <c r="C119" s="19"/>
      <c r="D119" s="8"/>
      <c r="E119" s="18"/>
      <c r="F119" s="18"/>
      <c r="G119" s="8"/>
      <c r="H119" s="8"/>
      <c r="I119" s="8"/>
      <c r="J119" s="8"/>
      <c r="K119" s="10" t="str">
        <f aca="false">IF(A119="","",IF(ABS(SUMIFS($E$9:$E$2008,$A$9:$A$2008,A119)-SUMIFS($F$9:$F$2008,$A$9:$A$2008,A119))&lt;0.5,"Yes","No"))</f>
        <v/>
      </c>
      <c r="L119" s="10" t="str">
        <f aca="false">IF(A119="","",IF(IF(K119="No","Does not balance | ","")&amp;IF(I119="","Not approved | ",IF(UPPER(TRIM(H119))=UPPER(TRIM(I119)),"Self-approved | ",""))&amp;IF(J119="","No support | ","")&amp;IF(WEEKDAY(B119,2)&gt;5,"Weekend posting | ","")&amp;IF(COUNTIF(Settings!$A$14:$A$43,B119)&gt;0,"Holiday posting | ","")&amp;IF(B119&gt;Settings!$C$8,"Posted after close | ","")&amp;IF(OR(B119&lt;Settings!$C$6,B119&gt;Settings!$C$7),"Outside period | ","")&amp;IF(COUNTIF(Settings!$E$14:$E$43,C119&amp;"")&gt;0,"Sensitive account | ","")&amp;IF(AND(MAX(N(E119),N(F119))&gt;=Settings!$C$9,MOD(MAX(N(E119),N(F119)),Settings!$C$10)=0),"Round amount | ","")="","",LEFT(IF(K119="No","Does not balance | ","")&amp;IF(I119="","Not approved | ",IF(UPPER(TRIM(H119))=UPPER(TRIM(I119)),"Self-approved | ",""))&amp;IF(J119="","No support | ","")&amp;IF(WEEKDAY(B119,2)&gt;5,"Weekend posting | ","")&amp;IF(COUNTIF(Settings!$A$14:$A$43,B119)&gt;0,"Holiday posting | ","")&amp;IF(B119&gt;Settings!$C$8,"Posted after close | ","")&amp;IF(OR(B119&lt;Settings!$C$6,B119&gt;Settings!$C$7),"Outside period | ","")&amp;IF(COUNTIF(Settings!$E$14:$E$43,C119&amp;"")&gt;0,"Sensitive account | ","")&amp;IF(AND(MAX(N(E119),N(F119))&gt;=Settings!$C$9,MOD(MAX(N(E119),N(F119)),Settings!$C$10)=0),"Round amount | ",""),LEN(IF(K119="No","Does not balance | ","")&amp;IF(I119="","Not approved | ",IF(UPPER(TRIM(H119))=UPPER(TRIM(I119)),"Self-approved | ",""))&amp;IF(J119="","No support | ","")&amp;IF(WEEKDAY(B119,2)&gt;5,"Weekend posting | ","")&amp;IF(COUNTIF(Settings!$A$14:$A$43,B119)&gt;0,"Holiday posting | ","")&amp;IF(B119&gt;Settings!$C$8,"Posted after close | ","")&amp;IF(OR(B119&lt;Settings!$C$6,B119&gt;Settings!$C$7),"Outside period | ","")&amp;IF(COUNTIF(Settings!$E$14:$E$43,C119&amp;"")&gt;0,"Sensitive account | ","")&amp;IF(AND(MAX(N(E119),N(F119))&gt;=Settings!$C$9,MOD(MAX(N(E119),N(F119)),Settings!$C$10)=0),"Round amount | ",""))-3)))</f>
        <v/>
      </c>
      <c r="M119" s="21" t="str">
        <f aca="false">IF(A119="","",IF(COUNTIF($A$9:A119,A119)=1,MAX($M$8:M118)+1,""))</f>
        <v/>
      </c>
    </row>
    <row r="120" customFormat="false" ht="15" hidden="false" customHeight="false" outlineLevel="0" collapsed="false">
      <c r="A120" s="8"/>
      <c r="B120" s="17"/>
      <c r="C120" s="19"/>
      <c r="D120" s="8"/>
      <c r="E120" s="18"/>
      <c r="F120" s="18"/>
      <c r="G120" s="8"/>
      <c r="H120" s="8"/>
      <c r="I120" s="8"/>
      <c r="J120" s="8"/>
      <c r="K120" s="10" t="str">
        <f aca="false">IF(A120="","",IF(ABS(SUMIFS($E$9:$E$2008,$A$9:$A$2008,A120)-SUMIFS($F$9:$F$2008,$A$9:$A$2008,A120))&lt;0.5,"Yes","No"))</f>
        <v/>
      </c>
      <c r="L120" s="10" t="str">
        <f aca="false">IF(A120="","",IF(IF(K120="No","Does not balance | ","")&amp;IF(I120="","Not approved | ",IF(UPPER(TRIM(H120))=UPPER(TRIM(I120)),"Self-approved | ",""))&amp;IF(J120="","No support | ","")&amp;IF(WEEKDAY(B120,2)&gt;5,"Weekend posting | ","")&amp;IF(COUNTIF(Settings!$A$14:$A$43,B120)&gt;0,"Holiday posting | ","")&amp;IF(B120&gt;Settings!$C$8,"Posted after close | ","")&amp;IF(OR(B120&lt;Settings!$C$6,B120&gt;Settings!$C$7),"Outside period | ","")&amp;IF(COUNTIF(Settings!$E$14:$E$43,C120&amp;"")&gt;0,"Sensitive account | ","")&amp;IF(AND(MAX(N(E120),N(F120))&gt;=Settings!$C$9,MOD(MAX(N(E120),N(F120)),Settings!$C$10)=0),"Round amount | ","")="","",LEFT(IF(K120="No","Does not balance | ","")&amp;IF(I120="","Not approved | ",IF(UPPER(TRIM(H120))=UPPER(TRIM(I120)),"Self-approved | ",""))&amp;IF(J120="","No support | ","")&amp;IF(WEEKDAY(B120,2)&gt;5,"Weekend posting | ","")&amp;IF(COUNTIF(Settings!$A$14:$A$43,B120)&gt;0,"Holiday posting | ","")&amp;IF(B120&gt;Settings!$C$8,"Posted after close | ","")&amp;IF(OR(B120&lt;Settings!$C$6,B120&gt;Settings!$C$7),"Outside period | ","")&amp;IF(COUNTIF(Settings!$E$14:$E$43,C120&amp;"")&gt;0,"Sensitive account | ","")&amp;IF(AND(MAX(N(E120),N(F120))&gt;=Settings!$C$9,MOD(MAX(N(E120),N(F120)),Settings!$C$10)=0),"Round amount | ",""),LEN(IF(K120="No","Does not balance | ","")&amp;IF(I120="","Not approved | ",IF(UPPER(TRIM(H120))=UPPER(TRIM(I120)),"Self-approved | ",""))&amp;IF(J120="","No support | ","")&amp;IF(WEEKDAY(B120,2)&gt;5,"Weekend posting | ","")&amp;IF(COUNTIF(Settings!$A$14:$A$43,B120)&gt;0,"Holiday posting | ","")&amp;IF(B120&gt;Settings!$C$8,"Posted after close | ","")&amp;IF(OR(B120&lt;Settings!$C$6,B120&gt;Settings!$C$7),"Outside period | ","")&amp;IF(COUNTIF(Settings!$E$14:$E$43,C120&amp;"")&gt;0,"Sensitive account | ","")&amp;IF(AND(MAX(N(E120),N(F120))&gt;=Settings!$C$9,MOD(MAX(N(E120),N(F120)),Settings!$C$10)=0),"Round amount | ",""))-3)))</f>
        <v/>
      </c>
      <c r="M120" s="21" t="str">
        <f aca="false">IF(A120="","",IF(COUNTIF($A$9:A120,A120)=1,MAX($M$8:M119)+1,""))</f>
        <v/>
      </c>
    </row>
    <row r="121" customFormat="false" ht="15" hidden="false" customHeight="false" outlineLevel="0" collapsed="false">
      <c r="A121" s="8"/>
      <c r="B121" s="17"/>
      <c r="C121" s="19"/>
      <c r="D121" s="8"/>
      <c r="E121" s="18"/>
      <c r="F121" s="18"/>
      <c r="G121" s="8"/>
      <c r="H121" s="8"/>
      <c r="I121" s="8"/>
      <c r="J121" s="8"/>
      <c r="K121" s="10" t="str">
        <f aca="false">IF(A121="","",IF(ABS(SUMIFS($E$9:$E$2008,$A$9:$A$2008,A121)-SUMIFS($F$9:$F$2008,$A$9:$A$2008,A121))&lt;0.5,"Yes","No"))</f>
        <v/>
      </c>
      <c r="L121" s="10" t="str">
        <f aca="false">IF(A121="","",IF(IF(K121="No","Does not balance | ","")&amp;IF(I121="","Not approved | ",IF(UPPER(TRIM(H121))=UPPER(TRIM(I121)),"Self-approved | ",""))&amp;IF(J121="","No support | ","")&amp;IF(WEEKDAY(B121,2)&gt;5,"Weekend posting | ","")&amp;IF(COUNTIF(Settings!$A$14:$A$43,B121)&gt;0,"Holiday posting | ","")&amp;IF(B121&gt;Settings!$C$8,"Posted after close | ","")&amp;IF(OR(B121&lt;Settings!$C$6,B121&gt;Settings!$C$7),"Outside period | ","")&amp;IF(COUNTIF(Settings!$E$14:$E$43,C121&amp;"")&gt;0,"Sensitive account | ","")&amp;IF(AND(MAX(N(E121),N(F121))&gt;=Settings!$C$9,MOD(MAX(N(E121),N(F121)),Settings!$C$10)=0),"Round amount | ","")="","",LEFT(IF(K121="No","Does not balance | ","")&amp;IF(I121="","Not approved | ",IF(UPPER(TRIM(H121))=UPPER(TRIM(I121)),"Self-approved | ",""))&amp;IF(J121="","No support | ","")&amp;IF(WEEKDAY(B121,2)&gt;5,"Weekend posting | ","")&amp;IF(COUNTIF(Settings!$A$14:$A$43,B121)&gt;0,"Holiday posting | ","")&amp;IF(B121&gt;Settings!$C$8,"Posted after close | ","")&amp;IF(OR(B121&lt;Settings!$C$6,B121&gt;Settings!$C$7),"Outside period | ","")&amp;IF(COUNTIF(Settings!$E$14:$E$43,C121&amp;"")&gt;0,"Sensitive account | ","")&amp;IF(AND(MAX(N(E121),N(F121))&gt;=Settings!$C$9,MOD(MAX(N(E121),N(F121)),Settings!$C$10)=0),"Round amount | ",""),LEN(IF(K121="No","Does not balance | ","")&amp;IF(I121="","Not approved | ",IF(UPPER(TRIM(H121))=UPPER(TRIM(I121)),"Self-approved | ",""))&amp;IF(J121="","No support | ","")&amp;IF(WEEKDAY(B121,2)&gt;5,"Weekend posting | ","")&amp;IF(COUNTIF(Settings!$A$14:$A$43,B121)&gt;0,"Holiday posting | ","")&amp;IF(B121&gt;Settings!$C$8,"Posted after close | ","")&amp;IF(OR(B121&lt;Settings!$C$6,B121&gt;Settings!$C$7),"Outside period | ","")&amp;IF(COUNTIF(Settings!$E$14:$E$43,C121&amp;"")&gt;0,"Sensitive account | ","")&amp;IF(AND(MAX(N(E121),N(F121))&gt;=Settings!$C$9,MOD(MAX(N(E121),N(F121)),Settings!$C$10)=0),"Round amount | ",""))-3)))</f>
        <v/>
      </c>
      <c r="M121" s="21" t="str">
        <f aca="false">IF(A121="","",IF(COUNTIF($A$9:A121,A121)=1,MAX($M$8:M120)+1,""))</f>
        <v/>
      </c>
    </row>
    <row r="122" customFormat="false" ht="15" hidden="false" customHeight="false" outlineLevel="0" collapsed="false">
      <c r="A122" s="8"/>
      <c r="B122" s="17"/>
      <c r="C122" s="19"/>
      <c r="D122" s="8"/>
      <c r="E122" s="18"/>
      <c r="F122" s="18"/>
      <c r="G122" s="8"/>
      <c r="H122" s="8"/>
      <c r="I122" s="8"/>
      <c r="J122" s="8"/>
      <c r="K122" s="10" t="str">
        <f aca="false">IF(A122="","",IF(ABS(SUMIFS($E$9:$E$2008,$A$9:$A$2008,A122)-SUMIFS($F$9:$F$2008,$A$9:$A$2008,A122))&lt;0.5,"Yes","No"))</f>
        <v/>
      </c>
      <c r="L122" s="10" t="str">
        <f aca="false">IF(A122="","",IF(IF(K122="No","Does not balance | ","")&amp;IF(I122="","Not approved | ",IF(UPPER(TRIM(H122))=UPPER(TRIM(I122)),"Self-approved | ",""))&amp;IF(J122="","No support | ","")&amp;IF(WEEKDAY(B122,2)&gt;5,"Weekend posting | ","")&amp;IF(COUNTIF(Settings!$A$14:$A$43,B122)&gt;0,"Holiday posting | ","")&amp;IF(B122&gt;Settings!$C$8,"Posted after close | ","")&amp;IF(OR(B122&lt;Settings!$C$6,B122&gt;Settings!$C$7),"Outside period | ","")&amp;IF(COUNTIF(Settings!$E$14:$E$43,C122&amp;"")&gt;0,"Sensitive account | ","")&amp;IF(AND(MAX(N(E122),N(F122))&gt;=Settings!$C$9,MOD(MAX(N(E122),N(F122)),Settings!$C$10)=0),"Round amount | ","")="","",LEFT(IF(K122="No","Does not balance | ","")&amp;IF(I122="","Not approved | ",IF(UPPER(TRIM(H122))=UPPER(TRIM(I122)),"Self-approved | ",""))&amp;IF(J122="","No support | ","")&amp;IF(WEEKDAY(B122,2)&gt;5,"Weekend posting | ","")&amp;IF(COUNTIF(Settings!$A$14:$A$43,B122)&gt;0,"Holiday posting | ","")&amp;IF(B122&gt;Settings!$C$8,"Posted after close | ","")&amp;IF(OR(B122&lt;Settings!$C$6,B122&gt;Settings!$C$7),"Outside period | ","")&amp;IF(COUNTIF(Settings!$E$14:$E$43,C122&amp;"")&gt;0,"Sensitive account | ","")&amp;IF(AND(MAX(N(E122),N(F122))&gt;=Settings!$C$9,MOD(MAX(N(E122),N(F122)),Settings!$C$10)=0),"Round amount | ",""),LEN(IF(K122="No","Does not balance | ","")&amp;IF(I122="","Not approved | ",IF(UPPER(TRIM(H122))=UPPER(TRIM(I122)),"Self-approved | ",""))&amp;IF(J122="","No support | ","")&amp;IF(WEEKDAY(B122,2)&gt;5,"Weekend posting | ","")&amp;IF(COUNTIF(Settings!$A$14:$A$43,B122)&gt;0,"Holiday posting | ","")&amp;IF(B122&gt;Settings!$C$8,"Posted after close | ","")&amp;IF(OR(B122&lt;Settings!$C$6,B122&gt;Settings!$C$7),"Outside period | ","")&amp;IF(COUNTIF(Settings!$E$14:$E$43,C122&amp;"")&gt;0,"Sensitive account | ","")&amp;IF(AND(MAX(N(E122),N(F122))&gt;=Settings!$C$9,MOD(MAX(N(E122),N(F122)),Settings!$C$10)=0),"Round amount | ",""))-3)))</f>
        <v/>
      </c>
      <c r="M122" s="21" t="str">
        <f aca="false">IF(A122="","",IF(COUNTIF($A$9:A122,A122)=1,MAX($M$8:M121)+1,""))</f>
        <v/>
      </c>
    </row>
    <row r="123" customFormat="false" ht="15" hidden="false" customHeight="false" outlineLevel="0" collapsed="false">
      <c r="A123" s="8"/>
      <c r="B123" s="17"/>
      <c r="C123" s="19"/>
      <c r="D123" s="8"/>
      <c r="E123" s="18"/>
      <c r="F123" s="18"/>
      <c r="G123" s="8"/>
      <c r="H123" s="8"/>
      <c r="I123" s="8"/>
      <c r="J123" s="8"/>
      <c r="K123" s="10" t="str">
        <f aca="false">IF(A123="","",IF(ABS(SUMIFS($E$9:$E$2008,$A$9:$A$2008,A123)-SUMIFS($F$9:$F$2008,$A$9:$A$2008,A123))&lt;0.5,"Yes","No"))</f>
        <v/>
      </c>
      <c r="L123" s="10" t="str">
        <f aca="false">IF(A123="","",IF(IF(K123="No","Does not balance | ","")&amp;IF(I123="","Not approved | ",IF(UPPER(TRIM(H123))=UPPER(TRIM(I123)),"Self-approved | ",""))&amp;IF(J123="","No support | ","")&amp;IF(WEEKDAY(B123,2)&gt;5,"Weekend posting | ","")&amp;IF(COUNTIF(Settings!$A$14:$A$43,B123)&gt;0,"Holiday posting | ","")&amp;IF(B123&gt;Settings!$C$8,"Posted after close | ","")&amp;IF(OR(B123&lt;Settings!$C$6,B123&gt;Settings!$C$7),"Outside period | ","")&amp;IF(COUNTIF(Settings!$E$14:$E$43,C123&amp;"")&gt;0,"Sensitive account | ","")&amp;IF(AND(MAX(N(E123),N(F123))&gt;=Settings!$C$9,MOD(MAX(N(E123),N(F123)),Settings!$C$10)=0),"Round amount | ","")="","",LEFT(IF(K123="No","Does not balance | ","")&amp;IF(I123="","Not approved | ",IF(UPPER(TRIM(H123))=UPPER(TRIM(I123)),"Self-approved | ",""))&amp;IF(J123="","No support | ","")&amp;IF(WEEKDAY(B123,2)&gt;5,"Weekend posting | ","")&amp;IF(COUNTIF(Settings!$A$14:$A$43,B123)&gt;0,"Holiday posting | ","")&amp;IF(B123&gt;Settings!$C$8,"Posted after close | ","")&amp;IF(OR(B123&lt;Settings!$C$6,B123&gt;Settings!$C$7),"Outside period | ","")&amp;IF(COUNTIF(Settings!$E$14:$E$43,C123&amp;"")&gt;0,"Sensitive account | ","")&amp;IF(AND(MAX(N(E123),N(F123))&gt;=Settings!$C$9,MOD(MAX(N(E123),N(F123)),Settings!$C$10)=0),"Round amount | ",""),LEN(IF(K123="No","Does not balance | ","")&amp;IF(I123="","Not approved | ",IF(UPPER(TRIM(H123))=UPPER(TRIM(I123)),"Self-approved | ",""))&amp;IF(J123="","No support | ","")&amp;IF(WEEKDAY(B123,2)&gt;5,"Weekend posting | ","")&amp;IF(COUNTIF(Settings!$A$14:$A$43,B123)&gt;0,"Holiday posting | ","")&amp;IF(B123&gt;Settings!$C$8,"Posted after close | ","")&amp;IF(OR(B123&lt;Settings!$C$6,B123&gt;Settings!$C$7),"Outside period | ","")&amp;IF(COUNTIF(Settings!$E$14:$E$43,C123&amp;"")&gt;0,"Sensitive account | ","")&amp;IF(AND(MAX(N(E123),N(F123))&gt;=Settings!$C$9,MOD(MAX(N(E123),N(F123)),Settings!$C$10)=0),"Round amount | ",""))-3)))</f>
        <v/>
      </c>
      <c r="M123" s="21" t="str">
        <f aca="false">IF(A123="","",IF(COUNTIF($A$9:A123,A123)=1,MAX($M$8:M122)+1,""))</f>
        <v/>
      </c>
    </row>
    <row r="124" customFormat="false" ht="15" hidden="false" customHeight="false" outlineLevel="0" collapsed="false">
      <c r="A124" s="8"/>
      <c r="B124" s="17"/>
      <c r="C124" s="19"/>
      <c r="D124" s="8"/>
      <c r="E124" s="18"/>
      <c r="F124" s="18"/>
      <c r="G124" s="8"/>
      <c r="H124" s="8"/>
      <c r="I124" s="8"/>
      <c r="J124" s="8"/>
      <c r="K124" s="10" t="str">
        <f aca="false">IF(A124="","",IF(ABS(SUMIFS($E$9:$E$2008,$A$9:$A$2008,A124)-SUMIFS($F$9:$F$2008,$A$9:$A$2008,A124))&lt;0.5,"Yes","No"))</f>
        <v/>
      </c>
      <c r="L124" s="10" t="str">
        <f aca="false">IF(A124="","",IF(IF(K124="No","Does not balance | ","")&amp;IF(I124="","Not approved | ",IF(UPPER(TRIM(H124))=UPPER(TRIM(I124)),"Self-approved | ",""))&amp;IF(J124="","No support | ","")&amp;IF(WEEKDAY(B124,2)&gt;5,"Weekend posting | ","")&amp;IF(COUNTIF(Settings!$A$14:$A$43,B124)&gt;0,"Holiday posting | ","")&amp;IF(B124&gt;Settings!$C$8,"Posted after close | ","")&amp;IF(OR(B124&lt;Settings!$C$6,B124&gt;Settings!$C$7),"Outside period | ","")&amp;IF(COUNTIF(Settings!$E$14:$E$43,C124&amp;"")&gt;0,"Sensitive account | ","")&amp;IF(AND(MAX(N(E124),N(F124))&gt;=Settings!$C$9,MOD(MAX(N(E124),N(F124)),Settings!$C$10)=0),"Round amount | ","")="","",LEFT(IF(K124="No","Does not balance | ","")&amp;IF(I124="","Not approved | ",IF(UPPER(TRIM(H124))=UPPER(TRIM(I124)),"Self-approved | ",""))&amp;IF(J124="","No support | ","")&amp;IF(WEEKDAY(B124,2)&gt;5,"Weekend posting | ","")&amp;IF(COUNTIF(Settings!$A$14:$A$43,B124)&gt;0,"Holiday posting | ","")&amp;IF(B124&gt;Settings!$C$8,"Posted after close | ","")&amp;IF(OR(B124&lt;Settings!$C$6,B124&gt;Settings!$C$7),"Outside period | ","")&amp;IF(COUNTIF(Settings!$E$14:$E$43,C124&amp;"")&gt;0,"Sensitive account | ","")&amp;IF(AND(MAX(N(E124),N(F124))&gt;=Settings!$C$9,MOD(MAX(N(E124),N(F124)),Settings!$C$10)=0),"Round amount | ",""),LEN(IF(K124="No","Does not balance | ","")&amp;IF(I124="","Not approved | ",IF(UPPER(TRIM(H124))=UPPER(TRIM(I124)),"Self-approved | ",""))&amp;IF(J124="","No support | ","")&amp;IF(WEEKDAY(B124,2)&gt;5,"Weekend posting | ","")&amp;IF(COUNTIF(Settings!$A$14:$A$43,B124)&gt;0,"Holiday posting | ","")&amp;IF(B124&gt;Settings!$C$8,"Posted after close | ","")&amp;IF(OR(B124&lt;Settings!$C$6,B124&gt;Settings!$C$7),"Outside period | ","")&amp;IF(COUNTIF(Settings!$E$14:$E$43,C124&amp;"")&gt;0,"Sensitive account | ","")&amp;IF(AND(MAX(N(E124),N(F124))&gt;=Settings!$C$9,MOD(MAX(N(E124),N(F124)),Settings!$C$10)=0),"Round amount | ",""))-3)))</f>
        <v/>
      </c>
      <c r="M124" s="21" t="str">
        <f aca="false">IF(A124="","",IF(COUNTIF($A$9:A124,A124)=1,MAX($M$8:M123)+1,""))</f>
        <v/>
      </c>
    </row>
    <row r="125" customFormat="false" ht="15" hidden="false" customHeight="false" outlineLevel="0" collapsed="false">
      <c r="A125" s="8"/>
      <c r="B125" s="17"/>
      <c r="C125" s="19"/>
      <c r="D125" s="8"/>
      <c r="E125" s="18"/>
      <c r="F125" s="18"/>
      <c r="G125" s="8"/>
      <c r="H125" s="8"/>
      <c r="I125" s="8"/>
      <c r="J125" s="8"/>
      <c r="K125" s="10" t="str">
        <f aca="false">IF(A125="","",IF(ABS(SUMIFS($E$9:$E$2008,$A$9:$A$2008,A125)-SUMIFS($F$9:$F$2008,$A$9:$A$2008,A125))&lt;0.5,"Yes","No"))</f>
        <v/>
      </c>
      <c r="L125" s="10" t="str">
        <f aca="false">IF(A125="","",IF(IF(K125="No","Does not balance | ","")&amp;IF(I125="","Not approved | ",IF(UPPER(TRIM(H125))=UPPER(TRIM(I125)),"Self-approved | ",""))&amp;IF(J125="","No support | ","")&amp;IF(WEEKDAY(B125,2)&gt;5,"Weekend posting | ","")&amp;IF(COUNTIF(Settings!$A$14:$A$43,B125)&gt;0,"Holiday posting | ","")&amp;IF(B125&gt;Settings!$C$8,"Posted after close | ","")&amp;IF(OR(B125&lt;Settings!$C$6,B125&gt;Settings!$C$7),"Outside period | ","")&amp;IF(COUNTIF(Settings!$E$14:$E$43,C125&amp;"")&gt;0,"Sensitive account | ","")&amp;IF(AND(MAX(N(E125),N(F125))&gt;=Settings!$C$9,MOD(MAX(N(E125),N(F125)),Settings!$C$10)=0),"Round amount | ","")="","",LEFT(IF(K125="No","Does not balance | ","")&amp;IF(I125="","Not approved | ",IF(UPPER(TRIM(H125))=UPPER(TRIM(I125)),"Self-approved | ",""))&amp;IF(J125="","No support | ","")&amp;IF(WEEKDAY(B125,2)&gt;5,"Weekend posting | ","")&amp;IF(COUNTIF(Settings!$A$14:$A$43,B125)&gt;0,"Holiday posting | ","")&amp;IF(B125&gt;Settings!$C$8,"Posted after close | ","")&amp;IF(OR(B125&lt;Settings!$C$6,B125&gt;Settings!$C$7),"Outside period | ","")&amp;IF(COUNTIF(Settings!$E$14:$E$43,C125&amp;"")&gt;0,"Sensitive account | ","")&amp;IF(AND(MAX(N(E125),N(F125))&gt;=Settings!$C$9,MOD(MAX(N(E125),N(F125)),Settings!$C$10)=0),"Round amount | ",""),LEN(IF(K125="No","Does not balance | ","")&amp;IF(I125="","Not approved | ",IF(UPPER(TRIM(H125))=UPPER(TRIM(I125)),"Self-approved | ",""))&amp;IF(J125="","No support | ","")&amp;IF(WEEKDAY(B125,2)&gt;5,"Weekend posting | ","")&amp;IF(COUNTIF(Settings!$A$14:$A$43,B125)&gt;0,"Holiday posting | ","")&amp;IF(B125&gt;Settings!$C$8,"Posted after close | ","")&amp;IF(OR(B125&lt;Settings!$C$6,B125&gt;Settings!$C$7),"Outside period | ","")&amp;IF(COUNTIF(Settings!$E$14:$E$43,C125&amp;"")&gt;0,"Sensitive account | ","")&amp;IF(AND(MAX(N(E125),N(F125))&gt;=Settings!$C$9,MOD(MAX(N(E125),N(F125)),Settings!$C$10)=0),"Round amount | ",""))-3)))</f>
        <v/>
      </c>
      <c r="M125" s="21" t="str">
        <f aca="false">IF(A125="","",IF(COUNTIF($A$9:A125,A125)=1,MAX($M$8:M124)+1,""))</f>
        <v/>
      </c>
    </row>
    <row r="126" customFormat="false" ht="15" hidden="false" customHeight="false" outlineLevel="0" collapsed="false">
      <c r="A126" s="8"/>
      <c r="B126" s="17"/>
      <c r="C126" s="19"/>
      <c r="D126" s="8"/>
      <c r="E126" s="18"/>
      <c r="F126" s="18"/>
      <c r="G126" s="8"/>
      <c r="H126" s="8"/>
      <c r="I126" s="8"/>
      <c r="J126" s="8"/>
      <c r="K126" s="10" t="str">
        <f aca="false">IF(A126="","",IF(ABS(SUMIFS($E$9:$E$2008,$A$9:$A$2008,A126)-SUMIFS($F$9:$F$2008,$A$9:$A$2008,A126))&lt;0.5,"Yes","No"))</f>
        <v/>
      </c>
      <c r="L126" s="10" t="str">
        <f aca="false">IF(A126="","",IF(IF(K126="No","Does not balance | ","")&amp;IF(I126="","Not approved | ",IF(UPPER(TRIM(H126))=UPPER(TRIM(I126)),"Self-approved | ",""))&amp;IF(J126="","No support | ","")&amp;IF(WEEKDAY(B126,2)&gt;5,"Weekend posting | ","")&amp;IF(COUNTIF(Settings!$A$14:$A$43,B126)&gt;0,"Holiday posting | ","")&amp;IF(B126&gt;Settings!$C$8,"Posted after close | ","")&amp;IF(OR(B126&lt;Settings!$C$6,B126&gt;Settings!$C$7),"Outside period | ","")&amp;IF(COUNTIF(Settings!$E$14:$E$43,C126&amp;"")&gt;0,"Sensitive account | ","")&amp;IF(AND(MAX(N(E126),N(F126))&gt;=Settings!$C$9,MOD(MAX(N(E126),N(F126)),Settings!$C$10)=0),"Round amount | ","")="","",LEFT(IF(K126="No","Does not balance | ","")&amp;IF(I126="","Not approved | ",IF(UPPER(TRIM(H126))=UPPER(TRIM(I126)),"Self-approved | ",""))&amp;IF(J126="","No support | ","")&amp;IF(WEEKDAY(B126,2)&gt;5,"Weekend posting | ","")&amp;IF(COUNTIF(Settings!$A$14:$A$43,B126)&gt;0,"Holiday posting | ","")&amp;IF(B126&gt;Settings!$C$8,"Posted after close | ","")&amp;IF(OR(B126&lt;Settings!$C$6,B126&gt;Settings!$C$7),"Outside period | ","")&amp;IF(COUNTIF(Settings!$E$14:$E$43,C126&amp;"")&gt;0,"Sensitive account | ","")&amp;IF(AND(MAX(N(E126),N(F126))&gt;=Settings!$C$9,MOD(MAX(N(E126),N(F126)),Settings!$C$10)=0),"Round amount | ",""),LEN(IF(K126="No","Does not balance | ","")&amp;IF(I126="","Not approved | ",IF(UPPER(TRIM(H126))=UPPER(TRIM(I126)),"Self-approved | ",""))&amp;IF(J126="","No support | ","")&amp;IF(WEEKDAY(B126,2)&gt;5,"Weekend posting | ","")&amp;IF(COUNTIF(Settings!$A$14:$A$43,B126)&gt;0,"Holiday posting | ","")&amp;IF(B126&gt;Settings!$C$8,"Posted after close | ","")&amp;IF(OR(B126&lt;Settings!$C$6,B126&gt;Settings!$C$7),"Outside period | ","")&amp;IF(COUNTIF(Settings!$E$14:$E$43,C126&amp;"")&gt;0,"Sensitive account | ","")&amp;IF(AND(MAX(N(E126),N(F126))&gt;=Settings!$C$9,MOD(MAX(N(E126),N(F126)),Settings!$C$10)=0),"Round amount | ",""))-3)))</f>
        <v/>
      </c>
      <c r="M126" s="21" t="str">
        <f aca="false">IF(A126="","",IF(COUNTIF($A$9:A126,A126)=1,MAX($M$8:M125)+1,""))</f>
        <v/>
      </c>
    </row>
    <row r="127" customFormat="false" ht="15" hidden="false" customHeight="false" outlineLevel="0" collapsed="false">
      <c r="A127" s="8"/>
      <c r="B127" s="17"/>
      <c r="C127" s="19"/>
      <c r="D127" s="8"/>
      <c r="E127" s="18"/>
      <c r="F127" s="18"/>
      <c r="G127" s="8"/>
      <c r="H127" s="8"/>
      <c r="I127" s="8"/>
      <c r="J127" s="8"/>
      <c r="K127" s="10" t="str">
        <f aca="false">IF(A127="","",IF(ABS(SUMIFS($E$9:$E$2008,$A$9:$A$2008,A127)-SUMIFS($F$9:$F$2008,$A$9:$A$2008,A127))&lt;0.5,"Yes","No"))</f>
        <v/>
      </c>
      <c r="L127" s="10" t="str">
        <f aca="false">IF(A127="","",IF(IF(K127="No","Does not balance | ","")&amp;IF(I127="","Not approved | ",IF(UPPER(TRIM(H127))=UPPER(TRIM(I127)),"Self-approved | ",""))&amp;IF(J127="","No support | ","")&amp;IF(WEEKDAY(B127,2)&gt;5,"Weekend posting | ","")&amp;IF(COUNTIF(Settings!$A$14:$A$43,B127)&gt;0,"Holiday posting | ","")&amp;IF(B127&gt;Settings!$C$8,"Posted after close | ","")&amp;IF(OR(B127&lt;Settings!$C$6,B127&gt;Settings!$C$7),"Outside period | ","")&amp;IF(COUNTIF(Settings!$E$14:$E$43,C127&amp;"")&gt;0,"Sensitive account | ","")&amp;IF(AND(MAX(N(E127),N(F127))&gt;=Settings!$C$9,MOD(MAX(N(E127),N(F127)),Settings!$C$10)=0),"Round amount | ","")="","",LEFT(IF(K127="No","Does not balance | ","")&amp;IF(I127="","Not approved | ",IF(UPPER(TRIM(H127))=UPPER(TRIM(I127)),"Self-approved | ",""))&amp;IF(J127="","No support | ","")&amp;IF(WEEKDAY(B127,2)&gt;5,"Weekend posting | ","")&amp;IF(COUNTIF(Settings!$A$14:$A$43,B127)&gt;0,"Holiday posting | ","")&amp;IF(B127&gt;Settings!$C$8,"Posted after close | ","")&amp;IF(OR(B127&lt;Settings!$C$6,B127&gt;Settings!$C$7),"Outside period | ","")&amp;IF(COUNTIF(Settings!$E$14:$E$43,C127&amp;"")&gt;0,"Sensitive account | ","")&amp;IF(AND(MAX(N(E127),N(F127))&gt;=Settings!$C$9,MOD(MAX(N(E127),N(F127)),Settings!$C$10)=0),"Round amount | ",""),LEN(IF(K127="No","Does not balance | ","")&amp;IF(I127="","Not approved | ",IF(UPPER(TRIM(H127))=UPPER(TRIM(I127)),"Self-approved | ",""))&amp;IF(J127="","No support | ","")&amp;IF(WEEKDAY(B127,2)&gt;5,"Weekend posting | ","")&amp;IF(COUNTIF(Settings!$A$14:$A$43,B127)&gt;0,"Holiday posting | ","")&amp;IF(B127&gt;Settings!$C$8,"Posted after close | ","")&amp;IF(OR(B127&lt;Settings!$C$6,B127&gt;Settings!$C$7),"Outside period | ","")&amp;IF(COUNTIF(Settings!$E$14:$E$43,C127&amp;"")&gt;0,"Sensitive account | ","")&amp;IF(AND(MAX(N(E127),N(F127))&gt;=Settings!$C$9,MOD(MAX(N(E127),N(F127)),Settings!$C$10)=0),"Round amount | ",""))-3)))</f>
        <v/>
      </c>
      <c r="M127" s="21" t="str">
        <f aca="false">IF(A127="","",IF(COUNTIF($A$9:A127,A127)=1,MAX($M$8:M126)+1,""))</f>
        <v/>
      </c>
    </row>
    <row r="128" customFormat="false" ht="15" hidden="false" customHeight="false" outlineLevel="0" collapsed="false">
      <c r="A128" s="8"/>
      <c r="B128" s="17"/>
      <c r="C128" s="19"/>
      <c r="D128" s="8"/>
      <c r="E128" s="18"/>
      <c r="F128" s="18"/>
      <c r="G128" s="8"/>
      <c r="H128" s="8"/>
      <c r="I128" s="8"/>
      <c r="J128" s="8"/>
      <c r="K128" s="10" t="str">
        <f aca="false">IF(A128="","",IF(ABS(SUMIFS($E$9:$E$2008,$A$9:$A$2008,A128)-SUMIFS($F$9:$F$2008,$A$9:$A$2008,A128))&lt;0.5,"Yes","No"))</f>
        <v/>
      </c>
      <c r="L128" s="10" t="str">
        <f aca="false">IF(A128="","",IF(IF(K128="No","Does not balance | ","")&amp;IF(I128="","Not approved | ",IF(UPPER(TRIM(H128))=UPPER(TRIM(I128)),"Self-approved | ",""))&amp;IF(J128="","No support | ","")&amp;IF(WEEKDAY(B128,2)&gt;5,"Weekend posting | ","")&amp;IF(COUNTIF(Settings!$A$14:$A$43,B128)&gt;0,"Holiday posting | ","")&amp;IF(B128&gt;Settings!$C$8,"Posted after close | ","")&amp;IF(OR(B128&lt;Settings!$C$6,B128&gt;Settings!$C$7),"Outside period | ","")&amp;IF(COUNTIF(Settings!$E$14:$E$43,C128&amp;"")&gt;0,"Sensitive account | ","")&amp;IF(AND(MAX(N(E128),N(F128))&gt;=Settings!$C$9,MOD(MAX(N(E128),N(F128)),Settings!$C$10)=0),"Round amount | ","")="","",LEFT(IF(K128="No","Does not balance | ","")&amp;IF(I128="","Not approved | ",IF(UPPER(TRIM(H128))=UPPER(TRIM(I128)),"Self-approved | ",""))&amp;IF(J128="","No support | ","")&amp;IF(WEEKDAY(B128,2)&gt;5,"Weekend posting | ","")&amp;IF(COUNTIF(Settings!$A$14:$A$43,B128)&gt;0,"Holiday posting | ","")&amp;IF(B128&gt;Settings!$C$8,"Posted after close | ","")&amp;IF(OR(B128&lt;Settings!$C$6,B128&gt;Settings!$C$7),"Outside period | ","")&amp;IF(COUNTIF(Settings!$E$14:$E$43,C128&amp;"")&gt;0,"Sensitive account | ","")&amp;IF(AND(MAX(N(E128),N(F128))&gt;=Settings!$C$9,MOD(MAX(N(E128),N(F128)),Settings!$C$10)=0),"Round amount | ",""),LEN(IF(K128="No","Does not balance | ","")&amp;IF(I128="","Not approved | ",IF(UPPER(TRIM(H128))=UPPER(TRIM(I128)),"Self-approved | ",""))&amp;IF(J128="","No support | ","")&amp;IF(WEEKDAY(B128,2)&gt;5,"Weekend posting | ","")&amp;IF(COUNTIF(Settings!$A$14:$A$43,B128)&gt;0,"Holiday posting | ","")&amp;IF(B128&gt;Settings!$C$8,"Posted after close | ","")&amp;IF(OR(B128&lt;Settings!$C$6,B128&gt;Settings!$C$7),"Outside period | ","")&amp;IF(COUNTIF(Settings!$E$14:$E$43,C128&amp;"")&gt;0,"Sensitive account | ","")&amp;IF(AND(MAX(N(E128),N(F128))&gt;=Settings!$C$9,MOD(MAX(N(E128),N(F128)),Settings!$C$10)=0),"Round amount | ",""))-3)))</f>
        <v/>
      </c>
      <c r="M128" s="21" t="str">
        <f aca="false">IF(A128="","",IF(COUNTIF($A$9:A128,A128)=1,MAX($M$8:M127)+1,""))</f>
        <v/>
      </c>
    </row>
    <row r="129" customFormat="false" ht="15" hidden="false" customHeight="false" outlineLevel="0" collapsed="false">
      <c r="A129" s="8"/>
      <c r="B129" s="17"/>
      <c r="C129" s="19"/>
      <c r="D129" s="8"/>
      <c r="E129" s="18"/>
      <c r="F129" s="18"/>
      <c r="G129" s="8"/>
      <c r="H129" s="8"/>
      <c r="I129" s="8"/>
      <c r="J129" s="8"/>
      <c r="K129" s="10" t="str">
        <f aca="false">IF(A129="","",IF(ABS(SUMIFS($E$9:$E$2008,$A$9:$A$2008,A129)-SUMIFS($F$9:$F$2008,$A$9:$A$2008,A129))&lt;0.5,"Yes","No"))</f>
        <v/>
      </c>
      <c r="L129" s="10" t="str">
        <f aca="false">IF(A129="","",IF(IF(K129="No","Does not balance | ","")&amp;IF(I129="","Not approved | ",IF(UPPER(TRIM(H129))=UPPER(TRIM(I129)),"Self-approved | ",""))&amp;IF(J129="","No support | ","")&amp;IF(WEEKDAY(B129,2)&gt;5,"Weekend posting | ","")&amp;IF(COUNTIF(Settings!$A$14:$A$43,B129)&gt;0,"Holiday posting | ","")&amp;IF(B129&gt;Settings!$C$8,"Posted after close | ","")&amp;IF(OR(B129&lt;Settings!$C$6,B129&gt;Settings!$C$7),"Outside period | ","")&amp;IF(COUNTIF(Settings!$E$14:$E$43,C129&amp;"")&gt;0,"Sensitive account | ","")&amp;IF(AND(MAX(N(E129),N(F129))&gt;=Settings!$C$9,MOD(MAX(N(E129),N(F129)),Settings!$C$10)=0),"Round amount | ","")="","",LEFT(IF(K129="No","Does not balance | ","")&amp;IF(I129="","Not approved | ",IF(UPPER(TRIM(H129))=UPPER(TRIM(I129)),"Self-approved | ",""))&amp;IF(J129="","No support | ","")&amp;IF(WEEKDAY(B129,2)&gt;5,"Weekend posting | ","")&amp;IF(COUNTIF(Settings!$A$14:$A$43,B129)&gt;0,"Holiday posting | ","")&amp;IF(B129&gt;Settings!$C$8,"Posted after close | ","")&amp;IF(OR(B129&lt;Settings!$C$6,B129&gt;Settings!$C$7),"Outside period | ","")&amp;IF(COUNTIF(Settings!$E$14:$E$43,C129&amp;"")&gt;0,"Sensitive account | ","")&amp;IF(AND(MAX(N(E129),N(F129))&gt;=Settings!$C$9,MOD(MAX(N(E129),N(F129)),Settings!$C$10)=0),"Round amount | ",""),LEN(IF(K129="No","Does not balance | ","")&amp;IF(I129="","Not approved | ",IF(UPPER(TRIM(H129))=UPPER(TRIM(I129)),"Self-approved | ",""))&amp;IF(J129="","No support | ","")&amp;IF(WEEKDAY(B129,2)&gt;5,"Weekend posting | ","")&amp;IF(COUNTIF(Settings!$A$14:$A$43,B129)&gt;0,"Holiday posting | ","")&amp;IF(B129&gt;Settings!$C$8,"Posted after close | ","")&amp;IF(OR(B129&lt;Settings!$C$6,B129&gt;Settings!$C$7),"Outside period | ","")&amp;IF(COUNTIF(Settings!$E$14:$E$43,C129&amp;"")&gt;0,"Sensitive account | ","")&amp;IF(AND(MAX(N(E129),N(F129))&gt;=Settings!$C$9,MOD(MAX(N(E129),N(F129)),Settings!$C$10)=0),"Round amount | ",""))-3)))</f>
        <v/>
      </c>
      <c r="M129" s="21" t="str">
        <f aca="false">IF(A129="","",IF(COUNTIF($A$9:A129,A129)=1,MAX($M$8:M128)+1,""))</f>
        <v/>
      </c>
    </row>
    <row r="130" customFormat="false" ht="15" hidden="false" customHeight="false" outlineLevel="0" collapsed="false">
      <c r="A130" s="8"/>
      <c r="B130" s="17"/>
      <c r="C130" s="19"/>
      <c r="D130" s="8"/>
      <c r="E130" s="18"/>
      <c r="F130" s="18"/>
      <c r="G130" s="8"/>
      <c r="H130" s="8"/>
      <c r="I130" s="8"/>
      <c r="J130" s="8"/>
      <c r="K130" s="10" t="str">
        <f aca="false">IF(A130="","",IF(ABS(SUMIFS($E$9:$E$2008,$A$9:$A$2008,A130)-SUMIFS($F$9:$F$2008,$A$9:$A$2008,A130))&lt;0.5,"Yes","No"))</f>
        <v/>
      </c>
      <c r="L130" s="10" t="str">
        <f aca="false">IF(A130="","",IF(IF(K130="No","Does not balance | ","")&amp;IF(I130="","Not approved | ",IF(UPPER(TRIM(H130))=UPPER(TRIM(I130)),"Self-approved | ",""))&amp;IF(J130="","No support | ","")&amp;IF(WEEKDAY(B130,2)&gt;5,"Weekend posting | ","")&amp;IF(COUNTIF(Settings!$A$14:$A$43,B130)&gt;0,"Holiday posting | ","")&amp;IF(B130&gt;Settings!$C$8,"Posted after close | ","")&amp;IF(OR(B130&lt;Settings!$C$6,B130&gt;Settings!$C$7),"Outside period | ","")&amp;IF(COUNTIF(Settings!$E$14:$E$43,C130&amp;"")&gt;0,"Sensitive account | ","")&amp;IF(AND(MAX(N(E130),N(F130))&gt;=Settings!$C$9,MOD(MAX(N(E130),N(F130)),Settings!$C$10)=0),"Round amount | ","")="","",LEFT(IF(K130="No","Does not balance | ","")&amp;IF(I130="","Not approved | ",IF(UPPER(TRIM(H130))=UPPER(TRIM(I130)),"Self-approved | ",""))&amp;IF(J130="","No support | ","")&amp;IF(WEEKDAY(B130,2)&gt;5,"Weekend posting | ","")&amp;IF(COUNTIF(Settings!$A$14:$A$43,B130)&gt;0,"Holiday posting | ","")&amp;IF(B130&gt;Settings!$C$8,"Posted after close | ","")&amp;IF(OR(B130&lt;Settings!$C$6,B130&gt;Settings!$C$7),"Outside period | ","")&amp;IF(COUNTIF(Settings!$E$14:$E$43,C130&amp;"")&gt;0,"Sensitive account | ","")&amp;IF(AND(MAX(N(E130),N(F130))&gt;=Settings!$C$9,MOD(MAX(N(E130),N(F130)),Settings!$C$10)=0),"Round amount | ",""),LEN(IF(K130="No","Does not balance | ","")&amp;IF(I130="","Not approved | ",IF(UPPER(TRIM(H130))=UPPER(TRIM(I130)),"Self-approved | ",""))&amp;IF(J130="","No support | ","")&amp;IF(WEEKDAY(B130,2)&gt;5,"Weekend posting | ","")&amp;IF(COUNTIF(Settings!$A$14:$A$43,B130)&gt;0,"Holiday posting | ","")&amp;IF(B130&gt;Settings!$C$8,"Posted after close | ","")&amp;IF(OR(B130&lt;Settings!$C$6,B130&gt;Settings!$C$7),"Outside period | ","")&amp;IF(COUNTIF(Settings!$E$14:$E$43,C130&amp;"")&gt;0,"Sensitive account | ","")&amp;IF(AND(MAX(N(E130),N(F130))&gt;=Settings!$C$9,MOD(MAX(N(E130),N(F130)),Settings!$C$10)=0),"Round amount | ",""))-3)))</f>
        <v/>
      </c>
      <c r="M130" s="21" t="str">
        <f aca="false">IF(A130="","",IF(COUNTIF($A$9:A130,A130)=1,MAX($M$8:M129)+1,""))</f>
        <v/>
      </c>
    </row>
    <row r="131" customFormat="false" ht="15" hidden="false" customHeight="false" outlineLevel="0" collapsed="false">
      <c r="A131" s="8"/>
      <c r="B131" s="17"/>
      <c r="C131" s="19"/>
      <c r="D131" s="8"/>
      <c r="E131" s="18"/>
      <c r="F131" s="18"/>
      <c r="G131" s="8"/>
      <c r="H131" s="8"/>
      <c r="I131" s="8"/>
      <c r="J131" s="8"/>
      <c r="K131" s="10" t="str">
        <f aca="false">IF(A131="","",IF(ABS(SUMIFS($E$9:$E$2008,$A$9:$A$2008,A131)-SUMIFS($F$9:$F$2008,$A$9:$A$2008,A131))&lt;0.5,"Yes","No"))</f>
        <v/>
      </c>
      <c r="L131" s="10" t="str">
        <f aca="false">IF(A131="","",IF(IF(K131="No","Does not balance | ","")&amp;IF(I131="","Not approved | ",IF(UPPER(TRIM(H131))=UPPER(TRIM(I131)),"Self-approved | ",""))&amp;IF(J131="","No support | ","")&amp;IF(WEEKDAY(B131,2)&gt;5,"Weekend posting | ","")&amp;IF(COUNTIF(Settings!$A$14:$A$43,B131)&gt;0,"Holiday posting | ","")&amp;IF(B131&gt;Settings!$C$8,"Posted after close | ","")&amp;IF(OR(B131&lt;Settings!$C$6,B131&gt;Settings!$C$7),"Outside period | ","")&amp;IF(COUNTIF(Settings!$E$14:$E$43,C131&amp;"")&gt;0,"Sensitive account | ","")&amp;IF(AND(MAX(N(E131),N(F131))&gt;=Settings!$C$9,MOD(MAX(N(E131),N(F131)),Settings!$C$10)=0),"Round amount | ","")="","",LEFT(IF(K131="No","Does not balance | ","")&amp;IF(I131="","Not approved | ",IF(UPPER(TRIM(H131))=UPPER(TRIM(I131)),"Self-approved | ",""))&amp;IF(J131="","No support | ","")&amp;IF(WEEKDAY(B131,2)&gt;5,"Weekend posting | ","")&amp;IF(COUNTIF(Settings!$A$14:$A$43,B131)&gt;0,"Holiday posting | ","")&amp;IF(B131&gt;Settings!$C$8,"Posted after close | ","")&amp;IF(OR(B131&lt;Settings!$C$6,B131&gt;Settings!$C$7),"Outside period | ","")&amp;IF(COUNTIF(Settings!$E$14:$E$43,C131&amp;"")&gt;0,"Sensitive account | ","")&amp;IF(AND(MAX(N(E131),N(F131))&gt;=Settings!$C$9,MOD(MAX(N(E131),N(F131)),Settings!$C$10)=0),"Round amount | ",""),LEN(IF(K131="No","Does not balance | ","")&amp;IF(I131="","Not approved | ",IF(UPPER(TRIM(H131))=UPPER(TRIM(I131)),"Self-approved | ",""))&amp;IF(J131="","No support | ","")&amp;IF(WEEKDAY(B131,2)&gt;5,"Weekend posting | ","")&amp;IF(COUNTIF(Settings!$A$14:$A$43,B131)&gt;0,"Holiday posting | ","")&amp;IF(B131&gt;Settings!$C$8,"Posted after close | ","")&amp;IF(OR(B131&lt;Settings!$C$6,B131&gt;Settings!$C$7),"Outside period | ","")&amp;IF(COUNTIF(Settings!$E$14:$E$43,C131&amp;"")&gt;0,"Sensitive account | ","")&amp;IF(AND(MAX(N(E131),N(F131))&gt;=Settings!$C$9,MOD(MAX(N(E131),N(F131)),Settings!$C$10)=0),"Round amount | ",""))-3)))</f>
        <v/>
      </c>
      <c r="M131" s="21" t="str">
        <f aca="false">IF(A131="","",IF(COUNTIF($A$9:A131,A131)=1,MAX($M$8:M130)+1,""))</f>
        <v/>
      </c>
    </row>
    <row r="132" customFormat="false" ht="15" hidden="false" customHeight="false" outlineLevel="0" collapsed="false">
      <c r="A132" s="8"/>
      <c r="B132" s="17"/>
      <c r="C132" s="19"/>
      <c r="D132" s="8"/>
      <c r="E132" s="18"/>
      <c r="F132" s="18"/>
      <c r="G132" s="8"/>
      <c r="H132" s="8"/>
      <c r="I132" s="8"/>
      <c r="J132" s="8"/>
      <c r="K132" s="10" t="str">
        <f aca="false">IF(A132="","",IF(ABS(SUMIFS($E$9:$E$2008,$A$9:$A$2008,A132)-SUMIFS($F$9:$F$2008,$A$9:$A$2008,A132))&lt;0.5,"Yes","No"))</f>
        <v/>
      </c>
      <c r="L132" s="10" t="str">
        <f aca="false">IF(A132="","",IF(IF(K132="No","Does not balance | ","")&amp;IF(I132="","Not approved | ",IF(UPPER(TRIM(H132))=UPPER(TRIM(I132)),"Self-approved | ",""))&amp;IF(J132="","No support | ","")&amp;IF(WEEKDAY(B132,2)&gt;5,"Weekend posting | ","")&amp;IF(COUNTIF(Settings!$A$14:$A$43,B132)&gt;0,"Holiday posting | ","")&amp;IF(B132&gt;Settings!$C$8,"Posted after close | ","")&amp;IF(OR(B132&lt;Settings!$C$6,B132&gt;Settings!$C$7),"Outside period | ","")&amp;IF(COUNTIF(Settings!$E$14:$E$43,C132&amp;"")&gt;0,"Sensitive account | ","")&amp;IF(AND(MAX(N(E132),N(F132))&gt;=Settings!$C$9,MOD(MAX(N(E132),N(F132)),Settings!$C$10)=0),"Round amount | ","")="","",LEFT(IF(K132="No","Does not balance | ","")&amp;IF(I132="","Not approved | ",IF(UPPER(TRIM(H132))=UPPER(TRIM(I132)),"Self-approved | ",""))&amp;IF(J132="","No support | ","")&amp;IF(WEEKDAY(B132,2)&gt;5,"Weekend posting | ","")&amp;IF(COUNTIF(Settings!$A$14:$A$43,B132)&gt;0,"Holiday posting | ","")&amp;IF(B132&gt;Settings!$C$8,"Posted after close | ","")&amp;IF(OR(B132&lt;Settings!$C$6,B132&gt;Settings!$C$7),"Outside period | ","")&amp;IF(COUNTIF(Settings!$E$14:$E$43,C132&amp;"")&gt;0,"Sensitive account | ","")&amp;IF(AND(MAX(N(E132),N(F132))&gt;=Settings!$C$9,MOD(MAX(N(E132),N(F132)),Settings!$C$10)=0),"Round amount | ",""),LEN(IF(K132="No","Does not balance | ","")&amp;IF(I132="","Not approved | ",IF(UPPER(TRIM(H132))=UPPER(TRIM(I132)),"Self-approved | ",""))&amp;IF(J132="","No support | ","")&amp;IF(WEEKDAY(B132,2)&gt;5,"Weekend posting | ","")&amp;IF(COUNTIF(Settings!$A$14:$A$43,B132)&gt;0,"Holiday posting | ","")&amp;IF(B132&gt;Settings!$C$8,"Posted after close | ","")&amp;IF(OR(B132&lt;Settings!$C$6,B132&gt;Settings!$C$7),"Outside period | ","")&amp;IF(COUNTIF(Settings!$E$14:$E$43,C132&amp;"")&gt;0,"Sensitive account | ","")&amp;IF(AND(MAX(N(E132),N(F132))&gt;=Settings!$C$9,MOD(MAX(N(E132),N(F132)),Settings!$C$10)=0),"Round amount | ",""))-3)))</f>
        <v/>
      </c>
      <c r="M132" s="21" t="str">
        <f aca="false">IF(A132="","",IF(COUNTIF($A$9:A132,A132)=1,MAX($M$8:M131)+1,""))</f>
        <v/>
      </c>
    </row>
    <row r="133" customFormat="false" ht="15" hidden="false" customHeight="false" outlineLevel="0" collapsed="false">
      <c r="A133" s="8"/>
      <c r="B133" s="17"/>
      <c r="C133" s="19"/>
      <c r="D133" s="8"/>
      <c r="E133" s="18"/>
      <c r="F133" s="18"/>
      <c r="G133" s="8"/>
      <c r="H133" s="8"/>
      <c r="I133" s="8"/>
      <c r="J133" s="8"/>
      <c r="K133" s="10" t="str">
        <f aca="false">IF(A133="","",IF(ABS(SUMIFS($E$9:$E$2008,$A$9:$A$2008,A133)-SUMIFS($F$9:$F$2008,$A$9:$A$2008,A133))&lt;0.5,"Yes","No"))</f>
        <v/>
      </c>
      <c r="L133" s="10" t="str">
        <f aca="false">IF(A133="","",IF(IF(K133="No","Does not balance | ","")&amp;IF(I133="","Not approved | ",IF(UPPER(TRIM(H133))=UPPER(TRIM(I133)),"Self-approved | ",""))&amp;IF(J133="","No support | ","")&amp;IF(WEEKDAY(B133,2)&gt;5,"Weekend posting | ","")&amp;IF(COUNTIF(Settings!$A$14:$A$43,B133)&gt;0,"Holiday posting | ","")&amp;IF(B133&gt;Settings!$C$8,"Posted after close | ","")&amp;IF(OR(B133&lt;Settings!$C$6,B133&gt;Settings!$C$7),"Outside period | ","")&amp;IF(COUNTIF(Settings!$E$14:$E$43,C133&amp;"")&gt;0,"Sensitive account | ","")&amp;IF(AND(MAX(N(E133),N(F133))&gt;=Settings!$C$9,MOD(MAX(N(E133),N(F133)),Settings!$C$10)=0),"Round amount | ","")="","",LEFT(IF(K133="No","Does not balance | ","")&amp;IF(I133="","Not approved | ",IF(UPPER(TRIM(H133))=UPPER(TRIM(I133)),"Self-approved | ",""))&amp;IF(J133="","No support | ","")&amp;IF(WEEKDAY(B133,2)&gt;5,"Weekend posting | ","")&amp;IF(COUNTIF(Settings!$A$14:$A$43,B133)&gt;0,"Holiday posting | ","")&amp;IF(B133&gt;Settings!$C$8,"Posted after close | ","")&amp;IF(OR(B133&lt;Settings!$C$6,B133&gt;Settings!$C$7),"Outside period | ","")&amp;IF(COUNTIF(Settings!$E$14:$E$43,C133&amp;"")&gt;0,"Sensitive account | ","")&amp;IF(AND(MAX(N(E133),N(F133))&gt;=Settings!$C$9,MOD(MAX(N(E133),N(F133)),Settings!$C$10)=0),"Round amount | ",""),LEN(IF(K133="No","Does not balance | ","")&amp;IF(I133="","Not approved | ",IF(UPPER(TRIM(H133))=UPPER(TRIM(I133)),"Self-approved | ",""))&amp;IF(J133="","No support | ","")&amp;IF(WEEKDAY(B133,2)&gt;5,"Weekend posting | ","")&amp;IF(COUNTIF(Settings!$A$14:$A$43,B133)&gt;0,"Holiday posting | ","")&amp;IF(B133&gt;Settings!$C$8,"Posted after close | ","")&amp;IF(OR(B133&lt;Settings!$C$6,B133&gt;Settings!$C$7),"Outside period | ","")&amp;IF(COUNTIF(Settings!$E$14:$E$43,C133&amp;"")&gt;0,"Sensitive account | ","")&amp;IF(AND(MAX(N(E133),N(F133))&gt;=Settings!$C$9,MOD(MAX(N(E133),N(F133)),Settings!$C$10)=0),"Round amount | ",""))-3)))</f>
        <v/>
      </c>
      <c r="M133" s="21" t="str">
        <f aca="false">IF(A133="","",IF(COUNTIF($A$9:A133,A133)=1,MAX($M$8:M132)+1,""))</f>
        <v/>
      </c>
    </row>
    <row r="134" customFormat="false" ht="15" hidden="false" customHeight="false" outlineLevel="0" collapsed="false">
      <c r="A134" s="8"/>
      <c r="B134" s="17"/>
      <c r="C134" s="19"/>
      <c r="D134" s="8"/>
      <c r="E134" s="18"/>
      <c r="F134" s="18"/>
      <c r="G134" s="8"/>
      <c r="H134" s="8"/>
      <c r="I134" s="8"/>
      <c r="J134" s="8"/>
      <c r="K134" s="10" t="str">
        <f aca="false">IF(A134="","",IF(ABS(SUMIFS($E$9:$E$2008,$A$9:$A$2008,A134)-SUMIFS($F$9:$F$2008,$A$9:$A$2008,A134))&lt;0.5,"Yes","No"))</f>
        <v/>
      </c>
      <c r="L134" s="10" t="str">
        <f aca="false">IF(A134="","",IF(IF(K134="No","Does not balance | ","")&amp;IF(I134="","Not approved | ",IF(UPPER(TRIM(H134))=UPPER(TRIM(I134)),"Self-approved | ",""))&amp;IF(J134="","No support | ","")&amp;IF(WEEKDAY(B134,2)&gt;5,"Weekend posting | ","")&amp;IF(COUNTIF(Settings!$A$14:$A$43,B134)&gt;0,"Holiday posting | ","")&amp;IF(B134&gt;Settings!$C$8,"Posted after close | ","")&amp;IF(OR(B134&lt;Settings!$C$6,B134&gt;Settings!$C$7),"Outside period | ","")&amp;IF(COUNTIF(Settings!$E$14:$E$43,C134&amp;"")&gt;0,"Sensitive account | ","")&amp;IF(AND(MAX(N(E134),N(F134))&gt;=Settings!$C$9,MOD(MAX(N(E134),N(F134)),Settings!$C$10)=0),"Round amount | ","")="","",LEFT(IF(K134="No","Does not balance | ","")&amp;IF(I134="","Not approved | ",IF(UPPER(TRIM(H134))=UPPER(TRIM(I134)),"Self-approved | ",""))&amp;IF(J134="","No support | ","")&amp;IF(WEEKDAY(B134,2)&gt;5,"Weekend posting | ","")&amp;IF(COUNTIF(Settings!$A$14:$A$43,B134)&gt;0,"Holiday posting | ","")&amp;IF(B134&gt;Settings!$C$8,"Posted after close | ","")&amp;IF(OR(B134&lt;Settings!$C$6,B134&gt;Settings!$C$7),"Outside period | ","")&amp;IF(COUNTIF(Settings!$E$14:$E$43,C134&amp;"")&gt;0,"Sensitive account | ","")&amp;IF(AND(MAX(N(E134),N(F134))&gt;=Settings!$C$9,MOD(MAX(N(E134),N(F134)),Settings!$C$10)=0),"Round amount | ",""),LEN(IF(K134="No","Does not balance | ","")&amp;IF(I134="","Not approved | ",IF(UPPER(TRIM(H134))=UPPER(TRIM(I134)),"Self-approved | ",""))&amp;IF(J134="","No support | ","")&amp;IF(WEEKDAY(B134,2)&gt;5,"Weekend posting | ","")&amp;IF(COUNTIF(Settings!$A$14:$A$43,B134)&gt;0,"Holiday posting | ","")&amp;IF(B134&gt;Settings!$C$8,"Posted after close | ","")&amp;IF(OR(B134&lt;Settings!$C$6,B134&gt;Settings!$C$7),"Outside period | ","")&amp;IF(COUNTIF(Settings!$E$14:$E$43,C134&amp;"")&gt;0,"Sensitive account | ","")&amp;IF(AND(MAX(N(E134),N(F134))&gt;=Settings!$C$9,MOD(MAX(N(E134),N(F134)),Settings!$C$10)=0),"Round amount | ",""))-3)))</f>
        <v/>
      </c>
      <c r="M134" s="21" t="str">
        <f aca="false">IF(A134="","",IF(COUNTIF($A$9:A134,A134)=1,MAX($M$8:M133)+1,""))</f>
        <v/>
      </c>
    </row>
    <row r="135" customFormat="false" ht="15" hidden="false" customHeight="false" outlineLevel="0" collapsed="false">
      <c r="A135" s="8"/>
      <c r="B135" s="17"/>
      <c r="C135" s="19"/>
      <c r="D135" s="8"/>
      <c r="E135" s="18"/>
      <c r="F135" s="18"/>
      <c r="G135" s="8"/>
      <c r="H135" s="8"/>
      <c r="I135" s="8"/>
      <c r="J135" s="8"/>
      <c r="K135" s="10" t="str">
        <f aca="false">IF(A135="","",IF(ABS(SUMIFS($E$9:$E$2008,$A$9:$A$2008,A135)-SUMIFS($F$9:$F$2008,$A$9:$A$2008,A135))&lt;0.5,"Yes","No"))</f>
        <v/>
      </c>
      <c r="L135" s="10" t="str">
        <f aca="false">IF(A135="","",IF(IF(K135="No","Does not balance | ","")&amp;IF(I135="","Not approved | ",IF(UPPER(TRIM(H135))=UPPER(TRIM(I135)),"Self-approved | ",""))&amp;IF(J135="","No support | ","")&amp;IF(WEEKDAY(B135,2)&gt;5,"Weekend posting | ","")&amp;IF(COUNTIF(Settings!$A$14:$A$43,B135)&gt;0,"Holiday posting | ","")&amp;IF(B135&gt;Settings!$C$8,"Posted after close | ","")&amp;IF(OR(B135&lt;Settings!$C$6,B135&gt;Settings!$C$7),"Outside period | ","")&amp;IF(COUNTIF(Settings!$E$14:$E$43,C135&amp;"")&gt;0,"Sensitive account | ","")&amp;IF(AND(MAX(N(E135),N(F135))&gt;=Settings!$C$9,MOD(MAX(N(E135),N(F135)),Settings!$C$10)=0),"Round amount | ","")="","",LEFT(IF(K135="No","Does not balance | ","")&amp;IF(I135="","Not approved | ",IF(UPPER(TRIM(H135))=UPPER(TRIM(I135)),"Self-approved | ",""))&amp;IF(J135="","No support | ","")&amp;IF(WEEKDAY(B135,2)&gt;5,"Weekend posting | ","")&amp;IF(COUNTIF(Settings!$A$14:$A$43,B135)&gt;0,"Holiday posting | ","")&amp;IF(B135&gt;Settings!$C$8,"Posted after close | ","")&amp;IF(OR(B135&lt;Settings!$C$6,B135&gt;Settings!$C$7),"Outside period | ","")&amp;IF(COUNTIF(Settings!$E$14:$E$43,C135&amp;"")&gt;0,"Sensitive account | ","")&amp;IF(AND(MAX(N(E135),N(F135))&gt;=Settings!$C$9,MOD(MAX(N(E135),N(F135)),Settings!$C$10)=0),"Round amount | ",""),LEN(IF(K135="No","Does not balance | ","")&amp;IF(I135="","Not approved | ",IF(UPPER(TRIM(H135))=UPPER(TRIM(I135)),"Self-approved | ",""))&amp;IF(J135="","No support | ","")&amp;IF(WEEKDAY(B135,2)&gt;5,"Weekend posting | ","")&amp;IF(COUNTIF(Settings!$A$14:$A$43,B135)&gt;0,"Holiday posting | ","")&amp;IF(B135&gt;Settings!$C$8,"Posted after close | ","")&amp;IF(OR(B135&lt;Settings!$C$6,B135&gt;Settings!$C$7),"Outside period | ","")&amp;IF(COUNTIF(Settings!$E$14:$E$43,C135&amp;"")&gt;0,"Sensitive account | ","")&amp;IF(AND(MAX(N(E135),N(F135))&gt;=Settings!$C$9,MOD(MAX(N(E135),N(F135)),Settings!$C$10)=0),"Round amount | ",""))-3)))</f>
        <v/>
      </c>
      <c r="M135" s="21" t="str">
        <f aca="false">IF(A135="","",IF(COUNTIF($A$9:A135,A135)=1,MAX($M$8:M134)+1,""))</f>
        <v/>
      </c>
    </row>
    <row r="136" customFormat="false" ht="15" hidden="false" customHeight="false" outlineLevel="0" collapsed="false">
      <c r="A136" s="8"/>
      <c r="B136" s="17"/>
      <c r="C136" s="19"/>
      <c r="D136" s="8"/>
      <c r="E136" s="18"/>
      <c r="F136" s="18"/>
      <c r="G136" s="8"/>
      <c r="H136" s="8"/>
      <c r="I136" s="8"/>
      <c r="J136" s="8"/>
      <c r="K136" s="10" t="str">
        <f aca="false">IF(A136="","",IF(ABS(SUMIFS($E$9:$E$2008,$A$9:$A$2008,A136)-SUMIFS($F$9:$F$2008,$A$9:$A$2008,A136))&lt;0.5,"Yes","No"))</f>
        <v/>
      </c>
      <c r="L136" s="10" t="str">
        <f aca="false">IF(A136="","",IF(IF(K136="No","Does not balance | ","")&amp;IF(I136="","Not approved | ",IF(UPPER(TRIM(H136))=UPPER(TRIM(I136)),"Self-approved | ",""))&amp;IF(J136="","No support | ","")&amp;IF(WEEKDAY(B136,2)&gt;5,"Weekend posting | ","")&amp;IF(COUNTIF(Settings!$A$14:$A$43,B136)&gt;0,"Holiday posting | ","")&amp;IF(B136&gt;Settings!$C$8,"Posted after close | ","")&amp;IF(OR(B136&lt;Settings!$C$6,B136&gt;Settings!$C$7),"Outside period | ","")&amp;IF(COUNTIF(Settings!$E$14:$E$43,C136&amp;"")&gt;0,"Sensitive account | ","")&amp;IF(AND(MAX(N(E136),N(F136))&gt;=Settings!$C$9,MOD(MAX(N(E136),N(F136)),Settings!$C$10)=0),"Round amount | ","")="","",LEFT(IF(K136="No","Does not balance | ","")&amp;IF(I136="","Not approved | ",IF(UPPER(TRIM(H136))=UPPER(TRIM(I136)),"Self-approved | ",""))&amp;IF(J136="","No support | ","")&amp;IF(WEEKDAY(B136,2)&gt;5,"Weekend posting | ","")&amp;IF(COUNTIF(Settings!$A$14:$A$43,B136)&gt;0,"Holiday posting | ","")&amp;IF(B136&gt;Settings!$C$8,"Posted after close | ","")&amp;IF(OR(B136&lt;Settings!$C$6,B136&gt;Settings!$C$7),"Outside period | ","")&amp;IF(COUNTIF(Settings!$E$14:$E$43,C136&amp;"")&gt;0,"Sensitive account | ","")&amp;IF(AND(MAX(N(E136),N(F136))&gt;=Settings!$C$9,MOD(MAX(N(E136),N(F136)),Settings!$C$10)=0),"Round amount | ",""),LEN(IF(K136="No","Does not balance | ","")&amp;IF(I136="","Not approved | ",IF(UPPER(TRIM(H136))=UPPER(TRIM(I136)),"Self-approved | ",""))&amp;IF(J136="","No support | ","")&amp;IF(WEEKDAY(B136,2)&gt;5,"Weekend posting | ","")&amp;IF(COUNTIF(Settings!$A$14:$A$43,B136)&gt;0,"Holiday posting | ","")&amp;IF(B136&gt;Settings!$C$8,"Posted after close | ","")&amp;IF(OR(B136&lt;Settings!$C$6,B136&gt;Settings!$C$7),"Outside period | ","")&amp;IF(COUNTIF(Settings!$E$14:$E$43,C136&amp;"")&gt;0,"Sensitive account | ","")&amp;IF(AND(MAX(N(E136),N(F136))&gt;=Settings!$C$9,MOD(MAX(N(E136),N(F136)),Settings!$C$10)=0),"Round amount | ",""))-3)))</f>
        <v/>
      </c>
      <c r="M136" s="21" t="str">
        <f aca="false">IF(A136="","",IF(COUNTIF($A$9:A136,A136)=1,MAX($M$8:M135)+1,""))</f>
        <v/>
      </c>
    </row>
    <row r="137" customFormat="false" ht="15" hidden="false" customHeight="false" outlineLevel="0" collapsed="false">
      <c r="A137" s="8"/>
      <c r="B137" s="17"/>
      <c r="C137" s="19"/>
      <c r="D137" s="8"/>
      <c r="E137" s="18"/>
      <c r="F137" s="18"/>
      <c r="G137" s="8"/>
      <c r="H137" s="8"/>
      <c r="I137" s="8"/>
      <c r="J137" s="8"/>
      <c r="K137" s="10" t="str">
        <f aca="false">IF(A137="","",IF(ABS(SUMIFS($E$9:$E$2008,$A$9:$A$2008,A137)-SUMIFS($F$9:$F$2008,$A$9:$A$2008,A137))&lt;0.5,"Yes","No"))</f>
        <v/>
      </c>
      <c r="L137" s="10" t="str">
        <f aca="false">IF(A137="","",IF(IF(K137="No","Does not balance | ","")&amp;IF(I137="","Not approved | ",IF(UPPER(TRIM(H137))=UPPER(TRIM(I137)),"Self-approved | ",""))&amp;IF(J137="","No support | ","")&amp;IF(WEEKDAY(B137,2)&gt;5,"Weekend posting | ","")&amp;IF(COUNTIF(Settings!$A$14:$A$43,B137)&gt;0,"Holiday posting | ","")&amp;IF(B137&gt;Settings!$C$8,"Posted after close | ","")&amp;IF(OR(B137&lt;Settings!$C$6,B137&gt;Settings!$C$7),"Outside period | ","")&amp;IF(COUNTIF(Settings!$E$14:$E$43,C137&amp;"")&gt;0,"Sensitive account | ","")&amp;IF(AND(MAX(N(E137),N(F137))&gt;=Settings!$C$9,MOD(MAX(N(E137),N(F137)),Settings!$C$10)=0),"Round amount | ","")="","",LEFT(IF(K137="No","Does not balance | ","")&amp;IF(I137="","Not approved | ",IF(UPPER(TRIM(H137))=UPPER(TRIM(I137)),"Self-approved | ",""))&amp;IF(J137="","No support | ","")&amp;IF(WEEKDAY(B137,2)&gt;5,"Weekend posting | ","")&amp;IF(COUNTIF(Settings!$A$14:$A$43,B137)&gt;0,"Holiday posting | ","")&amp;IF(B137&gt;Settings!$C$8,"Posted after close | ","")&amp;IF(OR(B137&lt;Settings!$C$6,B137&gt;Settings!$C$7),"Outside period | ","")&amp;IF(COUNTIF(Settings!$E$14:$E$43,C137&amp;"")&gt;0,"Sensitive account | ","")&amp;IF(AND(MAX(N(E137),N(F137))&gt;=Settings!$C$9,MOD(MAX(N(E137),N(F137)),Settings!$C$10)=0),"Round amount | ",""),LEN(IF(K137="No","Does not balance | ","")&amp;IF(I137="","Not approved | ",IF(UPPER(TRIM(H137))=UPPER(TRIM(I137)),"Self-approved | ",""))&amp;IF(J137="","No support | ","")&amp;IF(WEEKDAY(B137,2)&gt;5,"Weekend posting | ","")&amp;IF(COUNTIF(Settings!$A$14:$A$43,B137)&gt;0,"Holiday posting | ","")&amp;IF(B137&gt;Settings!$C$8,"Posted after close | ","")&amp;IF(OR(B137&lt;Settings!$C$6,B137&gt;Settings!$C$7),"Outside period | ","")&amp;IF(COUNTIF(Settings!$E$14:$E$43,C137&amp;"")&gt;0,"Sensitive account | ","")&amp;IF(AND(MAX(N(E137),N(F137))&gt;=Settings!$C$9,MOD(MAX(N(E137),N(F137)),Settings!$C$10)=0),"Round amount | ",""))-3)))</f>
        <v/>
      </c>
      <c r="M137" s="21" t="str">
        <f aca="false">IF(A137="","",IF(COUNTIF($A$9:A137,A137)=1,MAX($M$8:M136)+1,""))</f>
        <v/>
      </c>
    </row>
    <row r="138" customFormat="false" ht="15" hidden="false" customHeight="false" outlineLevel="0" collapsed="false">
      <c r="A138" s="8"/>
      <c r="B138" s="17"/>
      <c r="C138" s="19"/>
      <c r="D138" s="8"/>
      <c r="E138" s="18"/>
      <c r="F138" s="18"/>
      <c r="G138" s="8"/>
      <c r="H138" s="8"/>
      <c r="I138" s="8"/>
      <c r="J138" s="8"/>
      <c r="K138" s="10" t="str">
        <f aca="false">IF(A138="","",IF(ABS(SUMIFS($E$9:$E$2008,$A$9:$A$2008,A138)-SUMIFS($F$9:$F$2008,$A$9:$A$2008,A138))&lt;0.5,"Yes","No"))</f>
        <v/>
      </c>
      <c r="L138" s="10" t="str">
        <f aca="false">IF(A138="","",IF(IF(K138="No","Does not balance | ","")&amp;IF(I138="","Not approved | ",IF(UPPER(TRIM(H138))=UPPER(TRIM(I138)),"Self-approved | ",""))&amp;IF(J138="","No support | ","")&amp;IF(WEEKDAY(B138,2)&gt;5,"Weekend posting | ","")&amp;IF(COUNTIF(Settings!$A$14:$A$43,B138)&gt;0,"Holiday posting | ","")&amp;IF(B138&gt;Settings!$C$8,"Posted after close | ","")&amp;IF(OR(B138&lt;Settings!$C$6,B138&gt;Settings!$C$7),"Outside period | ","")&amp;IF(COUNTIF(Settings!$E$14:$E$43,C138&amp;"")&gt;0,"Sensitive account | ","")&amp;IF(AND(MAX(N(E138),N(F138))&gt;=Settings!$C$9,MOD(MAX(N(E138),N(F138)),Settings!$C$10)=0),"Round amount | ","")="","",LEFT(IF(K138="No","Does not balance | ","")&amp;IF(I138="","Not approved | ",IF(UPPER(TRIM(H138))=UPPER(TRIM(I138)),"Self-approved | ",""))&amp;IF(J138="","No support | ","")&amp;IF(WEEKDAY(B138,2)&gt;5,"Weekend posting | ","")&amp;IF(COUNTIF(Settings!$A$14:$A$43,B138)&gt;0,"Holiday posting | ","")&amp;IF(B138&gt;Settings!$C$8,"Posted after close | ","")&amp;IF(OR(B138&lt;Settings!$C$6,B138&gt;Settings!$C$7),"Outside period | ","")&amp;IF(COUNTIF(Settings!$E$14:$E$43,C138&amp;"")&gt;0,"Sensitive account | ","")&amp;IF(AND(MAX(N(E138),N(F138))&gt;=Settings!$C$9,MOD(MAX(N(E138),N(F138)),Settings!$C$10)=0),"Round amount | ",""),LEN(IF(K138="No","Does not balance | ","")&amp;IF(I138="","Not approved | ",IF(UPPER(TRIM(H138))=UPPER(TRIM(I138)),"Self-approved | ",""))&amp;IF(J138="","No support | ","")&amp;IF(WEEKDAY(B138,2)&gt;5,"Weekend posting | ","")&amp;IF(COUNTIF(Settings!$A$14:$A$43,B138)&gt;0,"Holiday posting | ","")&amp;IF(B138&gt;Settings!$C$8,"Posted after close | ","")&amp;IF(OR(B138&lt;Settings!$C$6,B138&gt;Settings!$C$7),"Outside period | ","")&amp;IF(COUNTIF(Settings!$E$14:$E$43,C138&amp;"")&gt;0,"Sensitive account | ","")&amp;IF(AND(MAX(N(E138),N(F138))&gt;=Settings!$C$9,MOD(MAX(N(E138),N(F138)),Settings!$C$10)=0),"Round amount | ",""))-3)))</f>
        <v/>
      </c>
      <c r="M138" s="21" t="str">
        <f aca="false">IF(A138="","",IF(COUNTIF($A$9:A138,A138)=1,MAX($M$8:M137)+1,""))</f>
        <v/>
      </c>
    </row>
    <row r="139" customFormat="false" ht="15" hidden="false" customHeight="false" outlineLevel="0" collapsed="false">
      <c r="A139" s="8"/>
      <c r="B139" s="17"/>
      <c r="C139" s="19"/>
      <c r="D139" s="8"/>
      <c r="E139" s="18"/>
      <c r="F139" s="18"/>
      <c r="G139" s="8"/>
      <c r="H139" s="8"/>
      <c r="I139" s="8"/>
      <c r="J139" s="8"/>
      <c r="K139" s="10" t="str">
        <f aca="false">IF(A139="","",IF(ABS(SUMIFS($E$9:$E$2008,$A$9:$A$2008,A139)-SUMIFS($F$9:$F$2008,$A$9:$A$2008,A139))&lt;0.5,"Yes","No"))</f>
        <v/>
      </c>
      <c r="L139" s="10" t="str">
        <f aca="false">IF(A139="","",IF(IF(K139="No","Does not balance | ","")&amp;IF(I139="","Not approved | ",IF(UPPER(TRIM(H139))=UPPER(TRIM(I139)),"Self-approved | ",""))&amp;IF(J139="","No support | ","")&amp;IF(WEEKDAY(B139,2)&gt;5,"Weekend posting | ","")&amp;IF(COUNTIF(Settings!$A$14:$A$43,B139)&gt;0,"Holiday posting | ","")&amp;IF(B139&gt;Settings!$C$8,"Posted after close | ","")&amp;IF(OR(B139&lt;Settings!$C$6,B139&gt;Settings!$C$7),"Outside period | ","")&amp;IF(COUNTIF(Settings!$E$14:$E$43,C139&amp;"")&gt;0,"Sensitive account | ","")&amp;IF(AND(MAX(N(E139),N(F139))&gt;=Settings!$C$9,MOD(MAX(N(E139),N(F139)),Settings!$C$10)=0),"Round amount | ","")="","",LEFT(IF(K139="No","Does not balance | ","")&amp;IF(I139="","Not approved | ",IF(UPPER(TRIM(H139))=UPPER(TRIM(I139)),"Self-approved | ",""))&amp;IF(J139="","No support | ","")&amp;IF(WEEKDAY(B139,2)&gt;5,"Weekend posting | ","")&amp;IF(COUNTIF(Settings!$A$14:$A$43,B139)&gt;0,"Holiday posting | ","")&amp;IF(B139&gt;Settings!$C$8,"Posted after close | ","")&amp;IF(OR(B139&lt;Settings!$C$6,B139&gt;Settings!$C$7),"Outside period | ","")&amp;IF(COUNTIF(Settings!$E$14:$E$43,C139&amp;"")&gt;0,"Sensitive account | ","")&amp;IF(AND(MAX(N(E139),N(F139))&gt;=Settings!$C$9,MOD(MAX(N(E139),N(F139)),Settings!$C$10)=0),"Round amount | ",""),LEN(IF(K139="No","Does not balance | ","")&amp;IF(I139="","Not approved | ",IF(UPPER(TRIM(H139))=UPPER(TRIM(I139)),"Self-approved | ",""))&amp;IF(J139="","No support | ","")&amp;IF(WEEKDAY(B139,2)&gt;5,"Weekend posting | ","")&amp;IF(COUNTIF(Settings!$A$14:$A$43,B139)&gt;0,"Holiday posting | ","")&amp;IF(B139&gt;Settings!$C$8,"Posted after close | ","")&amp;IF(OR(B139&lt;Settings!$C$6,B139&gt;Settings!$C$7),"Outside period | ","")&amp;IF(COUNTIF(Settings!$E$14:$E$43,C139&amp;"")&gt;0,"Sensitive account | ","")&amp;IF(AND(MAX(N(E139),N(F139))&gt;=Settings!$C$9,MOD(MAX(N(E139),N(F139)),Settings!$C$10)=0),"Round amount | ",""))-3)))</f>
        <v/>
      </c>
      <c r="M139" s="21" t="str">
        <f aca="false">IF(A139="","",IF(COUNTIF($A$9:A139,A139)=1,MAX($M$8:M138)+1,""))</f>
        <v/>
      </c>
    </row>
    <row r="140" customFormat="false" ht="15" hidden="false" customHeight="false" outlineLevel="0" collapsed="false">
      <c r="A140" s="8"/>
      <c r="B140" s="17"/>
      <c r="C140" s="19"/>
      <c r="D140" s="8"/>
      <c r="E140" s="18"/>
      <c r="F140" s="18"/>
      <c r="G140" s="8"/>
      <c r="H140" s="8"/>
      <c r="I140" s="8"/>
      <c r="J140" s="8"/>
      <c r="K140" s="10" t="str">
        <f aca="false">IF(A140="","",IF(ABS(SUMIFS($E$9:$E$2008,$A$9:$A$2008,A140)-SUMIFS($F$9:$F$2008,$A$9:$A$2008,A140))&lt;0.5,"Yes","No"))</f>
        <v/>
      </c>
      <c r="L140" s="10" t="str">
        <f aca="false">IF(A140="","",IF(IF(K140="No","Does not balance | ","")&amp;IF(I140="","Not approved | ",IF(UPPER(TRIM(H140))=UPPER(TRIM(I140)),"Self-approved | ",""))&amp;IF(J140="","No support | ","")&amp;IF(WEEKDAY(B140,2)&gt;5,"Weekend posting | ","")&amp;IF(COUNTIF(Settings!$A$14:$A$43,B140)&gt;0,"Holiday posting | ","")&amp;IF(B140&gt;Settings!$C$8,"Posted after close | ","")&amp;IF(OR(B140&lt;Settings!$C$6,B140&gt;Settings!$C$7),"Outside period | ","")&amp;IF(COUNTIF(Settings!$E$14:$E$43,C140&amp;"")&gt;0,"Sensitive account | ","")&amp;IF(AND(MAX(N(E140),N(F140))&gt;=Settings!$C$9,MOD(MAX(N(E140),N(F140)),Settings!$C$10)=0),"Round amount | ","")="","",LEFT(IF(K140="No","Does not balance | ","")&amp;IF(I140="","Not approved | ",IF(UPPER(TRIM(H140))=UPPER(TRIM(I140)),"Self-approved | ",""))&amp;IF(J140="","No support | ","")&amp;IF(WEEKDAY(B140,2)&gt;5,"Weekend posting | ","")&amp;IF(COUNTIF(Settings!$A$14:$A$43,B140)&gt;0,"Holiday posting | ","")&amp;IF(B140&gt;Settings!$C$8,"Posted after close | ","")&amp;IF(OR(B140&lt;Settings!$C$6,B140&gt;Settings!$C$7),"Outside period | ","")&amp;IF(COUNTIF(Settings!$E$14:$E$43,C140&amp;"")&gt;0,"Sensitive account | ","")&amp;IF(AND(MAX(N(E140),N(F140))&gt;=Settings!$C$9,MOD(MAX(N(E140),N(F140)),Settings!$C$10)=0),"Round amount | ",""),LEN(IF(K140="No","Does not balance | ","")&amp;IF(I140="","Not approved | ",IF(UPPER(TRIM(H140))=UPPER(TRIM(I140)),"Self-approved | ",""))&amp;IF(J140="","No support | ","")&amp;IF(WEEKDAY(B140,2)&gt;5,"Weekend posting | ","")&amp;IF(COUNTIF(Settings!$A$14:$A$43,B140)&gt;0,"Holiday posting | ","")&amp;IF(B140&gt;Settings!$C$8,"Posted after close | ","")&amp;IF(OR(B140&lt;Settings!$C$6,B140&gt;Settings!$C$7),"Outside period | ","")&amp;IF(COUNTIF(Settings!$E$14:$E$43,C140&amp;"")&gt;0,"Sensitive account | ","")&amp;IF(AND(MAX(N(E140),N(F140))&gt;=Settings!$C$9,MOD(MAX(N(E140),N(F140)),Settings!$C$10)=0),"Round amount | ",""))-3)))</f>
        <v/>
      </c>
      <c r="M140" s="21" t="str">
        <f aca="false">IF(A140="","",IF(COUNTIF($A$9:A140,A140)=1,MAX($M$8:M139)+1,""))</f>
        <v/>
      </c>
    </row>
    <row r="141" customFormat="false" ht="15" hidden="false" customHeight="false" outlineLevel="0" collapsed="false">
      <c r="A141" s="8"/>
      <c r="B141" s="17"/>
      <c r="C141" s="19"/>
      <c r="D141" s="8"/>
      <c r="E141" s="18"/>
      <c r="F141" s="18"/>
      <c r="G141" s="8"/>
      <c r="H141" s="8"/>
      <c r="I141" s="8"/>
      <c r="J141" s="8"/>
      <c r="K141" s="10" t="str">
        <f aca="false">IF(A141="","",IF(ABS(SUMIFS($E$9:$E$2008,$A$9:$A$2008,A141)-SUMIFS($F$9:$F$2008,$A$9:$A$2008,A141))&lt;0.5,"Yes","No"))</f>
        <v/>
      </c>
      <c r="L141" s="10" t="str">
        <f aca="false">IF(A141="","",IF(IF(K141="No","Does not balance | ","")&amp;IF(I141="","Not approved | ",IF(UPPER(TRIM(H141))=UPPER(TRIM(I141)),"Self-approved | ",""))&amp;IF(J141="","No support | ","")&amp;IF(WEEKDAY(B141,2)&gt;5,"Weekend posting | ","")&amp;IF(COUNTIF(Settings!$A$14:$A$43,B141)&gt;0,"Holiday posting | ","")&amp;IF(B141&gt;Settings!$C$8,"Posted after close | ","")&amp;IF(OR(B141&lt;Settings!$C$6,B141&gt;Settings!$C$7),"Outside period | ","")&amp;IF(COUNTIF(Settings!$E$14:$E$43,C141&amp;"")&gt;0,"Sensitive account | ","")&amp;IF(AND(MAX(N(E141),N(F141))&gt;=Settings!$C$9,MOD(MAX(N(E141),N(F141)),Settings!$C$10)=0),"Round amount | ","")="","",LEFT(IF(K141="No","Does not balance | ","")&amp;IF(I141="","Not approved | ",IF(UPPER(TRIM(H141))=UPPER(TRIM(I141)),"Self-approved | ",""))&amp;IF(J141="","No support | ","")&amp;IF(WEEKDAY(B141,2)&gt;5,"Weekend posting | ","")&amp;IF(COUNTIF(Settings!$A$14:$A$43,B141)&gt;0,"Holiday posting | ","")&amp;IF(B141&gt;Settings!$C$8,"Posted after close | ","")&amp;IF(OR(B141&lt;Settings!$C$6,B141&gt;Settings!$C$7),"Outside period | ","")&amp;IF(COUNTIF(Settings!$E$14:$E$43,C141&amp;"")&gt;0,"Sensitive account | ","")&amp;IF(AND(MAX(N(E141),N(F141))&gt;=Settings!$C$9,MOD(MAX(N(E141),N(F141)),Settings!$C$10)=0),"Round amount | ",""),LEN(IF(K141="No","Does not balance | ","")&amp;IF(I141="","Not approved | ",IF(UPPER(TRIM(H141))=UPPER(TRIM(I141)),"Self-approved | ",""))&amp;IF(J141="","No support | ","")&amp;IF(WEEKDAY(B141,2)&gt;5,"Weekend posting | ","")&amp;IF(COUNTIF(Settings!$A$14:$A$43,B141)&gt;0,"Holiday posting | ","")&amp;IF(B141&gt;Settings!$C$8,"Posted after close | ","")&amp;IF(OR(B141&lt;Settings!$C$6,B141&gt;Settings!$C$7),"Outside period | ","")&amp;IF(COUNTIF(Settings!$E$14:$E$43,C141&amp;"")&gt;0,"Sensitive account | ","")&amp;IF(AND(MAX(N(E141),N(F141))&gt;=Settings!$C$9,MOD(MAX(N(E141),N(F141)),Settings!$C$10)=0),"Round amount | ",""))-3)))</f>
        <v/>
      </c>
      <c r="M141" s="21" t="str">
        <f aca="false">IF(A141="","",IF(COUNTIF($A$9:A141,A141)=1,MAX($M$8:M140)+1,""))</f>
        <v/>
      </c>
    </row>
    <row r="142" customFormat="false" ht="15" hidden="false" customHeight="false" outlineLevel="0" collapsed="false">
      <c r="A142" s="8"/>
      <c r="B142" s="17"/>
      <c r="C142" s="19"/>
      <c r="D142" s="8"/>
      <c r="E142" s="18"/>
      <c r="F142" s="18"/>
      <c r="G142" s="8"/>
      <c r="H142" s="8"/>
      <c r="I142" s="8"/>
      <c r="J142" s="8"/>
      <c r="K142" s="10" t="str">
        <f aca="false">IF(A142="","",IF(ABS(SUMIFS($E$9:$E$2008,$A$9:$A$2008,A142)-SUMIFS($F$9:$F$2008,$A$9:$A$2008,A142))&lt;0.5,"Yes","No"))</f>
        <v/>
      </c>
      <c r="L142" s="10" t="str">
        <f aca="false">IF(A142="","",IF(IF(K142="No","Does not balance | ","")&amp;IF(I142="","Not approved | ",IF(UPPER(TRIM(H142))=UPPER(TRIM(I142)),"Self-approved | ",""))&amp;IF(J142="","No support | ","")&amp;IF(WEEKDAY(B142,2)&gt;5,"Weekend posting | ","")&amp;IF(COUNTIF(Settings!$A$14:$A$43,B142)&gt;0,"Holiday posting | ","")&amp;IF(B142&gt;Settings!$C$8,"Posted after close | ","")&amp;IF(OR(B142&lt;Settings!$C$6,B142&gt;Settings!$C$7),"Outside period | ","")&amp;IF(COUNTIF(Settings!$E$14:$E$43,C142&amp;"")&gt;0,"Sensitive account | ","")&amp;IF(AND(MAX(N(E142),N(F142))&gt;=Settings!$C$9,MOD(MAX(N(E142),N(F142)),Settings!$C$10)=0),"Round amount | ","")="","",LEFT(IF(K142="No","Does not balance | ","")&amp;IF(I142="","Not approved | ",IF(UPPER(TRIM(H142))=UPPER(TRIM(I142)),"Self-approved | ",""))&amp;IF(J142="","No support | ","")&amp;IF(WEEKDAY(B142,2)&gt;5,"Weekend posting | ","")&amp;IF(COUNTIF(Settings!$A$14:$A$43,B142)&gt;0,"Holiday posting | ","")&amp;IF(B142&gt;Settings!$C$8,"Posted after close | ","")&amp;IF(OR(B142&lt;Settings!$C$6,B142&gt;Settings!$C$7),"Outside period | ","")&amp;IF(COUNTIF(Settings!$E$14:$E$43,C142&amp;"")&gt;0,"Sensitive account | ","")&amp;IF(AND(MAX(N(E142),N(F142))&gt;=Settings!$C$9,MOD(MAX(N(E142),N(F142)),Settings!$C$10)=0),"Round amount | ",""),LEN(IF(K142="No","Does not balance | ","")&amp;IF(I142="","Not approved | ",IF(UPPER(TRIM(H142))=UPPER(TRIM(I142)),"Self-approved | ",""))&amp;IF(J142="","No support | ","")&amp;IF(WEEKDAY(B142,2)&gt;5,"Weekend posting | ","")&amp;IF(COUNTIF(Settings!$A$14:$A$43,B142)&gt;0,"Holiday posting | ","")&amp;IF(B142&gt;Settings!$C$8,"Posted after close | ","")&amp;IF(OR(B142&lt;Settings!$C$6,B142&gt;Settings!$C$7),"Outside period | ","")&amp;IF(COUNTIF(Settings!$E$14:$E$43,C142&amp;"")&gt;0,"Sensitive account | ","")&amp;IF(AND(MAX(N(E142),N(F142))&gt;=Settings!$C$9,MOD(MAX(N(E142),N(F142)),Settings!$C$10)=0),"Round amount | ",""))-3)))</f>
        <v/>
      </c>
      <c r="M142" s="21" t="str">
        <f aca="false">IF(A142="","",IF(COUNTIF($A$9:A142,A142)=1,MAX($M$8:M141)+1,""))</f>
        <v/>
      </c>
    </row>
    <row r="143" customFormat="false" ht="15" hidden="false" customHeight="false" outlineLevel="0" collapsed="false">
      <c r="A143" s="8"/>
      <c r="B143" s="17"/>
      <c r="C143" s="19"/>
      <c r="D143" s="8"/>
      <c r="E143" s="18"/>
      <c r="F143" s="18"/>
      <c r="G143" s="8"/>
      <c r="H143" s="8"/>
      <c r="I143" s="8"/>
      <c r="J143" s="8"/>
      <c r="K143" s="10" t="str">
        <f aca="false">IF(A143="","",IF(ABS(SUMIFS($E$9:$E$2008,$A$9:$A$2008,A143)-SUMIFS($F$9:$F$2008,$A$9:$A$2008,A143))&lt;0.5,"Yes","No"))</f>
        <v/>
      </c>
      <c r="L143" s="10" t="str">
        <f aca="false">IF(A143="","",IF(IF(K143="No","Does not balance | ","")&amp;IF(I143="","Not approved | ",IF(UPPER(TRIM(H143))=UPPER(TRIM(I143)),"Self-approved | ",""))&amp;IF(J143="","No support | ","")&amp;IF(WEEKDAY(B143,2)&gt;5,"Weekend posting | ","")&amp;IF(COUNTIF(Settings!$A$14:$A$43,B143)&gt;0,"Holiday posting | ","")&amp;IF(B143&gt;Settings!$C$8,"Posted after close | ","")&amp;IF(OR(B143&lt;Settings!$C$6,B143&gt;Settings!$C$7),"Outside period | ","")&amp;IF(COUNTIF(Settings!$E$14:$E$43,C143&amp;"")&gt;0,"Sensitive account | ","")&amp;IF(AND(MAX(N(E143),N(F143))&gt;=Settings!$C$9,MOD(MAX(N(E143),N(F143)),Settings!$C$10)=0),"Round amount | ","")="","",LEFT(IF(K143="No","Does not balance | ","")&amp;IF(I143="","Not approved | ",IF(UPPER(TRIM(H143))=UPPER(TRIM(I143)),"Self-approved | ",""))&amp;IF(J143="","No support | ","")&amp;IF(WEEKDAY(B143,2)&gt;5,"Weekend posting | ","")&amp;IF(COUNTIF(Settings!$A$14:$A$43,B143)&gt;0,"Holiday posting | ","")&amp;IF(B143&gt;Settings!$C$8,"Posted after close | ","")&amp;IF(OR(B143&lt;Settings!$C$6,B143&gt;Settings!$C$7),"Outside period | ","")&amp;IF(COUNTIF(Settings!$E$14:$E$43,C143&amp;"")&gt;0,"Sensitive account | ","")&amp;IF(AND(MAX(N(E143),N(F143))&gt;=Settings!$C$9,MOD(MAX(N(E143),N(F143)),Settings!$C$10)=0),"Round amount | ",""),LEN(IF(K143="No","Does not balance | ","")&amp;IF(I143="","Not approved | ",IF(UPPER(TRIM(H143))=UPPER(TRIM(I143)),"Self-approved | ",""))&amp;IF(J143="","No support | ","")&amp;IF(WEEKDAY(B143,2)&gt;5,"Weekend posting | ","")&amp;IF(COUNTIF(Settings!$A$14:$A$43,B143)&gt;0,"Holiday posting | ","")&amp;IF(B143&gt;Settings!$C$8,"Posted after close | ","")&amp;IF(OR(B143&lt;Settings!$C$6,B143&gt;Settings!$C$7),"Outside period | ","")&amp;IF(COUNTIF(Settings!$E$14:$E$43,C143&amp;"")&gt;0,"Sensitive account | ","")&amp;IF(AND(MAX(N(E143),N(F143))&gt;=Settings!$C$9,MOD(MAX(N(E143),N(F143)),Settings!$C$10)=0),"Round amount | ",""))-3)))</f>
        <v/>
      </c>
      <c r="M143" s="21" t="str">
        <f aca="false">IF(A143="","",IF(COUNTIF($A$9:A143,A143)=1,MAX($M$8:M142)+1,""))</f>
        <v/>
      </c>
    </row>
    <row r="144" customFormat="false" ht="15" hidden="false" customHeight="false" outlineLevel="0" collapsed="false">
      <c r="A144" s="8"/>
      <c r="B144" s="17"/>
      <c r="C144" s="19"/>
      <c r="D144" s="8"/>
      <c r="E144" s="18"/>
      <c r="F144" s="18"/>
      <c r="G144" s="8"/>
      <c r="H144" s="8"/>
      <c r="I144" s="8"/>
      <c r="J144" s="8"/>
      <c r="K144" s="10" t="str">
        <f aca="false">IF(A144="","",IF(ABS(SUMIFS($E$9:$E$2008,$A$9:$A$2008,A144)-SUMIFS($F$9:$F$2008,$A$9:$A$2008,A144))&lt;0.5,"Yes","No"))</f>
        <v/>
      </c>
      <c r="L144" s="10" t="str">
        <f aca="false">IF(A144="","",IF(IF(K144="No","Does not balance | ","")&amp;IF(I144="","Not approved | ",IF(UPPER(TRIM(H144))=UPPER(TRIM(I144)),"Self-approved | ",""))&amp;IF(J144="","No support | ","")&amp;IF(WEEKDAY(B144,2)&gt;5,"Weekend posting | ","")&amp;IF(COUNTIF(Settings!$A$14:$A$43,B144)&gt;0,"Holiday posting | ","")&amp;IF(B144&gt;Settings!$C$8,"Posted after close | ","")&amp;IF(OR(B144&lt;Settings!$C$6,B144&gt;Settings!$C$7),"Outside period | ","")&amp;IF(COUNTIF(Settings!$E$14:$E$43,C144&amp;"")&gt;0,"Sensitive account | ","")&amp;IF(AND(MAX(N(E144),N(F144))&gt;=Settings!$C$9,MOD(MAX(N(E144),N(F144)),Settings!$C$10)=0),"Round amount | ","")="","",LEFT(IF(K144="No","Does not balance | ","")&amp;IF(I144="","Not approved | ",IF(UPPER(TRIM(H144))=UPPER(TRIM(I144)),"Self-approved | ",""))&amp;IF(J144="","No support | ","")&amp;IF(WEEKDAY(B144,2)&gt;5,"Weekend posting | ","")&amp;IF(COUNTIF(Settings!$A$14:$A$43,B144)&gt;0,"Holiday posting | ","")&amp;IF(B144&gt;Settings!$C$8,"Posted after close | ","")&amp;IF(OR(B144&lt;Settings!$C$6,B144&gt;Settings!$C$7),"Outside period | ","")&amp;IF(COUNTIF(Settings!$E$14:$E$43,C144&amp;"")&gt;0,"Sensitive account | ","")&amp;IF(AND(MAX(N(E144),N(F144))&gt;=Settings!$C$9,MOD(MAX(N(E144),N(F144)),Settings!$C$10)=0),"Round amount | ",""),LEN(IF(K144="No","Does not balance | ","")&amp;IF(I144="","Not approved | ",IF(UPPER(TRIM(H144))=UPPER(TRIM(I144)),"Self-approved | ",""))&amp;IF(J144="","No support | ","")&amp;IF(WEEKDAY(B144,2)&gt;5,"Weekend posting | ","")&amp;IF(COUNTIF(Settings!$A$14:$A$43,B144)&gt;0,"Holiday posting | ","")&amp;IF(B144&gt;Settings!$C$8,"Posted after close | ","")&amp;IF(OR(B144&lt;Settings!$C$6,B144&gt;Settings!$C$7),"Outside period | ","")&amp;IF(COUNTIF(Settings!$E$14:$E$43,C144&amp;"")&gt;0,"Sensitive account | ","")&amp;IF(AND(MAX(N(E144),N(F144))&gt;=Settings!$C$9,MOD(MAX(N(E144),N(F144)),Settings!$C$10)=0),"Round amount | ",""))-3)))</f>
        <v/>
      </c>
      <c r="M144" s="21" t="str">
        <f aca="false">IF(A144="","",IF(COUNTIF($A$9:A144,A144)=1,MAX($M$8:M143)+1,""))</f>
        <v/>
      </c>
    </row>
    <row r="145" customFormat="false" ht="15" hidden="false" customHeight="false" outlineLevel="0" collapsed="false">
      <c r="A145" s="8"/>
      <c r="B145" s="17"/>
      <c r="C145" s="19"/>
      <c r="D145" s="8"/>
      <c r="E145" s="18"/>
      <c r="F145" s="18"/>
      <c r="G145" s="8"/>
      <c r="H145" s="8"/>
      <c r="I145" s="8"/>
      <c r="J145" s="8"/>
      <c r="K145" s="10" t="str">
        <f aca="false">IF(A145="","",IF(ABS(SUMIFS($E$9:$E$2008,$A$9:$A$2008,A145)-SUMIFS($F$9:$F$2008,$A$9:$A$2008,A145))&lt;0.5,"Yes","No"))</f>
        <v/>
      </c>
      <c r="L145" s="10" t="str">
        <f aca="false">IF(A145="","",IF(IF(K145="No","Does not balance | ","")&amp;IF(I145="","Not approved | ",IF(UPPER(TRIM(H145))=UPPER(TRIM(I145)),"Self-approved | ",""))&amp;IF(J145="","No support | ","")&amp;IF(WEEKDAY(B145,2)&gt;5,"Weekend posting | ","")&amp;IF(COUNTIF(Settings!$A$14:$A$43,B145)&gt;0,"Holiday posting | ","")&amp;IF(B145&gt;Settings!$C$8,"Posted after close | ","")&amp;IF(OR(B145&lt;Settings!$C$6,B145&gt;Settings!$C$7),"Outside period | ","")&amp;IF(COUNTIF(Settings!$E$14:$E$43,C145&amp;"")&gt;0,"Sensitive account | ","")&amp;IF(AND(MAX(N(E145),N(F145))&gt;=Settings!$C$9,MOD(MAX(N(E145),N(F145)),Settings!$C$10)=0),"Round amount | ","")="","",LEFT(IF(K145="No","Does not balance | ","")&amp;IF(I145="","Not approved | ",IF(UPPER(TRIM(H145))=UPPER(TRIM(I145)),"Self-approved | ",""))&amp;IF(J145="","No support | ","")&amp;IF(WEEKDAY(B145,2)&gt;5,"Weekend posting | ","")&amp;IF(COUNTIF(Settings!$A$14:$A$43,B145)&gt;0,"Holiday posting | ","")&amp;IF(B145&gt;Settings!$C$8,"Posted after close | ","")&amp;IF(OR(B145&lt;Settings!$C$6,B145&gt;Settings!$C$7),"Outside period | ","")&amp;IF(COUNTIF(Settings!$E$14:$E$43,C145&amp;"")&gt;0,"Sensitive account | ","")&amp;IF(AND(MAX(N(E145),N(F145))&gt;=Settings!$C$9,MOD(MAX(N(E145),N(F145)),Settings!$C$10)=0),"Round amount | ",""),LEN(IF(K145="No","Does not balance | ","")&amp;IF(I145="","Not approved | ",IF(UPPER(TRIM(H145))=UPPER(TRIM(I145)),"Self-approved | ",""))&amp;IF(J145="","No support | ","")&amp;IF(WEEKDAY(B145,2)&gt;5,"Weekend posting | ","")&amp;IF(COUNTIF(Settings!$A$14:$A$43,B145)&gt;0,"Holiday posting | ","")&amp;IF(B145&gt;Settings!$C$8,"Posted after close | ","")&amp;IF(OR(B145&lt;Settings!$C$6,B145&gt;Settings!$C$7),"Outside period | ","")&amp;IF(COUNTIF(Settings!$E$14:$E$43,C145&amp;"")&gt;0,"Sensitive account | ","")&amp;IF(AND(MAX(N(E145),N(F145))&gt;=Settings!$C$9,MOD(MAX(N(E145),N(F145)),Settings!$C$10)=0),"Round amount | ",""))-3)))</f>
        <v/>
      </c>
      <c r="M145" s="21" t="str">
        <f aca="false">IF(A145="","",IF(COUNTIF($A$9:A145,A145)=1,MAX($M$8:M144)+1,""))</f>
        <v/>
      </c>
    </row>
    <row r="146" customFormat="false" ht="15" hidden="false" customHeight="false" outlineLevel="0" collapsed="false">
      <c r="A146" s="8"/>
      <c r="B146" s="17"/>
      <c r="C146" s="19"/>
      <c r="D146" s="8"/>
      <c r="E146" s="18"/>
      <c r="F146" s="18"/>
      <c r="G146" s="8"/>
      <c r="H146" s="8"/>
      <c r="I146" s="8"/>
      <c r="J146" s="8"/>
      <c r="K146" s="10" t="str">
        <f aca="false">IF(A146="","",IF(ABS(SUMIFS($E$9:$E$2008,$A$9:$A$2008,A146)-SUMIFS($F$9:$F$2008,$A$9:$A$2008,A146))&lt;0.5,"Yes","No"))</f>
        <v/>
      </c>
      <c r="L146" s="10" t="str">
        <f aca="false">IF(A146="","",IF(IF(K146="No","Does not balance | ","")&amp;IF(I146="","Not approved | ",IF(UPPER(TRIM(H146))=UPPER(TRIM(I146)),"Self-approved | ",""))&amp;IF(J146="","No support | ","")&amp;IF(WEEKDAY(B146,2)&gt;5,"Weekend posting | ","")&amp;IF(COUNTIF(Settings!$A$14:$A$43,B146)&gt;0,"Holiday posting | ","")&amp;IF(B146&gt;Settings!$C$8,"Posted after close | ","")&amp;IF(OR(B146&lt;Settings!$C$6,B146&gt;Settings!$C$7),"Outside period | ","")&amp;IF(COUNTIF(Settings!$E$14:$E$43,C146&amp;"")&gt;0,"Sensitive account | ","")&amp;IF(AND(MAX(N(E146),N(F146))&gt;=Settings!$C$9,MOD(MAX(N(E146),N(F146)),Settings!$C$10)=0),"Round amount | ","")="","",LEFT(IF(K146="No","Does not balance | ","")&amp;IF(I146="","Not approved | ",IF(UPPER(TRIM(H146))=UPPER(TRIM(I146)),"Self-approved | ",""))&amp;IF(J146="","No support | ","")&amp;IF(WEEKDAY(B146,2)&gt;5,"Weekend posting | ","")&amp;IF(COUNTIF(Settings!$A$14:$A$43,B146)&gt;0,"Holiday posting | ","")&amp;IF(B146&gt;Settings!$C$8,"Posted after close | ","")&amp;IF(OR(B146&lt;Settings!$C$6,B146&gt;Settings!$C$7),"Outside period | ","")&amp;IF(COUNTIF(Settings!$E$14:$E$43,C146&amp;"")&gt;0,"Sensitive account | ","")&amp;IF(AND(MAX(N(E146),N(F146))&gt;=Settings!$C$9,MOD(MAX(N(E146),N(F146)),Settings!$C$10)=0),"Round amount | ",""),LEN(IF(K146="No","Does not balance | ","")&amp;IF(I146="","Not approved | ",IF(UPPER(TRIM(H146))=UPPER(TRIM(I146)),"Self-approved | ",""))&amp;IF(J146="","No support | ","")&amp;IF(WEEKDAY(B146,2)&gt;5,"Weekend posting | ","")&amp;IF(COUNTIF(Settings!$A$14:$A$43,B146)&gt;0,"Holiday posting | ","")&amp;IF(B146&gt;Settings!$C$8,"Posted after close | ","")&amp;IF(OR(B146&lt;Settings!$C$6,B146&gt;Settings!$C$7),"Outside period | ","")&amp;IF(COUNTIF(Settings!$E$14:$E$43,C146&amp;"")&gt;0,"Sensitive account | ","")&amp;IF(AND(MAX(N(E146),N(F146))&gt;=Settings!$C$9,MOD(MAX(N(E146),N(F146)),Settings!$C$10)=0),"Round amount | ",""))-3)))</f>
        <v/>
      </c>
      <c r="M146" s="21" t="str">
        <f aca="false">IF(A146="","",IF(COUNTIF($A$9:A146,A146)=1,MAX($M$8:M145)+1,""))</f>
        <v/>
      </c>
    </row>
    <row r="147" customFormat="false" ht="15" hidden="false" customHeight="false" outlineLevel="0" collapsed="false">
      <c r="A147" s="8"/>
      <c r="B147" s="17"/>
      <c r="C147" s="19"/>
      <c r="D147" s="8"/>
      <c r="E147" s="18"/>
      <c r="F147" s="18"/>
      <c r="G147" s="8"/>
      <c r="H147" s="8"/>
      <c r="I147" s="8"/>
      <c r="J147" s="8"/>
      <c r="K147" s="10" t="str">
        <f aca="false">IF(A147="","",IF(ABS(SUMIFS($E$9:$E$2008,$A$9:$A$2008,A147)-SUMIFS($F$9:$F$2008,$A$9:$A$2008,A147))&lt;0.5,"Yes","No"))</f>
        <v/>
      </c>
      <c r="L147" s="10" t="str">
        <f aca="false">IF(A147="","",IF(IF(K147="No","Does not balance | ","")&amp;IF(I147="","Not approved | ",IF(UPPER(TRIM(H147))=UPPER(TRIM(I147)),"Self-approved | ",""))&amp;IF(J147="","No support | ","")&amp;IF(WEEKDAY(B147,2)&gt;5,"Weekend posting | ","")&amp;IF(COUNTIF(Settings!$A$14:$A$43,B147)&gt;0,"Holiday posting | ","")&amp;IF(B147&gt;Settings!$C$8,"Posted after close | ","")&amp;IF(OR(B147&lt;Settings!$C$6,B147&gt;Settings!$C$7),"Outside period | ","")&amp;IF(COUNTIF(Settings!$E$14:$E$43,C147&amp;"")&gt;0,"Sensitive account | ","")&amp;IF(AND(MAX(N(E147),N(F147))&gt;=Settings!$C$9,MOD(MAX(N(E147),N(F147)),Settings!$C$10)=0),"Round amount | ","")="","",LEFT(IF(K147="No","Does not balance | ","")&amp;IF(I147="","Not approved | ",IF(UPPER(TRIM(H147))=UPPER(TRIM(I147)),"Self-approved | ",""))&amp;IF(J147="","No support | ","")&amp;IF(WEEKDAY(B147,2)&gt;5,"Weekend posting | ","")&amp;IF(COUNTIF(Settings!$A$14:$A$43,B147)&gt;0,"Holiday posting | ","")&amp;IF(B147&gt;Settings!$C$8,"Posted after close | ","")&amp;IF(OR(B147&lt;Settings!$C$6,B147&gt;Settings!$C$7),"Outside period | ","")&amp;IF(COUNTIF(Settings!$E$14:$E$43,C147&amp;"")&gt;0,"Sensitive account | ","")&amp;IF(AND(MAX(N(E147),N(F147))&gt;=Settings!$C$9,MOD(MAX(N(E147),N(F147)),Settings!$C$10)=0),"Round amount | ",""),LEN(IF(K147="No","Does not balance | ","")&amp;IF(I147="","Not approved | ",IF(UPPER(TRIM(H147))=UPPER(TRIM(I147)),"Self-approved | ",""))&amp;IF(J147="","No support | ","")&amp;IF(WEEKDAY(B147,2)&gt;5,"Weekend posting | ","")&amp;IF(COUNTIF(Settings!$A$14:$A$43,B147)&gt;0,"Holiday posting | ","")&amp;IF(B147&gt;Settings!$C$8,"Posted after close | ","")&amp;IF(OR(B147&lt;Settings!$C$6,B147&gt;Settings!$C$7),"Outside period | ","")&amp;IF(COUNTIF(Settings!$E$14:$E$43,C147&amp;"")&gt;0,"Sensitive account | ","")&amp;IF(AND(MAX(N(E147),N(F147))&gt;=Settings!$C$9,MOD(MAX(N(E147),N(F147)),Settings!$C$10)=0),"Round amount | ",""))-3)))</f>
        <v/>
      </c>
      <c r="M147" s="21" t="str">
        <f aca="false">IF(A147="","",IF(COUNTIF($A$9:A147,A147)=1,MAX($M$8:M146)+1,""))</f>
        <v/>
      </c>
    </row>
    <row r="148" customFormat="false" ht="15" hidden="false" customHeight="false" outlineLevel="0" collapsed="false">
      <c r="A148" s="8"/>
      <c r="B148" s="17"/>
      <c r="C148" s="19"/>
      <c r="D148" s="8"/>
      <c r="E148" s="18"/>
      <c r="F148" s="18"/>
      <c r="G148" s="8"/>
      <c r="H148" s="8"/>
      <c r="I148" s="8"/>
      <c r="J148" s="8"/>
      <c r="K148" s="10" t="str">
        <f aca="false">IF(A148="","",IF(ABS(SUMIFS($E$9:$E$2008,$A$9:$A$2008,A148)-SUMIFS($F$9:$F$2008,$A$9:$A$2008,A148))&lt;0.5,"Yes","No"))</f>
        <v/>
      </c>
      <c r="L148" s="10" t="str">
        <f aca="false">IF(A148="","",IF(IF(K148="No","Does not balance | ","")&amp;IF(I148="","Not approved | ",IF(UPPER(TRIM(H148))=UPPER(TRIM(I148)),"Self-approved | ",""))&amp;IF(J148="","No support | ","")&amp;IF(WEEKDAY(B148,2)&gt;5,"Weekend posting | ","")&amp;IF(COUNTIF(Settings!$A$14:$A$43,B148)&gt;0,"Holiday posting | ","")&amp;IF(B148&gt;Settings!$C$8,"Posted after close | ","")&amp;IF(OR(B148&lt;Settings!$C$6,B148&gt;Settings!$C$7),"Outside period | ","")&amp;IF(COUNTIF(Settings!$E$14:$E$43,C148&amp;"")&gt;0,"Sensitive account | ","")&amp;IF(AND(MAX(N(E148),N(F148))&gt;=Settings!$C$9,MOD(MAX(N(E148),N(F148)),Settings!$C$10)=0),"Round amount | ","")="","",LEFT(IF(K148="No","Does not balance | ","")&amp;IF(I148="","Not approved | ",IF(UPPER(TRIM(H148))=UPPER(TRIM(I148)),"Self-approved | ",""))&amp;IF(J148="","No support | ","")&amp;IF(WEEKDAY(B148,2)&gt;5,"Weekend posting | ","")&amp;IF(COUNTIF(Settings!$A$14:$A$43,B148)&gt;0,"Holiday posting | ","")&amp;IF(B148&gt;Settings!$C$8,"Posted after close | ","")&amp;IF(OR(B148&lt;Settings!$C$6,B148&gt;Settings!$C$7),"Outside period | ","")&amp;IF(COUNTIF(Settings!$E$14:$E$43,C148&amp;"")&gt;0,"Sensitive account | ","")&amp;IF(AND(MAX(N(E148),N(F148))&gt;=Settings!$C$9,MOD(MAX(N(E148),N(F148)),Settings!$C$10)=0),"Round amount | ",""),LEN(IF(K148="No","Does not balance | ","")&amp;IF(I148="","Not approved | ",IF(UPPER(TRIM(H148))=UPPER(TRIM(I148)),"Self-approved | ",""))&amp;IF(J148="","No support | ","")&amp;IF(WEEKDAY(B148,2)&gt;5,"Weekend posting | ","")&amp;IF(COUNTIF(Settings!$A$14:$A$43,B148)&gt;0,"Holiday posting | ","")&amp;IF(B148&gt;Settings!$C$8,"Posted after close | ","")&amp;IF(OR(B148&lt;Settings!$C$6,B148&gt;Settings!$C$7),"Outside period | ","")&amp;IF(COUNTIF(Settings!$E$14:$E$43,C148&amp;"")&gt;0,"Sensitive account | ","")&amp;IF(AND(MAX(N(E148),N(F148))&gt;=Settings!$C$9,MOD(MAX(N(E148),N(F148)),Settings!$C$10)=0),"Round amount | ",""))-3)))</f>
        <v/>
      </c>
      <c r="M148" s="21" t="str">
        <f aca="false">IF(A148="","",IF(COUNTIF($A$9:A148,A148)=1,MAX($M$8:M147)+1,""))</f>
        <v/>
      </c>
    </row>
    <row r="149" customFormat="false" ht="15" hidden="false" customHeight="false" outlineLevel="0" collapsed="false">
      <c r="A149" s="8"/>
      <c r="B149" s="17"/>
      <c r="C149" s="19"/>
      <c r="D149" s="8"/>
      <c r="E149" s="18"/>
      <c r="F149" s="18"/>
      <c r="G149" s="8"/>
      <c r="H149" s="8"/>
      <c r="I149" s="8"/>
      <c r="J149" s="8"/>
      <c r="K149" s="10" t="str">
        <f aca="false">IF(A149="","",IF(ABS(SUMIFS($E$9:$E$2008,$A$9:$A$2008,A149)-SUMIFS($F$9:$F$2008,$A$9:$A$2008,A149))&lt;0.5,"Yes","No"))</f>
        <v/>
      </c>
      <c r="L149" s="10" t="str">
        <f aca="false">IF(A149="","",IF(IF(K149="No","Does not balance | ","")&amp;IF(I149="","Not approved | ",IF(UPPER(TRIM(H149))=UPPER(TRIM(I149)),"Self-approved | ",""))&amp;IF(J149="","No support | ","")&amp;IF(WEEKDAY(B149,2)&gt;5,"Weekend posting | ","")&amp;IF(COUNTIF(Settings!$A$14:$A$43,B149)&gt;0,"Holiday posting | ","")&amp;IF(B149&gt;Settings!$C$8,"Posted after close | ","")&amp;IF(OR(B149&lt;Settings!$C$6,B149&gt;Settings!$C$7),"Outside period | ","")&amp;IF(COUNTIF(Settings!$E$14:$E$43,C149&amp;"")&gt;0,"Sensitive account | ","")&amp;IF(AND(MAX(N(E149),N(F149))&gt;=Settings!$C$9,MOD(MAX(N(E149),N(F149)),Settings!$C$10)=0),"Round amount | ","")="","",LEFT(IF(K149="No","Does not balance | ","")&amp;IF(I149="","Not approved | ",IF(UPPER(TRIM(H149))=UPPER(TRIM(I149)),"Self-approved | ",""))&amp;IF(J149="","No support | ","")&amp;IF(WEEKDAY(B149,2)&gt;5,"Weekend posting | ","")&amp;IF(COUNTIF(Settings!$A$14:$A$43,B149)&gt;0,"Holiday posting | ","")&amp;IF(B149&gt;Settings!$C$8,"Posted after close | ","")&amp;IF(OR(B149&lt;Settings!$C$6,B149&gt;Settings!$C$7),"Outside period | ","")&amp;IF(COUNTIF(Settings!$E$14:$E$43,C149&amp;"")&gt;0,"Sensitive account | ","")&amp;IF(AND(MAX(N(E149),N(F149))&gt;=Settings!$C$9,MOD(MAX(N(E149),N(F149)),Settings!$C$10)=0),"Round amount | ",""),LEN(IF(K149="No","Does not balance | ","")&amp;IF(I149="","Not approved | ",IF(UPPER(TRIM(H149))=UPPER(TRIM(I149)),"Self-approved | ",""))&amp;IF(J149="","No support | ","")&amp;IF(WEEKDAY(B149,2)&gt;5,"Weekend posting | ","")&amp;IF(COUNTIF(Settings!$A$14:$A$43,B149)&gt;0,"Holiday posting | ","")&amp;IF(B149&gt;Settings!$C$8,"Posted after close | ","")&amp;IF(OR(B149&lt;Settings!$C$6,B149&gt;Settings!$C$7),"Outside period | ","")&amp;IF(COUNTIF(Settings!$E$14:$E$43,C149&amp;"")&gt;0,"Sensitive account | ","")&amp;IF(AND(MAX(N(E149),N(F149))&gt;=Settings!$C$9,MOD(MAX(N(E149),N(F149)),Settings!$C$10)=0),"Round amount | ",""))-3)))</f>
        <v/>
      </c>
      <c r="M149" s="21" t="str">
        <f aca="false">IF(A149="","",IF(COUNTIF($A$9:A149,A149)=1,MAX($M$8:M148)+1,""))</f>
        <v/>
      </c>
    </row>
    <row r="150" customFormat="false" ht="15" hidden="false" customHeight="false" outlineLevel="0" collapsed="false">
      <c r="A150" s="8"/>
      <c r="B150" s="17"/>
      <c r="C150" s="19"/>
      <c r="D150" s="8"/>
      <c r="E150" s="18"/>
      <c r="F150" s="18"/>
      <c r="G150" s="8"/>
      <c r="H150" s="8"/>
      <c r="I150" s="8"/>
      <c r="J150" s="8"/>
      <c r="K150" s="10" t="str">
        <f aca="false">IF(A150="","",IF(ABS(SUMIFS($E$9:$E$2008,$A$9:$A$2008,A150)-SUMIFS($F$9:$F$2008,$A$9:$A$2008,A150))&lt;0.5,"Yes","No"))</f>
        <v/>
      </c>
      <c r="L150" s="10" t="str">
        <f aca="false">IF(A150="","",IF(IF(K150="No","Does not balance | ","")&amp;IF(I150="","Not approved | ",IF(UPPER(TRIM(H150))=UPPER(TRIM(I150)),"Self-approved | ",""))&amp;IF(J150="","No support | ","")&amp;IF(WEEKDAY(B150,2)&gt;5,"Weekend posting | ","")&amp;IF(COUNTIF(Settings!$A$14:$A$43,B150)&gt;0,"Holiday posting | ","")&amp;IF(B150&gt;Settings!$C$8,"Posted after close | ","")&amp;IF(OR(B150&lt;Settings!$C$6,B150&gt;Settings!$C$7),"Outside period | ","")&amp;IF(COUNTIF(Settings!$E$14:$E$43,C150&amp;"")&gt;0,"Sensitive account | ","")&amp;IF(AND(MAX(N(E150),N(F150))&gt;=Settings!$C$9,MOD(MAX(N(E150),N(F150)),Settings!$C$10)=0),"Round amount | ","")="","",LEFT(IF(K150="No","Does not balance | ","")&amp;IF(I150="","Not approved | ",IF(UPPER(TRIM(H150))=UPPER(TRIM(I150)),"Self-approved | ",""))&amp;IF(J150="","No support | ","")&amp;IF(WEEKDAY(B150,2)&gt;5,"Weekend posting | ","")&amp;IF(COUNTIF(Settings!$A$14:$A$43,B150)&gt;0,"Holiday posting | ","")&amp;IF(B150&gt;Settings!$C$8,"Posted after close | ","")&amp;IF(OR(B150&lt;Settings!$C$6,B150&gt;Settings!$C$7),"Outside period | ","")&amp;IF(COUNTIF(Settings!$E$14:$E$43,C150&amp;"")&gt;0,"Sensitive account | ","")&amp;IF(AND(MAX(N(E150),N(F150))&gt;=Settings!$C$9,MOD(MAX(N(E150),N(F150)),Settings!$C$10)=0),"Round amount | ",""),LEN(IF(K150="No","Does not balance | ","")&amp;IF(I150="","Not approved | ",IF(UPPER(TRIM(H150))=UPPER(TRIM(I150)),"Self-approved | ",""))&amp;IF(J150="","No support | ","")&amp;IF(WEEKDAY(B150,2)&gt;5,"Weekend posting | ","")&amp;IF(COUNTIF(Settings!$A$14:$A$43,B150)&gt;0,"Holiday posting | ","")&amp;IF(B150&gt;Settings!$C$8,"Posted after close | ","")&amp;IF(OR(B150&lt;Settings!$C$6,B150&gt;Settings!$C$7),"Outside period | ","")&amp;IF(COUNTIF(Settings!$E$14:$E$43,C150&amp;"")&gt;0,"Sensitive account | ","")&amp;IF(AND(MAX(N(E150),N(F150))&gt;=Settings!$C$9,MOD(MAX(N(E150),N(F150)),Settings!$C$10)=0),"Round amount | ",""))-3)))</f>
        <v/>
      </c>
      <c r="M150" s="21" t="str">
        <f aca="false">IF(A150="","",IF(COUNTIF($A$9:A150,A150)=1,MAX($M$8:M149)+1,""))</f>
        <v/>
      </c>
    </row>
    <row r="151" customFormat="false" ht="15" hidden="false" customHeight="false" outlineLevel="0" collapsed="false">
      <c r="A151" s="8"/>
      <c r="B151" s="17"/>
      <c r="C151" s="19"/>
      <c r="D151" s="8"/>
      <c r="E151" s="18"/>
      <c r="F151" s="18"/>
      <c r="G151" s="8"/>
      <c r="H151" s="8"/>
      <c r="I151" s="8"/>
      <c r="J151" s="8"/>
      <c r="K151" s="10" t="str">
        <f aca="false">IF(A151="","",IF(ABS(SUMIFS($E$9:$E$2008,$A$9:$A$2008,A151)-SUMIFS($F$9:$F$2008,$A$9:$A$2008,A151))&lt;0.5,"Yes","No"))</f>
        <v/>
      </c>
      <c r="L151" s="10" t="str">
        <f aca="false">IF(A151="","",IF(IF(K151="No","Does not balance | ","")&amp;IF(I151="","Not approved | ",IF(UPPER(TRIM(H151))=UPPER(TRIM(I151)),"Self-approved | ",""))&amp;IF(J151="","No support | ","")&amp;IF(WEEKDAY(B151,2)&gt;5,"Weekend posting | ","")&amp;IF(COUNTIF(Settings!$A$14:$A$43,B151)&gt;0,"Holiday posting | ","")&amp;IF(B151&gt;Settings!$C$8,"Posted after close | ","")&amp;IF(OR(B151&lt;Settings!$C$6,B151&gt;Settings!$C$7),"Outside period | ","")&amp;IF(COUNTIF(Settings!$E$14:$E$43,C151&amp;"")&gt;0,"Sensitive account | ","")&amp;IF(AND(MAX(N(E151),N(F151))&gt;=Settings!$C$9,MOD(MAX(N(E151),N(F151)),Settings!$C$10)=0),"Round amount | ","")="","",LEFT(IF(K151="No","Does not balance | ","")&amp;IF(I151="","Not approved | ",IF(UPPER(TRIM(H151))=UPPER(TRIM(I151)),"Self-approved | ",""))&amp;IF(J151="","No support | ","")&amp;IF(WEEKDAY(B151,2)&gt;5,"Weekend posting | ","")&amp;IF(COUNTIF(Settings!$A$14:$A$43,B151)&gt;0,"Holiday posting | ","")&amp;IF(B151&gt;Settings!$C$8,"Posted after close | ","")&amp;IF(OR(B151&lt;Settings!$C$6,B151&gt;Settings!$C$7),"Outside period | ","")&amp;IF(COUNTIF(Settings!$E$14:$E$43,C151&amp;"")&gt;0,"Sensitive account | ","")&amp;IF(AND(MAX(N(E151),N(F151))&gt;=Settings!$C$9,MOD(MAX(N(E151),N(F151)),Settings!$C$10)=0),"Round amount | ",""),LEN(IF(K151="No","Does not balance | ","")&amp;IF(I151="","Not approved | ",IF(UPPER(TRIM(H151))=UPPER(TRIM(I151)),"Self-approved | ",""))&amp;IF(J151="","No support | ","")&amp;IF(WEEKDAY(B151,2)&gt;5,"Weekend posting | ","")&amp;IF(COUNTIF(Settings!$A$14:$A$43,B151)&gt;0,"Holiday posting | ","")&amp;IF(B151&gt;Settings!$C$8,"Posted after close | ","")&amp;IF(OR(B151&lt;Settings!$C$6,B151&gt;Settings!$C$7),"Outside period | ","")&amp;IF(COUNTIF(Settings!$E$14:$E$43,C151&amp;"")&gt;0,"Sensitive account | ","")&amp;IF(AND(MAX(N(E151),N(F151))&gt;=Settings!$C$9,MOD(MAX(N(E151),N(F151)),Settings!$C$10)=0),"Round amount | ",""))-3)))</f>
        <v/>
      </c>
      <c r="M151" s="21" t="str">
        <f aca="false">IF(A151="","",IF(COUNTIF($A$9:A151,A151)=1,MAX($M$8:M150)+1,""))</f>
        <v/>
      </c>
    </row>
    <row r="152" customFormat="false" ht="15" hidden="false" customHeight="false" outlineLevel="0" collapsed="false">
      <c r="A152" s="8"/>
      <c r="B152" s="17"/>
      <c r="C152" s="19"/>
      <c r="D152" s="8"/>
      <c r="E152" s="18"/>
      <c r="F152" s="18"/>
      <c r="G152" s="8"/>
      <c r="H152" s="8"/>
      <c r="I152" s="8"/>
      <c r="J152" s="8"/>
      <c r="K152" s="10" t="str">
        <f aca="false">IF(A152="","",IF(ABS(SUMIFS($E$9:$E$2008,$A$9:$A$2008,A152)-SUMIFS($F$9:$F$2008,$A$9:$A$2008,A152))&lt;0.5,"Yes","No"))</f>
        <v/>
      </c>
      <c r="L152" s="10" t="str">
        <f aca="false">IF(A152="","",IF(IF(K152="No","Does not balance | ","")&amp;IF(I152="","Not approved | ",IF(UPPER(TRIM(H152))=UPPER(TRIM(I152)),"Self-approved | ",""))&amp;IF(J152="","No support | ","")&amp;IF(WEEKDAY(B152,2)&gt;5,"Weekend posting | ","")&amp;IF(COUNTIF(Settings!$A$14:$A$43,B152)&gt;0,"Holiday posting | ","")&amp;IF(B152&gt;Settings!$C$8,"Posted after close | ","")&amp;IF(OR(B152&lt;Settings!$C$6,B152&gt;Settings!$C$7),"Outside period | ","")&amp;IF(COUNTIF(Settings!$E$14:$E$43,C152&amp;"")&gt;0,"Sensitive account | ","")&amp;IF(AND(MAX(N(E152),N(F152))&gt;=Settings!$C$9,MOD(MAX(N(E152),N(F152)),Settings!$C$10)=0),"Round amount | ","")="","",LEFT(IF(K152="No","Does not balance | ","")&amp;IF(I152="","Not approved | ",IF(UPPER(TRIM(H152))=UPPER(TRIM(I152)),"Self-approved | ",""))&amp;IF(J152="","No support | ","")&amp;IF(WEEKDAY(B152,2)&gt;5,"Weekend posting | ","")&amp;IF(COUNTIF(Settings!$A$14:$A$43,B152)&gt;0,"Holiday posting | ","")&amp;IF(B152&gt;Settings!$C$8,"Posted after close | ","")&amp;IF(OR(B152&lt;Settings!$C$6,B152&gt;Settings!$C$7),"Outside period | ","")&amp;IF(COUNTIF(Settings!$E$14:$E$43,C152&amp;"")&gt;0,"Sensitive account | ","")&amp;IF(AND(MAX(N(E152),N(F152))&gt;=Settings!$C$9,MOD(MAX(N(E152),N(F152)),Settings!$C$10)=0),"Round amount | ",""),LEN(IF(K152="No","Does not balance | ","")&amp;IF(I152="","Not approved | ",IF(UPPER(TRIM(H152))=UPPER(TRIM(I152)),"Self-approved | ",""))&amp;IF(J152="","No support | ","")&amp;IF(WEEKDAY(B152,2)&gt;5,"Weekend posting | ","")&amp;IF(COUNTIF(Settings!$A$14:$A$43,B152)&gt;0,"Holiday posting | ","")&amp;IF(B152&gt;Settings!$C$8,"Posted after close | ","")&amp;IF(OR(B152&lt;Settings!$C$6,B152&gt;Settings!$C$7),"Outside period | ","")&amp;IF(COUNTIF(Settings!$E$14:$E$43,C152&amp;"")&gt;0,"Sensitive account | ","")&amp;IF(AND(MAX(N(E152),N(F152))&gt;=Settings!$C$9,MOD(MAX(N(E152),N(F152)),Settings!$C$10)=0),"Round amount | ",""))-3)))</f>
        <v/>
      </c>
      <c r="M152" s="21" t="str">
        <f aca="false">IF(A152="","",IF(COUNTIF($A$9:A152,A152)=1,MAX($M$8:M151)+1,""))</f>
        <v/>
      </c>
    </row>
    <row r="153" customFormat="false" ht="15" hidden="false" customHeight="false" outlineLevel="0" collapsed="false">
      <c r="A153" s="8"/>
      <c r="B153" s="17"/>
      <c r="C153" s="19"/>
      <c r="D153" s="8"/>
      <c r="E153" s="18"/>
      <c r="F153" s="18"/>
      <c r="G153" s="8"/>
      <c r="H153" s="8"/>
      <c r="I153" s="8"/>
      <c r="J153" s="8"/>
      <c r="K153" s="10" t="str">
        <f aca="false">IF(A153="","",IF(ABS(SUMIFS($E$9:$E$2008,$A$9:$A$2008,A153)-SUMIFS($F$9:$F$2008,$A$9:$A$2008,A153))&lt;0.5,"Yes","No"))</f>
        <v/>
      </c>
      <c r="L153" s="10" t="str">
        <f aca="false">IF(A153="","",IF(IF(K153="No","Does not balance | ","")&amp;IF(I153="","Not approved | ",IF(UPPER(TRIM(H153))=UPPER(TRIM(I153)),"Self-approved | ",""))&amp;IF(J153="","No support | ","")&amp;IF(WEEKDAY(B153,2)&gt;5,"Weekend posting | ","")&amp;IF(COUNTIF(Settings!$A$14:$A$43,B153)&gt;0,"Holiday posting | ","")&amp;IF(B153&gt;Settings!$C$8,"Posted after close | ","")&amp;IF(OR(B153&lt;Settings!$C$6,B153&gt;Settings!$C$7),"Outside period | ","")&amp;IF(COUNTIF(Settings!$E$14:$E$43,C153&amp;"")&gt;0,"Sensitive account | ","")&amp;IF(AND(MAX(N(E153),N(F153))&gt;=Settings!$C$9,MOD(MAX(N(E153),N(F153)),Settings!$C$10)=0),"Round amount | ","")="","",LEFT(IF(K153="No","Does not balance | ","")&amp;IF(I153="","Not approved | ",IF(UPPER(TRIM(H153))=UPPER(TRIM(I153)),"Self-approved | ",""))&amp;IF(J153="","No support | ","")&amp;IF(WEEKDAY(B153,2)&gt;5,"Weekend posting | ","")&amp;IF(COUNTIF(Settings!$A$14:$A$43,B153)&gt;0,"Holiday posting | ","")&amp;IF(B153&gt;Settings!$C$8,"Posted after close | ","")&amp;IF(OR(B153&lt;Settings!$C$6,B153&gt;Settings!$C$7),"Outside period | ","")&amp;IF(COUNTIF(Settings!$E$14:$E$43,C153&amp;"")&gt;0,"Sensitive account | ","")&amp;IF(AND(MAX(N(E153),N(F153))&gt;=Settings!$C$9,MOD(MAX(N(E153),N(F153)),Settings!$C$10)=0),"Round amount | ",""),LEN(IF(K153="No","Does not balance | ","")&amp;IF(I153="","Not approved | ",IF(UPPER(TRIM(H153))=UPPER(TRIM(I153)),"Self-approved | ",""))&amp;IF(J153="","No support | ","")&amp;IF(WEEKDAY(B153,2)&gt;5,"Weekend posting | ","")&amp;IF(COUNTIF(Settings!$A$14:$A$43,B153)&gt;0,"Holiday posting | ","")&amp;IF(B153&gt;Settings!$C$8,"Posted after close | ","")&amp;IF(OR(B153&lt;Settings!$C$6,B153&gt;Settings!$C$7),"Outside period | ","")&amp;IF(COUNTIF(Settings!$E$14:$E$43,C153&amp;"")&gt;0,"Sensitive account | ","")&amp;IF(AND(MAX(N(E153),N(F153))&gt;=Settings!$C$9,MOD(MAX(N(E153),N(F153)),Settings!$C$10)=0),"Round amount | ",""))-3)))</f>
        <v/>
      </c>
      <c r="M153" s="21" t="str">
        <f aca="false">IF(A153="","",IF(COUNTIF($A$9:A153,A153)=1,MAX($M$8:M152)+1,""))</f>
        <v/>
      </c>
    </row>
    <row r="154" customFormat="false" ht="15" hidden="false" customHeight="false" outlineLevel="0" collapsed="false">
      <c r="A154" s="8"/>
      <c r="B154" s="17"/>
      <c r="C154" s="19"/>
      <c r="D154" s="8"/>
      <c r="E154" s="18"/>
      <c r="F154" s="18"/>
      <c r="G154" s="8"/>
      <c r="H154" s="8"/>
      <c r="I154" s="8"/>
      <c r="J154" s="8"/>
      <c r="K154" s="10" t="str">
        <f aca="false">IF(A154="","",IF(ABS(SUMIFS($E$9:$E$2008,$A$9:$A$2008,A154)-SUMIFS($F$9:$F$2008,$A$9:$A$2008,A154))&lt;0.5,"Yes","No"))</f>
        <v/>
      </c>
      <c r="L154" s="10" t="str">
        <f aca="false">IF(A154="","",IF(IF(K154="No","Does not balance | ","")&amp;IF(I154="","Not approved | ",IF(UPPER(TRIM(H154))=UPPER(TRIM(I154)),"Self-approved | ",""))&amp;IF(J154="","No support | ","")&amp;IF(WEEKDAY(B154,2)&gt;5,"Weekend posting | ","")&amp;IF(COUNTIF(Settings!$A$14:$A$43,B154)&gt;0,"Holiday posting | ","")&amp;IF(B154&gt;Settings!$C$8,"Posted after close | ","")&amp;IF(OR(B154&lt;Settings!$C$6,B154&gt;Settings!$C$7),"Outside period | ","")&amp;IF(COUNTIF(Settings!$E$14:$E$43,C154&amp;"")&gt;0,"Sensitive account | ","")&amp;IF(AND(MAX(N(E154),N(F154))&gt;=Settings!$C$9,MOD(MAX(N(E154),N(F154)),Settings!$C$10)=0),"Round amount | ","")="","",LEFT(IF(K154="No","Does not balance | ","")&amp;IF(I154="","Not approved | ",IF(UPPER(TRIM(H154))=UPPER(TRIM(I154)),"Self-approved | ",""))&amp;IF(J154="","No support | ","")&amp;IF(WEEKDAY(B154,2)&gt;5,"Weekend posting | ","")&amp;IF(COUNTIF(Settings!$A$14:$A$43,B154)&gt;0,"Holiday posting | ","")&amp;IF(B154&gt;Settings!$C$8,"Posted after close | ","")&amp;IF(OR(B154&lt;Settings!$C$6,B154&gt;Settings!$C$7),"Outside period | ","")&amp;IF(COUNTIF(Settings!$E$14:$E$43,C154&amp;"")&gt;0,"Sensitive account | ","")&amp;IF(AND(MAX(N(E154),N(F154))&gt;=Settings!$C$9,MOD(MAX(N(E154),N(F154)),Settings!$C$10)=0),"Round amount | ",""),LEN(IF(K154="No","Does not balance | ","")&amp;IF(I154="","Not approved | ",IF(UPPER(TRIM(H154))=UPPER(TRIM(I154)),"Self-approved | ",""))&amp;IF(J154="","No support | ","")&amp;IF(WEEKDAY(B154,2)&gt;5,"Weekend posting | ","")&amp;IF(COUNTIF(Settings!$A$14:$A$43,B154)&gt;0,"Holiday posting | ","")&amp;IF(B154&gt;Settings!$C$8,"Posted after close | ","")&amp;IF(OR(B154&lt;Settings!$C$6,B154&gt;Settings!$C$7),"Outside period | ","")&amp;IF(COUNTIF(Settings!$E$14:$E$43,C154&amp;"")&gt;0,"Sensitive account | ","")&amp;IF(AND(MAX(N(E154),N(F154))&gt;=Settings!$C$9,MOD(MAX(N(E154),N(F154)),Settings!$C$10)=0),"Round amount | ",""))-3)))</f>
        <v/>
      </c>
      <c r="M154" s="21" t="str">
        <f aca="false">IF(A154="","",IF(COUNTIF($A$9:A154,A154)=1,MAX($M$8:M153)+1,""))</f>
        <v/>
      </c>
    </row>
    <row r="155" customFormat="false" ht="15" hidden="false" customHeight="false" outlineLevel="0" collapsed="false">
      <c r="A155" s="8"/>
      <c r="B155" s="17"/>
      <c r="C155" s="19"/>
      <c r="D155" s="8"/>
      <c r="E155" s="18"/>
      <c r="F155" s="18"/>
      <c r="G155" s="8"/>
      <c r="H155" s="8"/>
      <c r="I155" s="8"/>
      <c r="J155" s="8"/>
      <c r="K155" s="10" t="str">
        <f aca="false">IF(A155="","",IF(ABS(SUMIFS($E$9:$E$2008,$A$9:$A$2008,A155)-SUMIFS($F$9:$F$2008,$A$9:$A$2008,A155))&lt;0.5,"Yes","No"))</f>
        <v/>
      </c>
      <c r="L155" s="10" t="str">
        <f aca="false">IF(A155="","",IF(IF(K155="No","Does not balance | ","")&amp;IF(I155="","Not approved | ",IF(UPPER(TRIM(H155))=UPPER(TRIM(I155)),"Self-approved | ",""))&amp;IF(J155="","No support | ","")&amp;IF(WEEKDAY(B155,2)&gt;5,"Weekend posting | ","")&amp;IF(COUNTIF(Settings!$A$14:$A$43,B155)&gt;0,"Holiday posting | ","")&amp;IF(B155&gt;Settings!$C$8,"Posted after close | ","")&amp;IF(OR(B155&lt;Settings!$C$6,B155&gt;Settings!$C$7),"Outside period | ","")&amp;IF(COUNTIF(Settings!$E$14:$E$43,C155&amp;"")&gt;0,"Sensitive account | ","")&amp;IF(AND(MAX(N(E155),N(F155))&gt;=Settings!$C$9,MOD(MAX(N(E155),N(F155)),Settings!$C$10)=0),"Round amount | ","")="","",LEFT(IF(K155="No","Does not balance | ","")&amp;IF(I155="","Not approved | ",IF(UPPER(TRIM(H155))=UPPER(TRIM(I155)),"Self-approved | ",""))&amp;IF(J155="","No support | ","")&amp;IF(WEEKDAY(B155,2)&gt;5,"Weekend posting | ","")&amp;IF(COUNTIF(Settings!$A$14:$A$43,B155)&gt;0,"Holiday posting | ","")&amp;IF(B155&gt;Settings!$C$8,"Posted after close | ","")&amp;IF(OR(B155&lt;Settings!$C$6,B155&gt;Settings!$C$7),"Outside period | ","")&amp;IF(COUNTIF(Settings!$E$14:$E$43,C155&amp;"")&gt;0,"Sensitive account | ","")&amp;IF(AND(MAX(N(E155),N(F155))&gt;=Settings!$C$9,MOD(MAX(N(E155),N(F155)),Settings!$C$10)=0),"Round amount | ",""),LEN(IF(K155="No","Does not balance | ","")&amp;IF(I155="","Not approved | ",IF(UPPER(TRIM(H155))=UPPER(TRIM(I155)),"Self-approved | ",""))&amp;IF(J155="","No support | ","")&amp;IF(WEEKDAY(B155,2)&gt;5,"Weekend posting | ","")&amp;IF(COUNTIF(Settings!$A$14:$A$43,B155)&gt;0,"Holiday posting | ","")&amp;IF(B155&gt;Settings!$C$8,"Posted after close | ","")&amp;IF(OR(B155&lt;Settings!$C$6,B155&gt;Settings!$C$7),"Outside period | ","")&amp;IF(COUNTIF(Settings!$E$14:$E$43,C155&amp;"")&gt;0,"Sensitive account | ","")&amp;IF(AND(MAX(N(E155),N(F155))&gt;=Settings!$C$9,MOD(MAX(N(E155),N(F155)),Settings!$C$10)=0),"Round amount | ",""))-3)))</f>
        <v/>
      </c>
      <c r="M155" s="21" t="str">
        <f aca="false">IF(A155="","",IF(COUNTIF($A$9:A155,A155)=1,MAX($M$8:M154)+1,""))</f>
        <v/>
      </c>
    </row>
    <row r="156" customFormat="false" ht="15" hidden="false" customHeight="false" outlineLevel="0" collapsed="false">
      <c r="A156" s="8"/>
      <c r="B156" s="17"/>
      <c r="C156" s="19"/>
      <c r="D156" s="8"/>
      <c r="E156" s="18"/>
      <c r="F156" s="18"/>
      <c r="G156" s="8"/>
      <c r="H156" s="8"/>
      <c r="I156" s="8"/>
      <c r="J156" s="8"/>
      <c r="K156" s="10" t="str">
        <f aca="false">IF(A156="","",IF(ABS(SUMIFS($E$9:$E$2008,$A$9:$A$2008,A156)-SUMIFS($F$9:$F$2008,$A$9:$A$2008,A156))&lt;0.5,"Yes","No"))</f>
        <v/>
      </c>
      <c r="L156" s="10" t="str">
        <f aca="false">IF(A156="","",IF(IF(K156="No","Does not balance | ","")&amp;IF(I156="","Not approved | ",IF(UPPER(TRIM(H156))=UPPER(TRIM(I156)),"Self-approved | ",""))&amp;IF(J156="","No support | ","")&amp;IF(WEEKDAY(B156,2)&gt;5,"Weekend posting | ","")&amp;IF(COUNTIF(Settings!$A$14:$A$43,B156)&gt;0,"Holiday posting | ","")&amp;IF(B156&gt;Settings!$C$8,"Posted after close | ","")&amp;IF(OR(B156&lt;Settings!$C$6,B156&gt;Settings!$C$7),"Outside period | ","")&amp;IF(COUNTIF(Settings!$E$14:$E$43,C156&amp;"")&gt;0,"Sensitive account | ","")&amp;IF(AND(MAX(N(E156),N(F156))&gt;=Settings!$C$9,MOD(MAX(N(E156),N(F156)),Settings!$C$10)=0),"Round amount | ","")="","",LEFT(IF(K156="No","Does not balance | ","")&amp;IF(I156="","Not approved | ",IF(UPPER(TRIM(H156))=UPPER(TRIM(I156)),"Self-approved | ",""))&amp;IF(J156="","No support | ","")&amp;IF(WEEKDAY(B156,2)&gt;5,"Weekend posting | ","")&amp;IF(COUNTIF(Settings!$A$14:$A$43,B156)&gt;0,"Holiday posting | ","")&amp;IF(B156&gt;Settings!$C$8,"Posted after close | ","")&amp;IF(OR(B156&lt;Settings!$C$6,B156&gt;Settings!$C$7),"Outside period | ","")&amp;IF(COUNTIF(Settings!$E$14:$E$43,C156&amp;"")&gt;0,"Sensitive account | ","")&amp;IF(AND(MAX(N(E156),N(F156))&gt;=Settings!$C$9,MOD(MAX(N(E156),N(F156)),Settings!$C$10)=0),"Round amount | ",""),LEN(IF(K156="No","Does not balance | ","")&amp;IF(I156="","Not approved | ",IF(UPPER(TRIM(H156))=UPPER(TRIM(I156)),"Self-approved | ",""))&amp;IF(J156="","No support | ","")&amp;IF(WEEKDAY(B156,2)&gt;5,"Weekend posting | ","")&amp;IF(COUNTIF(Settings!$A$14:$A$43,B156)&gt;0,"Holiday posting | ","")&amp;IF(B156&gt;Settings!$C$8,"Posted after close | ","")&amp;IF(OR(B156&lt;Settings!$C$6,B156&gt;Settings!$C$7),"Outside period | ","")&amp;IF(COUNTIF(Settings!$E$14:$E$43,C156&amp;"")&gt;0,"Sensitive account | ","")&amp;IF(AND(MAX(N(E156),N(F156))&gt;=Settings!$C$9,MOD(MAX(N(E156),N(F156)),Settings!$C$10)=0),"Round amount | ",""))-3)))</f>
        <v/>
      </c>
      <c r="M156" s="21" t="str">
        <f aca="false">IF(A156="","",IF(COUNTIF($A$9:A156,A156)=1,MAX($M$8:M155)+1,""))</f>
        <v/>
      </c>
    </row>
    <row r="157" customFormat="false" ht="15" hidden="false" customHeight="false" outlineLevel="0" collapsed="false">
      <c r="A157" s="8"/>
      <c r="B157" s="17"/>
      <c r="C157" s="19"/>
      <c r="D157" s="8"/>
      <c r="E157" s="18"/>
      <c r="F157" s="18"/>
      <c r="G157" s="8"/>
      <c r="H157" s="8"/>
      <c r="I157" s="8"/>
      <c r="J157" s="8"/>
      <c r="K157" s="10" t="str">
        <f aca="false">IF(A157="","",IF(ABS(SUMIFS($E$9:$E$2008,$A$9:$A$2008,A157)-SUMIFS($F$9:$F$2008,$A$9:$A$2008,A157))&lt;0.5,"Yes","No"))</f>
        <v/>
      </c>
      <c r="L157" s="10" t="str">
        <f aca="false">IF(A157="","",IF(IF(K157="No","Does not balance | ","")&amp;IF(I157="","Not approved | ",IF(UPPER(TRIM(H157))=UPPER(TRIM(I157)),"Self-approved | ",""))&amp;IF(J157="","No support | ","")&amp;IF(WEEKDAY(B157,2)&gt;5,"Weekend posting | ","")&amp;IF(COUNTIF(Settings!$A$14:$A$43,B157)&gt;0,"Holiday posting | ","")&amp;IF(B157&gt;Settings!$C$8,"Posted after close | ","")&amp;IF(OR(B157&lt;Settings!$C$6,B157&gt;Settings!$C$7),"Outside period | ","")&amp;IF(COUNTIF(Settings!$E$14:$E$43,C157&amp;"")&gt;0,"Sensitive account | ","")&amp;IF(AND(MAX(N(E157),N(F157))&gt;=Settings!$C$9,MOD(MAX(N(E157),N(F157)),Settings!$C$10)=0),"Round amount | ","")="","",LEFT(IF(K157="No","Does not balance | ","")&amp;IF(I157="","Not approved | ",IF(UPPER(TRIM(H157))=UPPER(TRIM(I157)),"Self-approved | ",""))&amp;IF(J157="","No support | ","")&amp;IF(WEEKDAY(B157,2)&gt;5,"Weekend posting | ","")&amp;IF(COUNTIF(Settings!$A$14:$A$43,B157)&gt;0,"Holiday posting | ","")&amp;IF(B157&gt;Settings!$C$8,"Posted after close | ","")&amp;IF(OR(B157&lt;Settings!$C$6,B157&gt;Settings!$C$7),"Outside period | ","")&amp;IF(COUNTIF(Settings!$E$14:$E$43,C157&amp;"")&gt;0,"Sensitive account | ","")&amp;IF(AND(MAX(N(E157),N(F157))&gt;=Settings!$C$9,MOD(MAX(N(E157),N(F157)),Settings!$C$10)=0),"Round amount | ",""),LEN(IF(K157="No","Does not balance | ","")&amp;IF(I157="","Not approved | ",IF(UPPER(TRIM(H157))=UPPER(TRIM(I157)),"Self-approved | ",""))&amp;IF(J157="","No support | ","")&amp;IF(WEEKDAY(B157,2)&gt;5,"Weekend posting | ","")&amp;IF(COUNTIF(Settings!$A$14:$A$43,B157)&gt;0,"Holiday posting | ","")&amp;IF(B157&gt;Settings!$C$8,"Posted after close | ","")&amp;IF(OR(B157&lt;Settings!$C$6,B157&gt;Settings!$C$7),"Outside period | ","")&amp;IF(COUNTIF(Settings!$E$14:$E$43,C157&amp;"")&gt;0,"Sensitive account | ","")&amp;IF(AND(MAX(N(E157),N(F157))&gt;=Settings!$C$9,MOD(MAX(N(E157),N(F157)),Settings!$C$10)=0),"Round amount | ",""))-3)))</f>
        <v/>
      </c>
      <c r="M157" s="21" t="str">
        <f aca="false">IF(A157="","",IF(COUNTIF($A$9:A157,A157)=1,MAX($M$8:M156)+1,""))</f>
        <v/>
      </c>
    </row>
    <row r="158" customFormat="false" ht="15" hidden="false" customHeight="false" outlineLevel="0" collapsed="false">
      <c r="A158" s="8"/>
      <c r="B158" s="17"/>
      <c r="C158" s="19"/>
      <c r="D158" s="8"/>
      <c r="E158" s="18"/>
      <c r="F158" s="18"/>
      <c r="G158" s="8"/>
      <c r="H158" s="8"/>
      <c r="I158" s="8"/>
      <c r="J158" s="8"/>
      <c r="K158" s="10" t="str">
        <f aca="false">IF(A158="","",IF(ABS(SUMIFS($E$9:$E$2008,$A$9:$A$2008,A158)-SUMIFS($F$9:$F$2008,$A$9:$A$2008,A158))&lt;0.5,"Yes","No"))</f>
        <v/>
      </c>
      <c r="L158" s="10" t="str">
        <f aca="false">IF(A158="","",IF(IF(K158="No","Does not balance | ","")&amp;IF(I158="","Not approved | ",IF(UPPER(TRIM(H158))=UPPER(TRIM(I158)),"Self-approved | ",""))&amp;IF(J158="","No support | ","")&amp;IF(WEEKDAY(B158,2)&gt;5,"Weekend posting | ","")&amp;IF(COUNTIF(Settings!$A$14:$A$43,B158)&gt;0,"Holiday posting | ","")&amp;IF(B158&gt;Settings!$C$8,"Posted after close | ","")&amp;IF(OR(B158&lt;Settings!$C$6,B158&gt;Settings!$C$7),"Outside period | ","")&amp;IF(COUNTIF(Settings!$E$14:$E$43,C158&amp;"")&gt;0,"Sensitive account | ","")&amp;IF(AND(MAX(N(E158),N(F158))&gt;=Settings!$C$9,MOD(MAX(N(E158),N(F158)),Settings!$C$10)=0),"Round amount | ","")="","",LEFT(IF(K158="No","Does not balance | ","")&amp;IF(I158="","Not approved | ",IF(UPPER(TRIM(H158))=UPPER(TRIM(I158)),"Self-approved | ",""))&amp;IF(J158="","No support | ","")&amp;IF(WEEKDAY(B158,2)&gt;5,"Weekend posting | ","")&amp;IF(COUNTIF(Settings!$A$14:$A$43,B158)&gt;0,"Holiday posting | ","")&amp;IF(B158&gt;Settings!$C$8,"Posted after close | ","")&amp;IF(OR(B158&lt;Settings!$C$6,B158&gt;Settings!$C$7),"Outside period | ","")&amp;IF(COUNTIF(Settings!$E$14:$E$43,C158&amp;"")&gt;0,"Sensitive account | ","")&amp;IF(AND(MAX(N(E158),N(F158))&gt;=Settings!$C$9,MOD(MAX(N(E158),N(F158)),Settings!$C$10)=0),"Round amount | ",""),LEN(IF(K158="No","Does not balance | ","")&amp;IF(I158="","Not approved | ",IF(UPPER(TRIM(H158))=UPPER(TRIM(I158)),"Self-approved | ",""))&amp;IF(J158="","No support | ","")&amp;IF(WEEKDAY(B158,2)&gt;5,"Weekend posting | ","")&amp;IF(COUNTIF(Settings!$A$14:$A$43,B158)&gt;0,"Holiday posting | ","")&amp;IF(B158&gt;Settings!$C$8,"Posted after close | ","")&amp;IF(OR(B158&lt;Settings!$C$6,B158&gt;Settings!$C$7),"Outside period | ","")&amp;IF(COUNTIF(Settings!$E$14:$E$43,C158&amp;"")&gt;0,"Sensitive account | ","")&amp;IF(AND(MAX(N(E158),N(F158))&gt;=Settings!$C$9,MOD(MAX(N(E158),N(F158)),Settings!$C$10)=0),"Round amount | ",""))-3)))</f>
        <v/>
      </c>
      <c r="M158" s="21" t="str">
        <f aca="false">IF(A158="","",IF(COUNTIF($A$9:A158,A158)=1,MAX($M$8:M157)+1,""))</f>
        <v/>
      </c>
    </row>
    <row r="159" customFormat="false" ht="15" hidden="false" customHeight="false" outlineLevel="0" collapsed="false">
      <c r="A159" s="8"/>
      <c r="B159" s="17"/>
      <c r="C159" s="19"/>
      <c r="D159" s="8"/>
      <c r="E159" s="18"/>
      <c r="F159" s="18"/>
      <c r="G159" s="8"/>
      <c r="H159" s="8"/>
      <c r="I159" s="8"/>
      <c r="J159" s="8"/>
      <c r="K159" s="10" t="str">
        <f aca="false">IF(A159="","",IF(ABS(SUMIFS($E$9:$E$2008,$A$9:$A$2008,A159)-SUMIFS($F$9:$F$2008,$A$9:$A$2008,A159))&lt;0.5,"Yes","No"))</f>
        <v/>
      </c>
      <c r="L159" s="10" t="str">
        <f aca="false">IF(A159="","",IF(IF(K159="No","Does not balance | ","")&amp;IF(I159="","Not approved | ",IF(UPPER(TRIM(H159))=UPPER(TRIM(I159)),"Self-approved | ",""))&amp;IF(J159="","No support | ","")&amp;IF(WEEKDAY(B159,2)&gt;5,"Weekend posting | ","")&amp;IF(COUNTIF(Settings!$A$14:$A$43,B159)&gt;0,"Holiday posting | ","")&amp;IF(B159&gt;Settings!$C$8,"Posted after close | ","")&amp;IF(OR(B159&lt;Settings!$C$6,B159&gt;Settings!$C$7),"Outside period | ","")&amp;IF(COUNTIF(Settings!$E$14:$E$43,C159&amp;"")&gt;0,"Sensitive account | ","")&amp;IF(AND(MAX(N(E159),N(F159))&gt;=Settings!$C$9,MOD(MAX(N(E159),N(F159)),Settings!$C$10)=0),"Round amount | ","")="","",LEFT(IF(K159="No","Does not balance | ","")&amp;IF(I159="","Not approved | ",IF(UPPER(TRIM(H159))=UPPER(TRIM(I159)),"Self-approved | ",""))&amp;IF(J159="","No support | ","")&amp;IF(WEEKDAY(B159,2)&gt;5,"Weekend posting | ","")&amp;IF(COUNTIF(Settings!$A$14:$A$43,B159)&gt;0,"Holiday posting | ","")&amp;IF(B159&gt;Settings!$C$8,"Posted after close | ","")&amp;IF(OR(B159&lt;Settings!$C$6,B159&gt;Settings!$C$7),"Outside period | ","")&amp;IF(COUNTIF(Settings!$E$14:$E$43,C159&amp;"")&gt;0,"Sensitive account | ","")&amp;IF(AND(MAX(N(E159),N(F159))&gt;=Settings!$C$9,MOD(MAX(N(E159),N(F159)),Settings!$C$10)=0),"Round amount | ",""),LEN(IF(K159="No","Does not balance | ","")&amp;IF(I159="","Not approved | ",IF(UPPER(TRIM(H159))=UPPER(TRIM(I159)),"Self-approved | ",""))&amp;IF(J159="","No support | ","")&amp;IF(WEEKDAY(B159,2)&gt;5,"Weekend posting | ","")&amp;IF(COUNTIF(Settings!$A$14:$A$43,B159)&gt;0,"Holiday posting | ","")&amp;IF(B159&gt;Settings!$C$8,"Posted after close | ","")&amp;IF(OR(B159&lt;Settings!$C$6,B159&gt;Settings!$C$7),"Outside period | ","")&amp;IF(COUNTIF(Settings!$E$14:$E$43,C159&amp;"")&gt;0,"Sensitive account | ","")&amp;IF(AND(MAX(N(E159),N(F159))&gt;=Settings!$C$9,MOD(MAX(N(E159),N(F159)),Settings!$C$10)=0),"Round amount | ",""))-3)))</f>
        <v/>
      </c>
      <c r="M159" s="21" t="str">
        <f aca="false">IF(A159="","",IF(COUNTIF($A$9:A159,A159)=1,MAX($M$8:M158)+1,""))</f>
        <v/>
      </c>
    </row>
    <row r="160" customFormat="false" ht="15" hidden="false" customHeight="false" outlineLevel="0" collapsed="false">
      <c r="A160" s="8"/>
      <c r="B160" s="17"/>
      <c r="C160" s="19"/>
      <c r="D160" s="8"/>
      <c r="E160" s="18"/>
      <c r="F160" s="18"/>
      <c r="G160" s="8"/>
      <c r="H160" s="8"/>
      <c r="I160" s="8"/>
      <c r="J160" s="8"/>
      <c r="K160" s="10" t="str">
        <f aca="false">IF(A160="","",IF(ABS(SUMIFS($E$9:$E$2008,$A$9:$A$2008,A160)-SUMIFS($F$9:$F$2008,$A$9:$A$2008,A160))&lt;0.5,"Yes","No"))</f>
        <v/>
      </c>
      <c r="L160" s="10" t="str">
        <f aca="false">IF(A160="","",IF(IF(K160="No","Does not balance | ","")&amp;IF(I160="","Not approved | ",IF(UPPER(TRIM(H160))=UPPER(TRIM(I160)),"Self-approved | ",""))&amp;IF(J160="","No support | ","")&amp;IF(WEEKDAY(B160,2)&gt;5,"Weekend posting | ","")&amp;IF(COUNTIF(Settings!$A$14:$A$43,B160)&gt;0,"Holiday posting | ","")&amp;IF(B160&gt;Settings!$C$8,"Posted after close | ","")&amp;IF(OR(B160&lt;Settings!$C$6,B160&gt;Settings!$C$7),"Outside period | ","")&amp;IF(COUNTIF(Settings!$E$14:$E$43,C160&amp;"")&gt;0,"Sensitive account | ","")&amp;IF(AND(MAX(N(E160),N(F160))&gt;=Settings!$C$9,MOD(MAX(N(E160),N(F160)),Settings!$C$10)=0),"Round amount | ","")="","",LEFT(IF(K160="No","Does not balance | ","")&amp;IF(I160="","Not approved | ",IF(UPPER(TRIM(H160))=UPPER(TRIM(I160)),"Self-approved | ",""))&amp;IF(J160="","No support | ","")&amp;IF(WEEKDAY(B160,2)&gt;5,"Weekend posting | ","")&amp;IF(COUNTIF(Settings!$A$14:$A$43,B160)&gt;0,"Holiday posting | ","")&amp;IF(B160&gt;Settings!$C$8,"Posted after close | ","")&amp;IF(OR(B160&lt;Settings!$C$6,B160&gt;Settings!$C$7),"Outside period | ","")&amp;IF(COUNTIF(Settings!$E$14:$E$43,C160&amp;"")&gt;0,"Sensitive account | ","")&amp;IF(AND(MAX(N(E160),N(F160))&gt;=Settings!$C$9,MOD(MAX(N(E160),N(F160)),Settings!$C$10)=0),"Round amount | ",""),LEN(IF(K160="No","Does not balance | ","")&amp;IF(I160="","Not approved | ",IF(UPPER(TRIM(H160))=UPPER(TRIM(I160)),"Self-approved | ",""))&amp;IF(J160="","No support | ","")&amp;IF(WEEKDAY(B160,2)&gt;5,"Weekend posting | ","")&amp;IF(COUNTIF(Settings!$A$14:$A$43,B160)&gt;0,"Holiday posting | ","")&amp;IF(B160&gt;Settings!$C$8,"Posted after close | ","")&amp;IF(OR(B160&lt;Settings!$C$6,B160&gt;Settings!$C$7),"Outside period | ","")&amp;IF(COUNTIF(Settings!$E$14:$E$43,C160&amp;"")&gt;0,"Sensitive account | ","")&amp;IF(AND(MAX(N(E160),N(F160))&gt;=Settings!$C$9,MOD(MAX(N(E160),N(F160)),Settings!$C$10)=0),"Round amount | ",""))-3)))</f>
        <v/>
      </c>
      <c r="M160" s="21" t="str">
        <f aca="false">IF(A160="","",IF(COUNTIF($A$9:A160,A160)=1,MAX($M$8:M159)+1,""))</f>
        <v/>
      </c>
    </row>
    <row r="161" customFormat="false" ht="15" hidden="false" customHeight="false" outlineLevel="0" collapsed="false">
      <c r="A161" s="8"/>
      <c r="B161" s="17"/>
      <c r="C161" s="19"/>
      <c r="D161" s="8"/>
      <c r="E161" s="18"/>
      <c r="F161" s="18"/>
      <c r="G161" s="8"/>
      <c r="H161" s="8"/>
      <c r="I161" s="8"/>
      <c r="J161" s="8"/>
      <c r="K161" s="10" t="str">
        <f aca="false">IF(A161="","",IF(ABS(SUMIFS($E$9:$E$2008,$A$9:$A$2008,A161)-SUMIFS($F$9:$F$2008,$A$9:$A$2008,A161))&lt;0.5,"Yes","No"))</f>
        <v/>
      </c>
      <c r="L161" s="10" t="str">
        <f aca="false">IF(A161="","",IF(IF(K161="No","Does not balance | ","")&amp;IF(I161="","Not approved | ",IF(UPPER(TRIM(H161))=UPPER(TRIM(I161)),"Self-approved | ",""))&amp;IF(J161="","No support | ","")&amp;IF(WEEKDAY(B161,2)&gt;5,"Weekend posting | ","")&amp;IF(COUNTIF(Settings!$A$14:$A$43,B161)&gt;0,"Holiday posting | ","")&amp;IF(B161&gt;Settings!$C$8,"Posted after close | ","")&amp;IF(OR(B161&lt;Settings!$C$6,B161&gt;Settings!$C$7),"Outside period | ","")&amp;IF(COUNTIF(Settings!$E$14:$E$43,C161&amp;"")&gt;0,"Sensitive account | ","")&amp;IF(AND(MAX(N(E161),N(F161))&gt;=Settings!$C$9,MOD(MAX(N(E161),N(F161)),Settings!$C$10)=0),"Round amount | ","")="","",LEFT(IF(K161="No","Does not balance | ","")&amp;IF(I161="","Not approved | ",IF(UPPER(TRIM(H161))=UPPER(TRIM(I161)),"Self-approved | ",""))&amp;IF(J161="","No support | ","")&amp;IF(WEEKDAY(B161,2)&gt;5,"Weekend posting | ","")&amp;IF(COUNTIF(Settings!$A$14:$A$43,B161)&gt;0,"Holiday posting | ","")&amp;IF(B161&gt;Settings!$C$8,"Posted after close | ","")&amp;IF(OR(B161&lt;Settings!$C$6,B161&gt;Settings!$C$7),"Outside period | ","")&amp;IF(COUNTIF(Settings!$E$14:$E$43,C161&amp;"")&gt;0,"Sensitive account | ","")&amp;IF(AND(MAX(N(E161),N(F161))&gt;=Settings!$C$9,MOD(MAX(N(E161),N(F161)),Settings!$C$10)=0),"Round amount | ",""),LEN(IF(K161="No","Does not balance | ","")&amp;IF(I161="","Not approved | ",IF(UPPER(TRIM(H161))=UPPER(TRIM(I161)),"Self-approved | ",""))&amp;IF(J161="","No support | ","")&amp;IF(WEEKDAY(B161,2)&gt;5,"Weekend posting | ","")&amp;IF(COUNTIF(Settings!$A$14:$A$43,B161)&gt;0,"Holiday posting | ","")&amp;IF(B161&gt;Settings!$C$8,"Posted after close | ","")&amp;IF(OR(B161&lt;Settings!$C$6,B161&gt;Settings!$C$7),"Outside period | ","")&amp;IF(COUNTIF(Settings!$E$14:$E$43,C161&amp;"")&gt;0,"Sensitive account | ","")&amp;IF(AND(MAX(N(E161),N(F161))&gt;=Settings!$C$9,MOD(MAX(N(E161),N(F161)),Settings!$C$10)=0),"Round amount | ",""))-3)))</f>
        <v/>
      </c>
      <c r="M161" s="21" t="str">
        <f aca="false">IF(A161="","",IF(COUNTIF($A$9:A161,A161)=1,MAX($M$8:M160)+1,""))</f>
        <v/>
      </c>
    </row>
    <row r="162" customFormat="false" ht="15" hidden="false" customHeight="false" outlineLevel="0" collapsed="false">
      <c r="A162" s="8"/>
      <c r="B162" s="17"/>
      <c r="C162" s="19"/>
      <c r="D162" s="8"/>
      <c r="E162" s="18"/>
      <c r="F162" s="18"/>
      <c r="G162" s="8"/>
      <c r="H162" s="8"/>
      <c r="I162" s="8"/>
      <c r="J162" s="8"/>
      <c r="K162" s="10" t="str">
        <f aca="false">IF(A162="","",IF(ABS(SUMIFS($E$9:$E$2008,$A$9:$A$2008,A162)-SUMIFS($F$9:$F$2008,$A$9:$A$2008,A162))&lt;0.5,"Yes","No"))</f>
        <v/>
      </c>
      <c r="L162" s="10" t="str">
        <f aca="false">IF(A162="","",IF(IF(K162="No","Does not balance | ","")&amp;IF(I162="","Not approved | ",IF(UPPER(TRIM(H162))=UPPER(TRIM(I162)),"Self-approved | ",""))&amp;IF(J162="","No support | ","")&amp;IF(WEEKDAY(B162,2)&gt;5,"Weekend posting | ","")&amp;IF(COUNTIF(Settings!$A$14:$A$43,B162)&gt;0,"Holiday posting | ","")&amp;IF(B162&gt;Settings!$C$8,"Posted after close | ","")&amp;IF(OR(B162&lt;Settings!$C$6,B162&gt;Settings!$C$7),"Outside period | ","")&amp;IF(COUNTIF(Settings!$E$14:$E$43,C162&amp;"")&gt;0,"Sensitive account | ","")&amp;IF(AND(MAX(N(E162),N(F162))&gt;=Settings!$C$9,MOD(MAX(N(E162),N(F162)),Settings!$C$10)=0),"Round amount | ","")="","",LEFT(IF(K162="No","Does not balance | ","")&amp;IF(I162="","Not approved | ",IF(UPPER(TRIM(H162))=UPPER(TRIM(I162)),"Self-approved | ",""))&amp;IF(J162="","No support | ","")&amp;IF(WEEKDAY(B162,2)&gt;5,"Weekend posting | ","")&amp;IF(COUNTIF(Settings!$A$14:$A$43,B162)&gt;0,"Holiday posting | ","")&amp;IF(B162&gt;Settings!$C$8,"Posted after close | ","")&amp;IF(OR(B162&lt;Settings!$C$6,B162&gt;Settings!$C$7),"Outside period | ","")&amp;IF(COUNTIF(Settings!$E$14:$E$43,C162&amp;"")&gt;0,"Sensitive account | ","")&amp;IF(AND(MAX(N(E162),N(F162))&gt;=Settings!$C$9,MOD(MAX(N(E162),N(F162)),Settings!$C$10)=0),"Round amount | ",""),LEN(IF(K162="No","Does not balance | ","")&amp;IF(I162="","Not approved | ",IF(UPPER(TRIM(H162))=UPPER(TRIM(I162)),"Self-approved | ",""))&amp;IF(J162="","No support | ","")&amp;IF(WEEKDAY(B162,2)&gt;5,"Weekend posting | ","")&amp;IF(COUNTIF(Settings!$A$14:$A$43,B162)&gt;0,"Holiday posting | ","")&amp;IF(B162&gt;Settings!$C$8,"Posted after close | ","")&amp;IF(OR(B162&lt;Settings!$C$6,B162&gt;Settings!$C$7),"Outside period | ","")&amp;IF(COUNTIF(Settings!$E$14:$E$43,C162&amp;"")&gt;0,"Sensitive account | ","")&amp;IF(AND(MAX(N(E162),N(F162))&gt;=Settings!$C$9,MOD(MAX(N(E162),N(F162)),Settings!$C$10)=0),"Round amount | ",""))-3)))</f>
        <v/>
      </c>
      <c r="M162" s="21" t="str">
        <f aca="false">IF(A162="","",IF(COUNTIF($A$9:A162,A162)=1,MAX($M$8:M161)+1,""))</f>
        <v/>
      </c>
    </row>
    <row r="163" customFormat="false" ht="15" hidden="false" customHeight="false" outlineLevel="0" collapsed="false">
      <c r="A163" s="8"/>
      <c r="B163" s="17"/>
      <c r="C163" s="19"/>
      <c r="D163" s="8"/>
      <c r="E163" s="18"/>
      <c r="F163" s="18"/>
      <c r="G163" s="8"/>
      <c r="H163" s="8"/>
      <c r="I163" s="8"/>
      <c r="J163" s="8"/>
      <c r="K163" s="10" t="str">
        <f aca="false">IF(A163="","",IF(ABS(SUMIFS($E$9:$E$2008,$A$9:$A$2008,A163)-SUMIFS($F$9:$F$2008,$A$9:$A$2008,A163))&lt;0.5,"Yes","No"))</f>
        <v/>
      </c>
      <c r="L163" s="10" t="str">
        <f aca="false">IF(A163="","",IF(IF(K163="No","Does not balance | ","")&amp;IF(I163="","Not approved | ",IF(UPPER(TRIM(H163))=UPPER(TRIM(I163)),"Self-approved | ",""))&amp;IF(J163="","No support | ","")&amp;IF(WEEKDAY(B163,2)&gt;5,"Weekend posting | ","")&amp;IF(COUNTIF(Settings!$A$14:$A$43,B163)&gt;0,"Holiday posting | ","")&amp;IF(B163&gt;Settings!$C$8,"Posted after close | ","")&amp;IF(OR(B163&lt;Settings!$C$6,B163&gt;Settings!$C$7),"Outside period | ","")&amp;IF(COUNTIF(Settings!$E$14:$E$43,C163&amp;"")&gt;0,"Sensitive account | ","")&amp;IF(AND(MAX(N(E163),N(F163))&gt;=Settings!$C$9,MOD(MAX(N(E163),N(F163)),Settings!$C$10)=0),"Round amount | ","")="","",LEFT(IF(K163="No","Does not balance | ","")&amp;IF(I163="","Not approved | ",IF(UPPER(TRIM(H163))=UPPER(TRIM(I163)),"Self-approved | ",""))&amp;IF(J163="","No support | ","")&amp;IF(WEEKDAY(B163,2)&gt;5,"Weekend posting | ","")&amp;IF(COUNTIF(Settings!$A$14:$A$43,B163)&gt;0,"Holiday posting | ","")&amp;IF(B163&gt;Settings!$C$8,"Posted after close | ","")&amp;IF(OR(B163&lt;Settings!$C$6,B163&gt;Settings!$C$7),"Outside period | ","")&amp;IF(COUNTIF(Settings!$E$14:$E$43,C163&amp;"")&gt;0,"Sensitive account | ","")&amp;IF(AND(MAX(N(E163),N(F163))&gt;=Settings!$C$9,MOD(MAX(N(E163),N(F163)),Settings!$C$10)=0),"Round amount | ",""),LEN(IF(K163="No","Does not balance | ","")&amp;IF(I163="","Not approved | ",IF(UPPER(TRIM(H163))=UPPER(TRIM(I163)),"Self-approved | ",""))&amp;IF(J163="","No support | ","")&amp;IF(WEEKDAY(B163,2)&gt;5,"Weekend posting | ","")&amp;IF(COUNTIF(Settings!$A$14:$A$43,B163)&gt;0,"Holiday posting | ","")&amp;IF(B163&gt;Settings!$C$8,"Posted after close | ","")&amp;IF(OR(B163&lt;Settings!$C$6,B163&gt;Settings!$C$7),"Outside period | ","")&amp;IF(COUNTIF(Settings!$E$14:$E$43,C163&amp;"")&gt;0,"Sensitive account | ","")&amp;IF(AND(MAX(N(E163),N(F163))&gt;=Settings!$C$9,MOD(MAX(N(E163),N(F163)),Settings!$C$10)=0),"Round amount | ",""))-3)))</f>
        <v/>
      </c>
      <c r="M163" s="21" t="str">
        <f aca="false">IF(A163="","",IF(COUNTIF($A$9:A163,A163)=1,MAX($M$8:M162)+1,""))</f>
        <v/>
      </c>
    </row>
    <row r="164" customFormat="false" ht="15" hidden="false" customHeight="false" outlineLevel="0" collapsed="false">
      <c r="A164" s="8"/>
      <c r="B164" s="17"/>
      <c r="C164" s="19"/>
      <c r="D164" s="8"/>
      <c r="E164" s="18"/>
      <c r="F164" s="18"/>
      <c r="G164" s="8"/>
      <c r="H164" s="8"/>
      <c r="I164" s="8"/>
      <c r="J164" s="8"/>
      <c r="K164" s="10" t="str">
        <f aca="false">IF(A164="","",IF(ABS(SUMIFS($E$9:$E$2008,$A$9:$A$2008,A164)-SUMIFS($F$9:$F$2008,$A$9:$A$2008,A164))&lt;0.5,"Yes","No"))</f>
        <v/>
      </c>
      <c r="L164" s="10" t="str">
        <f aca="false">IF(A164="","",IF(IF(K164="No","Does not balance | ","")&amp;IF(I164="","Not approved | ",IF(UPPER(TRIM(H164))=UPPER(TRIM(I164)),"Self-approved | ",""))&amp;IF(J164="","No support | ","")&amp;IF(WEEKDAY(B164,2)&gt;5,"Weekend posting | ","")&amp;IF(COUNTIF(Settings!$A$14:$A$43,B164)&gt;0,"Holiday posting | ","")&amp;IF(B164&gt;Settings!$C$8,"Posted after close | ","")&amp;IF(OR(B164&lt;Settings!$C$6,B164&gt;Settings!$C$7),"Outside period | ","")&amp;IF(COUNTIF(Settings!$E$14:$E$43,C164&amp;"")&gt;0,"Sensitive account | ","")&amp;IF(AND(MAX(N(E164),N(F164))&gt;=Settings!$C$9,MOD(MAX(N(E164),N(F164)),Settings!$C$10)=0),"Round amount | ","")="","",LEFT(IF(K164="No","Does not balance | ","")&amp;IF(I164="","Not approved | ",IF(UPPER(TRIM(H164))=UPPER(TRIM(I164)),"Self-approved | ",""))&amp;IF(J164="","No support | ","")&amp;IF(WEEKDAY(B164,2)&gt;5,"Weekend posting | ","")&amp;IF(COUNTIF(Settings!$A$14:$A$43,B164)&gt;0,"Holiday posting | ","")&amp;IF(B164&gt;Settings!$C$8,"Posted after close | ","")&amp;IF(OR(B164&lt;Settings!$C$6,B164&gt;Settings!$C$7),"Outside period | ","")&amp;IF(COUNTIF(Settings!$E$14:$E$43,C164&amp;"")&gt;0,"Sensitive account | ","")&amp;IF(AND(MAX(N(E164),N(F164))&gt;=Settings!$C$9,MOD(MAX(N(E164),N(F164)),Settings!$C$10)=0),"Round amount | ",""),LEN(IF(K164="No","Does not balance | ","")&amp;IF(I164="","Not approved | ",IF(UPPER(TRIM(H164))=UPPER(TRIM(I164)),"Self-approved | ",""))&amp;IF(J164="","No support | ","")&amp;IF(WEEKDAY(B164,2)&gt;5,"Weekend posting | ","")&amp;IF(COUNTIF(Settings!$A$14:$A$43,B164)&gt;0,"Holiday posting | ","")&amp;IF(B164&gt;Settings!$C$8,"Posted after close | ","")&amp;IF(OR(B164&lt;Settings!$C$6,B164&gt;Settings!$C$7),"Outside period | ","")&amp;IF(COUNTIF(Settings!$E$14:$E$43,C164&amp;"")&gt;0,"Sensitive account | ","")&amp;IF(AND(MAX(N(E164),N(F164))&gt;=Settings!$C$9,MOD(MAX(N(E164),N(F164)),Settings!$C$10)=0),"Round amount | ",""))-3)))</f>
        <v/>
      </c>
      <c r="M164" s="21" t="str">
        <f aca="false">IF(A164="","",IF(COUNTIF($A$9:A164,A164)=1,MAX($M$8:M163)+1,""))</f>
        <v/>
      </c>
    </row>
    <row r="165" customFormat="false" ht="15" hidden="false" customHeight="false" outlineLevel="0" collapsed="false">
      <c r="A165" s="8"/>
      <c r="B165" s="17"/>
      <c r="C165" s="19"/>
      <c r="D165" s="8"/>
      <c r="E165" s="18"/>
      <c r="F165" s="18"/>
      <c r="G165" s="8"/>
      <c r="H165" s="8"/>
      <c r="I165" s="8"/>
      <c r="J165" s="8"/>
      <c r="K165" s="10" t="str">
        <f aca="false">IF(A165="","",IF(ABS(SUMIFS($E$9:$E$2008,$A$9:$A$2008,A165)-SUMIFS($F$9:$F$2008,$A$9:$A$2008,A165))&lt;0.5,"Yes","No"))</f>
        <v/>
      </c>
      <c r="L165" s="10" t="str">
        <f aca="false">IF(A165="","",IF(IF(K165="No","Does not balance | ","")&amp;IF(I165="","Not approved | ",IF(UPPER(TRIM(H165))=UPPER(TRIM(I165)),"Self-approved | ",""))&amp;IF(J165="","No support | ","")&amp;IF(WEEKDAY(B165,2)&gt;5,"Weekend posting | ","")&amp;IF(COUNTIF(Settings!$A$14:$A$43,B165)&gt;0,"Holiday posting | ","")&amp;IF(B165&gt;Settings!$C$8,"Posted after close | ","")&amp;IF(OR(B165&lt;Settings!$C$6,B165&gt;Settings!$C$7),"Outside period | ","")&amp;IF(COUNTIF(Settings!$E$14:$E$43,C165&amp;"")&gt;0,"Sensitive account | ","")&amp;IF(AND(MAX(N(E165),N(F165))&gt;=Settings!$C$9,MOD(MAX(N(E165),N(F165)),Settings!$C$10)=0),"Round amount | ","")="","",LEFT(IF(K165="No","Does not balance | ","")&amp;IF(I165="","Not approved | ",IF(UPPER(TRIM(H165))=UPPER(TRIM(I165)),"Self-approved | ",""))&amp;IF(J165="","No support | ","")&amp;IF(WEEKDAY(B165,2)&gt;5,"Weekend posting | ","")&amp;IF(COUNTIF(Settings!$A$14:$A$43,B165)&gt;0,"Holiday posting | ","")&amp;IF(B165&gt;Settings!$C$8,"Posted after close | ","")&amp;IF(OR(B165&lt;Settings!$C$6,B165&gt;Settings!$C$7),"Outside period | ","")&amp;IF(COUNTIF(Settings!$E$14:$E$43,C165&amp;"")&gt;0,"Sensitive account | ","")&amp;IF(AND(MAX(N(E165),N(F165))&gt;=Settings!$C$9,MOD(MAX(N(E165),N(F165)),Settings!$C$10)=0),"Round amount | ",""),LEN(IF(K165="No","Does not balance | ","")&amp;IF(I165="","Not approved | ",IF(UPPER(TRIM(H165))=UPPER(TRIM(I165)),"Self-approved | ",""))&amp;IF(J165="","No support | ","")&amp;IF(WEEKDAY(B165,2)&gt;5,"Weekend posting | ","")&amp;IF(COUNTIF(Settings!$A$14:$A$43,B165)&gt;0,"Holiday posting | ","")&amp;IF(B165&gt;Settings!$C$8,"Posted after close | ","")&amp;IF(OR(B165&lt;Settings!$C$6,B165&gt;Settings!$C$7),"Outside period | ","")&amp;IF(COUNTIF(Settings!$E$14:$E$43,C165&amp;"")&gt;0,"Sensitive account | ","")&amp;IF(AND(MAX(N(E165),N(F165))&gt;=Settings!$C$9,MOD(MAX(N(E165),N(F165)),Settings!$C$10)=0),"Round amount | ",""))-3)))</f>
        <v/>
      </c>
      <c r="M165" s="21" t="str">
        <f aca="false">IF(A165="","",IF(COUNTIF($A$9:A165,A165)=1,MAX($M$8:M164)+1,""))</f>
        <v/>
      </c>
    </row>
    <row r="166" customFormat="false" ht="15" hidden="false" customHeight="false" outlineLevel="0" collapsed="false">
      <c r="A166" s="8"/>
      <c r="B166" s="17"/>
      <c r="C166" s="19"/>
      <c r="D166" s="8"/>
      <c r="E166" s="18"/>
      <c r="F166" s="18"/>
      <c r="G166" s="8"/>
      <c r="H166" s="8"/>
      <c r="I166" s="8"/>
      <c r="J166" s="8"/>
      <c r="K166" s="10" t="str">
        <f aca="false">IF(A166="","",IF(ABS(SUMIFS($E$9:$E$2008,$A$9:$A$2008,A166)-SUMIFS($F$9:$F$2008,$A$9:$A$2008,A166))&lt;0.5,"Yes","No"))</f>
        <v/>
      </c>
      <c r="L166" s="10" t="str">
        <f aca="false">IF(A166="","",IF(IF(K166="No","Does not balance | ","")&amp;IF(I166="","Not approved | ",IF(UPPER(TRIM(H166))=UPPER(TRIM(I166)),"Self-approved | ",""))&amp;IF(J166="","No support | ","")&amp;IF(WEEKDAY(B166,2)&gt;5,"Weekend posting | ","")&amp;IF(COUNTIF(Settings!$A$14:$A$43,B166)&gt;0,"Holiday posting | ","")&amp;IF(B166&gt;Settings!$C$8,"Posted after close | ","")&amp;IF(OR(B166&lt;Settings!$C$6,B166&gt;Settings!$C$7),"Outside period | ","")&amp;IF(COUNTIF(Settings!$E$14:$E$43,C166&amp;"")&gt;0,"Sensitive account | ","")&amp;IF(AND(MAX(N(E166),N(F166))&gt;=Settings!$C$9,MOD(MAX(N(E166),N(F166)),Settings!$C$10)=0),"Round amount | ","")="","",LEFT(IF(K166="No","Does not balance | ","")&amp;IF(I166="","Not approved | ",IF(UPPER(TRIM(H166))=UPPER(TRIM(I166)),"Self-approved | ",""))&amp;IF(J166="","No support | ","")&amp;IF(WEEKDAY(B166,2)&gt;5,"Weekend posting | ","")&amp;IF(COUNTIF(Settings!$A$14:$A$43,B166)&gt;0,"Holiday posting | ","")&amp;IF(B166&gt;Settings!$C$8,"Posted after close | ","")&amp;IF(OR(B166&lt;Settings!$C$6,B166&gt;Settings!$C$7),"Outside period | ","")&amp;IF(COUNTIF(Settings!$E$14:$E$43,C166&amp;"")&gt;0,"Sensitive account | ","")&amp;IF(AND(MAX(N(E166),N(F166))&gt;=Settings!$C$9,MOD(MAX(N(E166),N(F166)),Settings!$C$10)=0),"Round amount | ",""),LEN(IF(K166="No","Does not balance | ","")&amp;IF(I166="","Not approved | ",IF(UPPER(TRIM(H166))=UPPER(TRIM(I166)),"Self-approved | ",""))&amp;IF(J166="","No support | ","")&amp;IF(WEEKDAY(B166,2)&gt;5,"Weekend posting | ","")&amp;IF(COUNTIF(Settings!$A$14:$A$43,B166)&gt;0,"Holiday posting | ","")&amp;IF(B166&gt;Settings!$C$8,"Posted after close | ","")&amp;IF(OR(B166&lt;Settings!$C$6,B166&gt;Settings!$C$7),"Outside period | ","")&amp;IF(COUNTIF(Settings!$E$14:$E$43,C166&amp;"")&gt;0,"Sensitive account | ","")&amp;IF(AND(MAX(N(E166),N(F166))&gt;=Settings!$C$9,MOD(MAX(N(E166),N(F166)),Settings!$C$10)=0),"Round amount | ",""))-3)))</f>
        <v/>
      </c>
      <c r="M166" s="21" t="str">
        <f aca="false">IF(A166="","",IF(COUNTIF($A$9:A166,A166)=1,MAX($M$8:M165)+1,""))</f>
        <v/>
      </c>
    </row>
    <row r="167" customFormat="false" ht="15" hidden="false" customHeight="false" outlineLevel="0" collapsed="false">
      <c r="A167" s="8"/>
      <c r="B167" s="17"/>
      <c r="C167" s="19"/>
      <c r="D167" s="8"/>
      <c r="E167" s="18"/>
      <c r="F167" s="18"/>
      <c r="G167" s="8"/>
      <c r="H167" s="8"/>
      <c r="I167" s="8"/>
      <c r="J167" s="8"/>
      <c r="K167" s="10" t="str">
        <f aca="false">IF(A167="","",IF(ABS(SUMIFS($E$9:$E$2008,$A$9:$A$2008,A167)-SUMIFS($F$9:$F$2008,$A$9:$A$2008,A167))&lt;0.5,"Yes","No"))</f>
        <v/>
      </c>
      <c r="L167" s="10" t="str">
        <f aca="false">IF(A167="","",IF(IF(K167="No","Does not balance | ","")&amp;IF(I167="","Not approved | ",IF(UPPER(TRIM(H167))=UPPER(TRIM(I167)),"Self-approved | ",""))&amp;IF(J167="","No support | ","")&amp;IF(WEEKDAY(B167,2)&gt;5,"Weekend posting | ","")&amp;IF(COUNTIF(Settings!$A$14:$A$43,B167)&gt;0,"Holiday posting | ","")&amp;IF(B167&gt;Settings!$C$8,"Posted after close | ","")&amp;IF(OR(B167&lt;Settings!$C$6,B167&gt;Settings!$C$7),"Outside period | ","")&amp;IF(COUNTIF(Settings!$E$14:$E$43,C167&amp;"")&gt;0,"Sensitive account | ","")&amp;IF(AND(MAX(N(E167),N(F167))&gt;=Settings!$C$9,MOD(MAX(N(E167),N(F167)),Settings!$C$10)=0),"Round amount | ","")="","",LEFT(IF(K167="No","Does not balance | ","")&amp;IF(I167="","Not approved | ",IF(UPPER(TRIM(H167))=UPPER(TRIM(I167)),"Self-approved | ",""))&amp;IF(J167="","No support | ","")&amp;IF(WEEKDAY(B167,2)&gt;5,"Weekend posting | ","")&amp;IF(COUNTIF(Settings!$A$14:$A$43,B167)&gt;0,"Holiday posting | ","")&amp;IF(B167&gt;Settings!$C$8,"Posted after close | ","")&amp;IF(OR(B167&lt;Settings!$C$6,B167&gt;Settings!$C$7),"Outside period | ","")&amp;IF(COUNTIF(Settings!$E$14:$E$43,C167&amp;"")&gt;0,"Sensitive account | ","")&amp;IF(AND(MAX(N(E167),N(F167))&gt;=Settings!$C$9,MOD(MAX(N(E167),N(F167)),Settings!$C$10)=0),"Round amount | ",""),LEN(IF(K167="No","Does not balance | ","")&amp;IF(I167="","Not approved | ",IF(UPPER(TRIM(H167))=UPPER(TRIM(I167)),"Self-approved | ",""))&amp;IF(J167="","No support | ","")&amp;IF(WEEKDAY(B167,2)&gt;5,"Weekend posting | ","")&amp;IF(COUNTIF(Settings!$A$14:$A$43,B167)&gt;0,"Holiday posting | ","")&amp;IF(B167&gt;Settings!$C$8,"Posted after close | ","")&amp;IF(OR(B167&lt;Settings!$C$6,B167&gt;Settings!$C$7),"Outside period | ","")&amp;IF(COUNTIF(Settings!$E$14:$E$43,C167&amp;"")&gt;0,"Sensitive account | ","")&amp;IF(AND(MAX(N(E167),N(F167))&gt;=Settings!$C$9,MOD(MAX(N(E167),N(F167)),Settings!$C$10)=0),"Round amount | ",""))-3)))</f>
        <v/>
      </c>
      <c r="M167" s="21" t="str">
        <f aca="false">IF(A167="","",IF(COUNTIF($A$9:A167,A167)=1,MAX($M$8:M166)+1,""))</f>
        <v/>
      </c>
    </row>
    <row r="168" customFormat="false" ht="15" hidden="false" customHeight="false" outlineLevel="0" collapsed="false">
      <c r="A168" s="8"/>
      <c r="B168" s="17"/>
      <c r="C168" s="19"/>
      <c r="D168" s="8"/>
      <c r="E168" s="18"/>
      <c r="F168" s="18"/>
      <c r="G168" s="8"/>
      <c r="H168" s="8"/>
      <c r="I168" s="8"/>
      <c r="J168" s="8"/>
      <c r="K168" s="10" t="str">
        <f aca="false">IF(A168="","",IF(ABS(SUMIFS($E$9:$E$2008,$A$9:$A$2008,A168)-SUMIFS($F$9:$F$2008,$A$9:$A$2008,A168))&lt;0.5,"Yes","No"))</f>
        <v/>
      </c>
      <c r="L168" s="10" t="str">
        <f aca="false">IF(A168="","",IF(IF(K168="No","Does not balance | ","")&amp;IF(I168="","Not approved | ",IF(UPPER(TRIM(H168))=UPPER(TRIM(I168)),"Self-approved | ",""))&amp;IF(J168="","No support | ","")&amp;IF(WEEKDAY(B168,2)&gt;5,"Weekend posting | ","")&amp;IF(COUNTIF(Settings!$A$14:$A$43,B168)&gt;0,"Holiday posting | ","")&amp;IF(B168&gt;Settings!$C$8,"Posted after close | ","")&amp;IF(OR(B168&lt;Settings!$C$6,B168&gt;Settings!$C$7),"Outside period | ","")&amp;IF(COUNTIF(Settings!$E$14:$E$43,C168&amp;"")&gt;0,"Sensitive account | ","")&amp;IF(AND(MAX(N(E168),N(F168))&gt;=Settings!$C$9,MOD(MAX(N(E168),N(F168)),Settings!$C$10)=0),"Round amount | ","")="","",LEFT(IF(K168="No","Does not balance | ","")&amp;IF(I168="","Not approved | ",IF(UPPER(TRIM(H168))=UPPER(TRIM(I168)),"Self-approved | ",""))&amp;IF(J168="","No support | ","")&amp;IF(WEEKDAY(B168,2)&gt;5,"Weekend posting | ","")&amp;IF(COUNTIF(Settings!$A$14:$A$43,B168)&gt;0,"Holiday posting | ","")&amp;IF(B168&gt;Settings!$C$8,"Posted after close | ","")&amp;IF(OR(B168&lt;Settings!$C$6,B168&gt;Settings!$C$7),"Outside period | ","")&amp;IF(COUNTIF(Settings!$E$14:$E$43,C168&amp;"")&gt;0,"Sensitive account | ","")&amp;IF(AND(MAX(N(E168),N(F168))&gt;=Settings!$C$9,MOD(MAX(N(E168),N(F168)),Settings!$C$10)=0),"Round amount | ",""),LEN(IF(K168="No","Does not balance | ","")&amp;IF(I168="","Not approved | ",IF(UPPER(TRIM(H168))=UPPER(TRIM(I168)),"Self-approved | ",""))&amp;IF(J168="","No support | ","")&amp;IF(WEEKDAY(B168,2)&gt;5,"Weekend posting | ","")&amp;IF(COUNTIF(Settings!$A$14:$A$43,B168)&gt;0,"Holiday posting | ","")&amp;IF(B168&gt;Settings!$C$8,"Posted after close | ","")&amp;IF(OR(B168&lt;Settings!$C$6,B168&gt;Settings!$C$7),"Outside period | ","")&amp;IF(COUNTIF(Settings!$E$14:$E$43,C168&amp;"")&gt;0,"Sensitive account | ","")&amp;IF(AND(MAX(N(E168),N(F168))&gt;=Settings!$C$9,MOD(MAX(N(E168),N(F168)),Settings!$C$10)=0),"Round amount | ",""))-3)))</f>
        <v/>
      </c>
      <c r="M168" s="21" t="str">
        <f aca="false">IF(A168="","",IF(COUNTIF($A$9:A168,A168)=1,MAX($M$8:M167)+1,""))</f>
        <v/>
      </c>
    </row>
    <row r="169" customFormat="false" ht="15" hidden="false" customHeight="false" outlineLevel="0" collapsed="false">
      <c r="A169" s="8"/>
      <c r="B169" s="17"/>
      <c r="C169" s="19"/>
      <c r="D169" s="8"/>
      <c r="E169" s="18"/>
      <c r="F169" s="18"/>
      <c r="G169" s="8"/>
      <c r="H169" s="8"/>
      <c r="I169" s="8"/>
      <c r="J169" s="8"/>
      <c r="K169" s="10" t="str">
        <f aca="false">IF(A169="","",IF(ABS(SUMIFS($E$9:$E$2008,$A$9:$A$2008,A169)-SUMIFS($F$9:$F$2008,$A$9:$A$2008,A169))&lt;0.5,"Yes","No"))</f>
        <v/>
      </c>
      <c r="L169" s="10" t="str">
        <f aca="false">IF(A169="","",IF(IF(K169="No","Does not balance | ","")&amp;IF(I169="","Not approved | ",IF(UPPER(TRIM(H169))=UPPER(TRIM(I169)),"Self-approved | ",""))&amp;IF(J169="","No support | ","")&amp;IF(WEEKDAY(B169,2)&gt;5,"Weekend posting | ","")&amp;IF(COUNTIF(Settings!$A$14:$A$43,B169)&gt;0,"Holiday posting | ","")&amp;IF(B169&gt;Settings!$C$8,"Posted after close | ","")&amp;IF(OR(B169&lt;Settings!$C$6,B169&gt;Settings!$C$7),"Outside period | ","")&amp;IF(COUNTIF(Settings!$E$14:$E$43,C169&amp;"")&gt;0,"Sensitive account | ","")&amp;IF(AND(MAX(N(E169),N(F169))&gt;=Settings!$C$9,MOD(MAX(N(E169),N(F169)),Settings!$C$10)=0),"Round amount | ","")="","",LEFT(IF(K169="No","Does not balance | ","")&amp;IF(I169="","Not approved | ",IF(UPPER(TRIM(H169))=UPPER(TRIM(I169)),"Self-approved | ",""))&amp;IF(J169="","No support | ","")&amp;IF(WEEKDAY(B169,2)&gt;5,"Weekend posting | ","")&amp;IF(COUNTIF(Settings!$A$14:$A$43,B169)&gt;0,"Holiday posting | ","")&amp;IF(B169&gt;Settings!$C$8,"Posted after close | ","")&amp;IF(OR(B169&lt;Settings!$C$6,B169&gt;Settings!$C$7),"Outside period | ","")&amp;IF(COUNTIF(Settings!$E$14:$E$43,C169&amp;"")&gt;0,"Sensitive account | ","")&amp;IF(AND(MAX(N(E169),N(F169))&gt;=Settings!$C$9,MOD(MAX(N(E169),N(F169)),Settings!$C$10)=0),"Round amount | ",""),LEN(IF(K169="No","Does not balance | ","")&amp;IF(I169="","Not approved | ",IF(UPPER(TRIM(H169))=UPPER(TRIM(I169)),"Self-approved | ",""))&amp;IF(J169="","No support | ","")&amp;IF(WEEKDAY(B169,2)&gt;5,"Weekend posting | ","")&amp;IF(COUNTIF(Settings!$A$14:$A$43,B169)&gt;0,"Holiday posting | ","")&amp;IF(B169&gt;Settings!$C$8,"Posted after close | ","")&amp;IF(OR(B169&lt;Settings!$C$6,B169&gt;Settings!$C$7),"Outside period | ","")&amp;IF(COUNTIF(Settings!$E$14:$E$43,C169&amp;"")&gt;0,"Sensitive account | ","")&amp;IF(AND(MAX(N(E169),N(F169))&gt;=Settings!$C$9,MOD(MAX(N(E169),N(F169)),Settings!$C$10)=0),"Round amount | ",""))-3)))</f>
        <v/>
      </c>
      <c r="M169" s="21" t="str">
        <f aca="false">IF(A169="","",IF(COUNTIF($A$9:A169,A169)=1,MAX($M$8:M168)+1,""))</f>
        <v/>
      </c>
    </row>
    <row r="170" customFormat="false" ht="15" hidden="false" customHeight="false" outlineLevel="0" collapsed="false">
      <c r="A170" s="8"/>
      <c r="B170" s="17"/>
      <c r="C170" s="19"/>
      <c r="D170" s="8"/>
      <c r="E170" s="18"/>
      <c r="F170" s="18"/>
      <c r="G170" s="8"/>
      <c r="H170" s="8"/>
      <c r="I170" s="8"/>
      <c r="J170" s="8"/>
      <c r="K170" s="10" t="str">
        <f aca="false">IF(A170="","",IF(ABS(SUMIFS($E$9:$E$2008,$A$9:$A$2008,A170)-SUMIFS($F$9:$F$2008,$A$9:$A$2008,A170))&lt;0.5,"Yes","No"))</f>
        <v/>
      </c>
      <c r="L170" s="10" t="str">
        <f aca="false">IF(A170="","",IF(IF(K170="No","Does not balance | ","")&amp;IF(I170="","Not approved | ",IF(UPPER(TRIM(H170))=UPPER(TRIM(I170)),"Self-approved | ",""))&amp;IF(J170="","No support | ","")&amp;IF(WEEKDAY(B170,2)&gt;5,"Weekend posting | ","")&amp;IF(COUNTIF(Settings!$A$14:$A$43,B170)&gt;0,"Holiday posting | ","")&amp;IF(B170&gt;Settings!$C$8,"Posted after close | ","")&amp;IF(OR(B170&lt;Settings!$C$6,B170&gt;Settings!$C$7),"Outside period | ","")&amp;IF(COUNTIF(Settings!$E$14:$E$43,C170&amp;"")&gt;0,"Sensitive account | ","")&amp;IF(AND(MAX(N(E170),N(F170))&gt;=Settings!$C$9,MOD(MAX(N(E170),N(F170)),Settings!$C$10)=0),"Round amount | ","")="","",LEFT(IF(K170="No","Does not balance | ","")&amp;IF(I170="","Not approved | ",IF(UPPER(TRIM(H170))=UPPER(TRIM(I170)),"Self-approved | ",""))&amp;IF(J170="","No support | ","")&amp;IF(WEEKDAY(B170,2)&gt;5,"Weekend posting | ","")&amp;IF(COUNTIF(Settings!$A$14:$A$43,B170)&gt;0,"Holiday posting | ","")&amp;IF(B170&gt;Settings!$C$8,"Posted after close | ","")&amp;IF(OR(B170&lt;Settings!$C$6,B170&gt;Settings!$C$7),"Outside period | ","")&amp;IF(COUNTIF(Settings!$E$14:$E$43,C170&amp;"")&gt;0,"Sensitive account | ","")&amp;IF(AND(MAX(N(E170),N(F170))&gt;=Settings!$C$9,MOD(MAX(N(E170),N(F170)),Settings!$C$10)=0),"Round amount | ",""),LEN(IF(K170="No","Does not balance | ","")&amp;IF(I170="","Not approved | ",IF(UPPER(TRIM(H170))=UPPER(TRIM(I170)),"Self-approved | ",""))&amp;IF(J170="","No support | ","")&amp;IF(WEEKDAY(B170,2)&gt;5,"Weekend posting | ","")&amp;IF(COUNTIF(Settings!$A$14:$A$43,B170)&gt;0,"Holiday posting | ","")&amp;IF(B170&gt;Settings!$C$8,"Posted after close | ","")&amp;IF(OR(B170&lt;Settings!$C$6,B170&gt;Settings!$C$7),"Outside period | ","")&amp;IF(COUNTIF(Settings!$E$14:$E$43,C170&amp;"")&gt;0,"Sensitive account | ","")&amp;IF(AND(MAX(N(E170),N(F170))&gt;=Settings!$C$9,MOD(MAX(N(E170),N(F170)),Settings!$C$10)=0),"Round amount | ",""))-3)))</f>
        <v/>
      </c>
      <c r="M170" s="21" t="str">
        <f aca="false">IF(A170="","",IF(COUNTIF($A$9:A170,A170)=1,MAX($M$8:M169)+1,""))</f>
        <v/>
      </c>
    </row>
    <row r="171" customFormat="false" ht="15" hidden="false" customHeight="false" outlineLevel="0" collapsed="false">
      <c r="A171" s="8"/>
      <c r="B171" s="17"/>
      <c r="C171" s="19"/>
      <c r="D171" s="8"/>
      <c r="E171" s="18"/>
      <c r="F171" s="18"/>
      <c r="G171" s="8"/>
      <c r="H171" s="8"/>
      <c r="I171" s="8"/>
      <c r="J171" s="8"/>
      <c r="K171" s="10" t="str">
        <f aca="false">IF(A171="","",IF(ABS(SUMIFS($E$9:$E$2008,$A$9:$A$2008,A171)-SUMIFS($F$9:$F$2008,$A$9:$A$2008,A171))&lt;0.5,"Yes","No"))</f>
        <v/>
      </c>
      <c r="L171" s="10" t="str">
        <f aca="false">IF(A171="","",IF(IF(K171="No","Does not balance | ","")&amp;IF(I171="","Not approved | ",IF(UPPER(TRIM(H171))=UPPER(TRIM(I171)),"Self-approved | ",""))&amp;IF(J171="","No support | ","")&amp;IF(WEEKDAY(B171,2)&gt;5,"Weekend posting | ","")&amp;IF(COUNTIF(Settings!$A$14:$A$43,B171)&gt;0,"Holiday posting | ","")&amp;IF(B171&gt;Settings!$C$8,"Posted after close | ","")&amp;IF(OR(B171&lt;Settings!$C$6,B171&gt;Settings!$C$7),"Outside period | ","")&amp;IF(COUNTIF(Settings!$E$14:$E$43,C171&amp;"")&gt;0,"Sensitive account | ","")&amp;IF(AND(MAX(N(E171),N(F171))&gt;=Settings!$C$9,MOD(MAX(N(E171),N(F171)),Settings!$C$10)=0),"Round amount | ","")="","",LEFT(IF(K171="No","Does not balance | ","")&amp;IF(I171="","Not approved | ",IF(UPPER(TRIM(H171))=UPPER(TRIM(I171)),"Self-approved | ",""))&amp;IF(J171="","No support | ","")&amp;IF(WEEKDAY(B171,2)&gt;5,"Weekend posting | ","")&amp;IF(COUNTIF(Settings!$A$14:$A$43,B171)&gt;0,"Holiday posting | ","")&amp;IF(B171&gt;Settings!$C$8,"Posted after close | ","")&amp;IF(OR(B171&lt;Settings!$C$6,B171&gt;Settings!$C$7),"Outside period | ","")&amp;IF(COUNTIF(Settings!$E$14:$E$43,C171&amp;"")&gt;0,"Sensitive account | ","")&amp;IF(AND(MAX(N(E171),N(F171))&gt;=Settings!$C$9,MOD(MAX(N(E171),N(F171)),Settings!$C$10)=0),"Round amount | ",""),LEN(IF(K171="No","Does not balance | ","")&amp;IF(I171="","Not approved | ",IF(UPPER(TRIM(H171))=UPPER(TRIM(I171)),"Self-approved | ",""))&amp;IF(J171="","No support | ","")&amp;IF(WEEKDAY(B171,2)&gt;5,"Weekend posting | ","")&amp;IF(COUNTIF(Settings!$A$14:$A$43,B171)&gt;0,"Holiday posting | ","")&amp;IF(B171&gt;Settings!$C$8,"Posted after close | ","")&amp;IF(OR(B171&lt;Settings!$C$6,B171&gt;Settings!$C$7),"Outside period | ","")&amp;IF(COUNTIF(Settings!$E$14:$E$43,C171&amp;"")&gt;0,"Sensitive account | ","")&amp;IF(AND(MAX(N(E171),N(F171))&gt;=Settings!$C$9,MOD(MAX(N(E171),N(F171)),Settings!$C$10)=0),"Round amount | ",""))-3)))</f>
        <v/>
      </c>
      <c r="M171" s="21" t="str">
        <f aca="false">IF(A171="","",IF(COUNTIF($A$9:A171,A171)=1,MAX($M$8:M170)+1,""))</f>
        <v/>
      </c>
    </row>
    <row r="172" customFormat="false" ht="15" hidden="false" customHeight="false" outlineLevel="0" collapsed="false">
      <c r="A172" s="8"/>
      <c r="B172" s="17"/>
      <c r="C172" s="19"/>
      <c r="D172" s="8"/>
      <c r="E172" s="18"/>
      <c r="F172" s="18"/>
      <c r="G172" s="8"/>
      <c r="H172" s="8"/>
      <c r="I172" s="8"/>
      <c r="J172" s="8"/>
      <c r="K172" s="10" t="str">
        <f aca="false">IF(A172="","",IF(ABS(SUMIFS($E$9:$E$2008,$A$9:$A$2008,A172)-SUMIFS($F$9:$F$2008,$A$9:$A$2008,A172))&lt;0.5,"Yes","No"))</f>
        <v/>
      </c>
      <c r="L172" s="10" t="str">
        <f aca="false">IF(A172="","",IF(IF(K172="No","Does not balance | ","")&amp;IF(I172="","Not approved | ",IF(UPPER(TRIM(H172))=UPPER(TRIM(I172)),"Self-approved | ",""))&amp;IF(J172="","No support | ","")&amp;IF(WEEKDAY(B172,2)&gt;5,"Weekend posting | ","")&amp;IF(COUNTIF(Settings!$A$14:$A$43,B172)&gt;0,"Holiday posting | ","")&amp;IF(B172&gt;Settings!$C$8,"Posted after close | ","")&amp;IF(OR(B172&lt;Settings!$C$6,B172&gt;Settings!$C$7),"Outside period | ","")&amp;IF(COUNTIF(Settings!$E$14:$E$43,C172&amp;"")&gt;0,"Sensitive account | ","")&amp;IF(AND(MAX(N(E172),N(F172))&gt;=Settings!$C$9,MOD(MAX(N(E172),N(F172)),Settings!$C$10)=0),"Round amount | ","")="","",LEFT(IF(K172="No","Does not balance | ","")&amp;IF(I172="","Not approved | ",IF(UPPER(TRIM(H172))=UPPER(TRIM(I172)),"Self-approved | ",""))&amp;IF(J172="","No support | ","")&amp;IF(WEEKDAY(B172,2)&gt;5,"Weekend posting | ","")&amp;IF(COUNTIF(Settings!$A$14:$A$43,B172)&gt;0,"Holiday posting | ","")&amp;IF(B172&gt;Settings!$C$8,"Posted after close | ","")&amp;IF(OR(B172&lt;Settings!$C$6,B172&gt;Settings!$C$7),"Outside period | ","")&amp;IF(COUNTIF(Settings!$E$14:$E$43,C172&amp;"")&gt;0,"Sensitive account | ","")&amp;IF(AND(MAX(N(E172),N(F172))&gt;=Settings!$C$9,MOD(MAX(N(E172),N(F172)),Settings!$C$10)=0),"Round amount | ",""),LEN(IF(K172="No","Does not balance | ","")&amp;IF(I172="","Not approved | ",IF(UPPER(TRIM(H172))=UPPER(TRIM(I172)),"Self-approved | ",""))&amp;IF(J172="","No support | ","")&amp;IF(WEEKDAY(B172,2)&gt;5,"Weekend posting | ","")&amp;IF(COUNTIF(Settings!$A$14:$A$43,B172)&gt;0,"Holiday posting | ","")&amp;IF(B172&gt;Settings!$C$8,"Posted after close | ","")&amp;IF(OR(B172&lt;Settings!$C$6,B172&gt;Settings!$C$7),"Outside period | ","")&amp;IF(COUNTIF(Settings!$E$14:$E$43,C172&amp;"")&gt;0,"Sensitive account | ","")&amp;IF(AND(MAX(N(E172),N(F172))&gt;=Settings!$C$9,MOD(MAX(N(E172),N(F172)),Settings!$C$10)=0),"Round amount | ",""))-3)))</f>
        <v/>
      </c>
      <c r="M172" s="21" t="str">
        <f aca="false">IF(A172="","",IF(COUNTIF($A$9:A172,A172)=1,MAX($M$8:M171)+1,""))</f>
        <v/>
      </c>
    </row>
    <row r="173" customFormat="false" ht="15" hidden="false" customHeight="false" outlineLevel="0" collapsed="false">
      <c r="A173" s="8"/>
      <c r="B173" s="17"/>
      <c r="C173" s="19"/>
      <c r="D173" s="8"/>
      <c r="E173" s="18"/>
      <c r="F173" s="18"/>
      <c r="G173" s="8"/>
      <c r="H173" s="8"/>
      <c r="I173" s="8"/>
      <c r="J173" s="8"/>
      <c r="K173" s="10" t="str">
        <f aca="false">IF(A173="","",IF(ABS(SUMIFS($E$9:$E$2008,$A$9:$A$2008,A173)-SUMIFS($F$9:$F$2008,$A$9:$A$2008,A173))&lt;0.5,"Yes","No"))</f>
        <v/>
      </c>
      <c r="L173" s="10" t="str">
        <f aca="false">IF(A173="","",IF(IF(K173="No","Does not balance | ","")&amp;IF(I173="","Not approved | ",IF(UPPER(TRIM(H173))=UPPER(TRIM(I173)),"Self-approved | ",""))&amp;IF(J173="","No support | ","")&amp;IF(WEEKDAY(B173,2)&gt;5,"Weekend posting | ","")&amp;IF(COUNTIF(Settings!$A$14:$A$43,B173)&gt;0,"Holiday posting | ","")&amp;IF(B173&gt;Settings!$C$8,"Posted after close | ","")&amp;IF(OR(B173&lt;Settings!$C$6,B173&gt;Settings!$C$7),"Outside period | ","")&amp;IF(COUNTIF(Settings!$E$14:$E$43,C173&amp;"")&gt;0,"Sensitive account | ","")&amp;IF(AND(MAX(N(E173),N(F173))&gt;=Settings!$C$9,MOD(MAX(N(E173),N(F173)),Settings!$C$10)=0),"Round amount | ","")="","",LEFT(IF(K173="No","Does not balance | ","")&amp;IF(I173="","Not approved | ",IF(UPPER(TRIM(H173))=UPPER(TRIM(I173)),"Self-approved | ",""))&amp;IF(J173="","No support | ","")&amp;IF(WEEKDAY(B173,2)&gt;5,"Weekend posting | ","")&amp;IF(COUNTIF(Settings!$A$14:$A$43,B173)&gt;0,"Holiday posting | ","")&amp;IF(B173&gt;Settings!$C$8,"Posted after close | ","")&amp;IF(OR(B173&lt;Settings!$C$6,B173&gt;Settings!$C$7),"Outside period | ","")&amp;IF(COUNTIF(Settings!$E$14:$E$43,C173&amp;"")&gt;0,"Sensitive account | ","")&amp;IF(AND(MAX(N(E173),N(F173))&gt;=Settings!$C$9,MOD(MAX(N(E173),N(F173)),Settings!$C$10)=0),"Round amount | ",""),LEN(IF(K173="No","Does not balance | ","")&amp;IF(I173="","Not approved | ",IF(UPPER(TRIM(H173))=UPPER(TRIM(I173)),"Self-approved | ",""))&amp;IF(J173="","No support | ","")&amp;IF(WEEKDAY(B173,2)&gt;5,"Weekend posting | ","")&amp;IF(COUNTIF(Settings!$A$14:$A$43,B173)&gt;0,"Holiday posting | ","")&amp;IF(B173&gt;Settings!$C$8,"Posted after close | ","")&amp;IF(OR(B173&lt;Settings!$C$6,B173&gt;Settings!$C$7),"Outside period | ","")&amp;IF(COUNTIF(Settings!$E$14:$E$43,C173&amp;"")&gt;0,"Sensitive account | ","")&amp;IF(AND(MAX(N(E173),N(F173))&gt;=Settings!$C$9,MOD(MAX(N(E173),N(F173)),Settings!$C$10)=0),"Round amount | ",""))-3)))</f>
        <v/>
      </c>
      <c r="M173" s="21" t="str">
        <f aca="false">IF(A173="","",IF(COUNTIF($A$9:A173,A173)=1,MAX($M$8:M172)+1,""))</f>
        <v/>
      </c>
    </row>
    <row r="174" customFormat="false" ht="15" hidden="false" customHeight="false" outlineLevel="0" collapsed="false">
      <c r="A174" s="8"/>
      <c r="B174" s="17"/>
      <c r="C174" s="19"/>
      <c r="D174" s="8"/>
      <c r="E174" s="18"/>
      <c r="F174" s="18"/>
      <c r="G174" s="8"/>
      <c r="H174" s="8"/>
      <c r="I174" s="8"/>
      <c r="J174" s="8"/>
      <c r="K174" s="10" t="str">
        <f aca="false">IF(A174="","",IF(ABS(SUMIFS($E$9:$E$2008,$A$9:$A$2008,A174)-SUMIFS($F$9:$F$2008,$A$9:$A$2008,A174))&lt;0.5,"Yes","No"))</f>
        <v/>
      </c>
      <c r="L174" s="10" t="str">
        <f aca="false">IF(A174="","",IF(IF(K174="No","Does not balance | ","")&amp;IF(I174="","Not approved | ",IF(UPPER(TRIM(H174))=UPPER(TRIM(I174)),"Self-approved | ",""))&amp;IF(J174="","No support | ","")&amp;IF(WEEKDAY(B174,2)&gt;5,"Weekend posting | ","")&amp;IF(COUNTIF(Settings!$A$14:$A$43,B174)&gt;0,"Holiday posting | ","")&amp;IF(B174&gt;Settings!$C$8,"Posted after close | ","")&amp;IF(OR(B174&lt;Settings!$C$6,B174&gt;Settings!$C$7),"Outside period | ","")&amp;IF(COUNTIF(Settings!$E$14:$E$43,C174&amp;"")&gt;0,"Sensitive account | ","")&amp;IF(AND(MAX(N(E174),N(F174))&gt;=Settings!$C$9,MOD(MAX(N(E174),N(F174)),Settings!$C$10)=0),"Round amount | ","")="","",LEFT(IF(K174="No","Does not balance | ","")&amp;IF(I174="","Not approved | ",IF(UPPER(TRIM(H174))=UPPER(TRIM(I174)),"Self-approved | ",""))&amp;IF(J174="","No support | ","")&amp;IF(WEEKDAY(B174,2)&gt;5,"Weekend posting | ","")&amp;IF(COUNTIF(Settings!$A$14:$A$43,B174)&gt;0,"Holiday posting | ","")&amp;IF(B174&gt;Settings!$C$8,"Posted after close | ","")&amp;IF(OR(B174&lt;Settings!$C$6,B174&gt;Settings!$C$7),"Outside period | ","")&amp;IF(COUNTIF(Settings!$E$14:$E$43,C174&amp;"")&gt;0,"Sensitive account | ","")&amp;IF(AND(MAX(N(E174),N(F174))&gt;=Settings!$C$9,MOD(MAX(N(E174),N(F174)),Settings!$C$10)=0),"Round amount | ",""),LEN(IF(K174="No","Does not balance | ","")&amp;IF(I174="","Not approved | ",IF(UPPER(TRIM(H174))=UPPER(TRIM(I174)),"Self-approved | ",""))&amp;IF(J174="","No support | ","")&amp;IF(WEEKDAY(B174,2)&gt;5,"Weekend posting | ","")&amp;IF(COUNTIF(Settings!$A$14:$A$43,B174)&gt;0,"Holiday posting | ","")&amp;IF(B174&gt;Settings!$C$8,"Posted after close | ","")&amp;IF(OR(B174&lt;Settings!$C$6,B174&gt;Settings!$C$7),"Outside period | ","")&amp;IF(COUNTIF(Settings!$E$14:$E$43,C174&amp;"")&gt;0,"Sensitive account | ","")&amp;IF(AND(MAX(N(E174),N(F174))&gt;=Settings!$C$9,MOD(MAX(N(E174),N(F174)),Settings!$C$10)=0),"Round amount | ",""))-3)))</f>
        <v/>
      </c>
      <c r="M174" s="21" t="str">
        <f aca="false">IF(A174="","",IF(COUNTIF($A$9:A174,A174)=1,MAX($M$8:M173)+1,""))</f>
        <v/>
      </c>
    </row>
    <row r="175" customFormat="false" ht="15" hidden="false" customHeight="false" outlineLevel="0" collapsed="false">
      <c r="A175" s="8"/>
      <c r="B175" s="17"/>
      <c r="C175" s="19"/>
      <c r="D175" s="8"/>
      <c r="E175" s="18"/>
      <c r="F175" s="18"/>
      <c r="G175" s="8"/>
      <c r="H175" s="8"/>
      <c r="I175" s="8"/>
      <c r="J175" s="8"/>
      <c r="K175" s="10" t="str">
        <f aca="false">IF(A175="","",IF(ABS(SUMIFS($E$9:$E$2008,$A$9:$A$2008,A175)-SUMIFS($F$9:$F$2008,$A$9:$A$2008,A175))&lt;0.5,"Yes","No"))</f>
        <v/>
      </c>
      <c r="L175" s="10" t="str">
        <f aca="false">IF(A175="","",IF(IF(K175="No","Does not balance | ","")&amp;IF(I175="","Not approved | ",IF(UPPER(TRIM(H175))=UPPER(TRIM(I175)),"Self-approved | ",""))&amp;IF(J175="","No support | ","")&amp;IF(WEEKDAY(B175,2)&gt;5,"Weekend posting | ","")&amp;IF(COUNTIF(Settings!$A$14:$A$43,B175)&gt;0,"Holiday posting | ","")&amp;IF(B175&gt;Settings!$C$8,"Posted after close | ","")&amp;IF(OR(B175&lt;Settings!$C$6,B175&gt;Settings!$C$7),"Outside period | ","")&amp;IF(COUNTIF(Settings!$E$14:$E$43,C175&amp;"")&gt;0,"Sensitive account | ","")&amp;IF(AND(MAX(N(E175),N(F175))&gt;=Settings!$C$9,MOD(MAX(N(E175),N(F175)),Settings!$C$10)=0),"Round amount | ","")="","",LEFT(IF(K175="No","Does not balance | ","")&amp;IF(I175="","Not approved | ",IF(UPPER(TRIM(H175))=UPPER(TRIM(I175)),"Self-approved | ",""))&amp;IF(J175="","No support | ","")&amp;IF(WEEKDAY(B175,2)&gt;5,"Weekend posting | ","")&amp;IF(COUNTIF(Settings!$A$14:$A$43,B175)&gt;0,"Holiday posting | ","")&amp;IF(B175&gt;Settings!$C$8,"Posted after close | ","")&amp;IF(OR(B175&lt;Settings!$C$6,B175&gt;Settings!$C$7),"Outside period | ","")&amp;IF(COUNTIF(Settings!$E$14:$E$43,C175&amp;"")&gt;0,"Sensitive account | ","")&amp;IF(AND(MAX(N(E175),N(F175))&gt;=Settings!$C$9,MOD(MAX(N(E175),N(F175)),Settings!$C$10)=0),"Round amount | ",""),LEN(IF(K175="No","Does not balance | ","")&amp;IF(I175="","Not approved | ",IF(UPPER(TRIM(H175))=UPPER(TRIM(I175)),"Self-approved | ",""))&amp;IF(J175="","No support | ","")&amp;IF(WEEKDAY(B175,2)&gt;5,"Weekend posting | ","")&amp;IF(COUNTIF(Settings!$A$14:$A$43,B175)&gt;0,"Holiday posting | ","")&amp;IF(B175&gt;Settings!$C$8,"Posted after close | ","")&amp;IF(OR(B175&lt;Settings!$C$6,B175&gt;Settings!$C$7),"Outside period | ","")&amp;IF(COUNTIF(Settings!$E$14:$E$43,C175&amp;"")&gt;0,"Sensitive account | ","")&amp;IF(AND(MAX(N(E175),N(F175))&gt;=Settings!$C$9,MOD(MAX(N(E175),N(F175)),Settings!$C$10)=0),"Round amount | ",""))-3)))</f>
        <v/>
      </c>
      <c r="M175" s="21" t="str">
        <f aca="false">IF(A175="","",IF(COUNTIF($A$9:A175,A175)=1,MAX($M$8:M174)+1,""))</f>
        <v/>
      </c>
    </row>
    <row r="176" customFormat="false" ht="15" hidden="false" customHeight="false" outlineLevel="0" collapsed="false">
      <c r="A176" s="8"/>
      <c r="B176" s="17"/>
      <c r="C176" s="19"/>
      <c r="D176" s="8"/>
      <c r="E176" s="18"/>
      <c r="F176" s="18"/>
      <c r="G176" s="8"/>
      <c r="H176" s="8"/>
      <c r="I176" s="8"/>
      <c r="J176" s="8"/>
      <c r="K176" s="10" t="str">
        <f aca="false">IF(A176="","",IF(ABS(SUMIFS($E$9:$E$2008,$A$9:$A$2008,A176)-SUMIFS($F$9:$F$2008,$A$9:$A$2008,A176))&lt;0.5,"Yes","No"))</f>
        <v/>
      </c>
      <c r="L176" s="10" t="str">
        <f aca="false">IF(A176="","",IF(IF(K176="No","Does not balance | ","")&amp;IF(I176="","Not approved | ",IF(UPPER(TRIM(H176))=UPPER(TRIM(I176)),"Self-approved | ",""))&amp;IF(J176="","No support | ","")&amp;IF(WEEKDAY(B176,2)&gt;5,"Weekend posting | ","")&amp;IF(COUNTIF(Settings!$A$14:$A$43,B176)&gt;0,"Holiday posting | ","")&amp;IF(B176&gt;Settings!$C$8,"Posted after close | ","")&amp;IF(OR(B176&lt;Settings!$C$6,B176&gt;Settings!$C$7),"Outside period | ","")&amp;IF(COUNTIF(Settings!$E$14:$E$43,C176&amp;"")&gt;0,"Sensitive account | ","")&amp;IF(AND(MAX(N(E176),N(F176))&gt;=Settings!$C$9,MOD(MAX(N(E176),N(F176)),Settings!$C$10)=0),"Round amount | ","")="","",LEFT(IF(K176="No","Does not balance | ","")&amp;IF(I176="","Not approved | ",IF(UPPER(TRIM(H176))=UPPER(TRIM(I176)),"Self-approved | ",""))&amp;IF(J176="","No support | ","")&amp;IF(WEEKDAY(B176,2)&gt;5,"Weekend posting | ","")&amp;IF(COUNTIF(Settings!$A$14:$A$43,B176)&gt;0,"Holiday posting | ","")&amp;IF(B176&gt;Settings!$C$8,"Posted after close | ","")&amp;IF(OR(B176&lt;Settings!$C$6,B176&gt;Settings!$C$7),"Outside period | ","")&amp;IF(COUNTIF(Settings!$E$14:$E$43,C176&amp;"")&gt;0,"Sensitive account | ","")&amp;IF(AND(MAX(N(E176),N(F176))&gt;=Settings!$C$9,MOD(MAX(N(E176),N(F176)),Settings!$C$10)=0),"Round amount | ",""),LEN(IF(K176="No","Does not balance | ","")&amp;IF(I176="","Not approved | ",IF(UPPER(TRIM(H176))=UPPER(TRIM(I176)),"Self-approved | ",""))&amp;IF(J176="","No support | ","")&amp;IF(WEEKDAY(B176,2)&gt;5,"Weekend posting | ","")&amp;IF(COUNTIF(Settings!$A$14:$A$43,B176)&gt;0,"Holiday posting | ","")&amp;IF(B176&gt;Settings!$C$8,"Posted after close | ","")&amp;IF(OR(B176&lt;Settings!$C$6,B176&gt;Settings!$C$7),"Outside period | ","")&amp;IF(COUNTIF(Settings!$E$14:$E$43,C176&amp;"")&gt;0,"Sensitive account | ","")&amp;IF(AND(MAX(N(E176),N(F176))&gt;=Settings!$C$9,MOD(MAX(N(E176),N(F176)),Settings!$C$10)=0),"Round amount | ",""))-3)))</f>
        <v/>
      </c>
      <c r="M176" s="21" t="str">
        <f aca="false">IF(A176="","",IF(COUNTIF($A$9:A176,A176)=1,MAX($M$8:M175)+1,""))</f>
        <v/>
      </c>
    </row>
    <row r="177" customFormat="false" ht="15" hidden="false" customHeight="false" outlineLevel="0" collapsed="false">
      <c r="A177" s="8"/>
      <c r="B177" s="17"/>
      <c r="C177" s="19"/>
      <c r="D177" s="8"/>
      <c r="E177" s="18"/>
      <c r="F177" s="18"/>
      <c r="G177" s="8"/>
      <c r="H177" s="8"/>
      <c r="I177" s="8"/>
      <c r="J177" s="8"/>
      <c r="K177" s="10" t="str">
        <f aca="false">IF(A177="","",IF(ABS(SUMIFS($E$9:$E$2008,$A$9:$A$2008,A177)-SUMIFS($F$9:$F$2008,$A$9:$A$2008,A177))&lt;0.5,"Yes","No"))</f>
        <v/>
      </c>
      <c r="L177" s="10" t="str">
        <f aca="false">IF(A177="","",IF(IF(K177="No","Does not balance | ","")&amp;IF(I177="","Not approved | ",IF(UPPER(TRIM(H177))=UPPER(TRIM(I177)),"Self-approved | ",""))&amp;IF(J177="","No support | ","")&amp;IF(WEEKDAY(B177,2)&gt;5,"Weekend posting | ","")&amp;IF(COUNTIF(Settings!$A$14:$A$43,B177)&gt;0,"Holiday posting | ","")&amp;IF(B177&gt;Settings!$C$8,"Posted after close | ","")&amp;IF(OR(B177&lt;Settings!$C$6,B177&gt;Settings!$C$7),"Outside period | ","")&amp;IF(COUNTIF(Settings!$E$14:$E$43,C177&amp;"")&gt;0,"Sensitive account | ","")&amp;IF(AND(MAX(N(E177),N(F177))&gt;=Settings!$C$9,MOD(MAX(N(E177),N(F177)),Settings!$C$10)=0),"Round amount | ","")="","",LEFT(IF(K177="No","Does not balance | ","")&amp;IF(I177="","Not approved | ",IF(UPPER(TRIM(H177))=UPPER(TRIM(I177)),"Self-approved | ",""))&amp;IF(J177="","No support | ","")&amp;IF(WEEKDAY(B177,2)&gt;5,"Weekend posting | ","")&amp;IF(COUNTIF(Settings!$A$14:$A$43,B177)&gt;0,"Holiday posting | ","")&amp;IF(B177&gt;Settings!$C$8,"Posted after close | ","")&amp;IF(OR(B177&lt;Settings!$C$6,B177&gt;Settings!$C$7),"Outside period | ","")&amp;IF(COUNTIF(Settings!$E$14:$E$43,C177&amp;"")&gt;0,"Sensitive account | ","")&amp;IF(AND(MAX(N(E177),N(F177))&gt;=Settings!$C$9,MOD(MAX(N(E177),N(F177)),Settings!$C$10)=0),"Round amount | ",""),LEN(IF(K177="No","Does not balance | ","")&amp;IF(I177="","Not approved | ",IF(UPPER(TRIM(H177))=UPPER(TRIM(I177)),"Self-approved | ",""))&amp;IF(J177="","No support | ","")&amp;IF(WEEKDAY(B177,2)&gt;5,"Weekend posting | ","")&amp;IF(COUNTIF(Settings!$A$14:$A$43,B177)&gt;0,"Holiday posting | ","")&amp;IF(B177&gt;Settings!$C$8,"Posted after close | ","")&amp;IF(OR(B177&lt;Settings!$C$6,B177&gt;Settings!$C$7),"Outside period | ","")&amp;IF(COUNTIF(Settings!$E$14:$E$43,C177&amp;"")&gt;0,"Sensitive account | ","")&amp;IF(AND(MAX(N(E177),N(F177))&gt;=Settings!$C$9,MOD(MAX(N(E177),N(F177)),Settings!$C$10)=0),"Round amount | ",""))-3)))</f>
        <v/>
      </c>
      <c r="M177" s="21" t="str">
        <f aca="false">IF(A177="","",IF(COUNTIF($A$9:A177,A177)=1,MAX($M$8:M176)+1,""))</f>
        <v/>
      </c>
    </row>
    <row r="178" customFormat="false" ht="15" hidden="false" customHeight="false" outlineLevel="0" collapsed="false">
      <c r="A178" s="8"/>
      <c r="B178" s="17"/>
      <c r="C178" s="19"/>
      <c r="D178" s="8"/>
      <c r="E178" s="18"/>
      <c r="F178" s="18"/>
      <c r="G178" s="8"/>
      <c r="H178" s="8"/>
      <c r="I178" s="8"/>
      <c r="J178" s="8"/>
      <c r="K178" s="10" t="str">
        <f aca="false">IF(A178="","",IF(ABS(SUMIFS($E$9:$E$2008,$A$9:$A$2008,A178)-SUMIFS($F$9:$F$2008,$A$9:$A$2008,A178))&lt;0.5,"Yes","No"))</f>
        <v/>
      </c>
      <c r="L178" s="10" t="str">
        <f aca="false">IF(A178="","",IF(IF(K178="No","Does not balance | ","")&amp;IF(I178="","Not approved | ",IF(UPPER(TRIM(H178))=UPPER(TRIM(I178)),"Self-approved | ",""))&amp;IF(J178="","No support | ","")&amp;IF(WEEKDAY(B178,2)&gt;5,"Weekend posting | ","")&amp;IF(COUNTIF(Settings!$A$14:$A$43,B178)&gt;0,"Holiday posting | ","")&amp;IF(B178&gt;Settings!$C$8,"Posted after close | ","")&amp;IF(OR(B178&lt;Settings!$C$6,B178&gt;Settings!$C$7),"Outside period | ","")&amp;IF(COUNTIF(Settings!$E$14:$E$43,C178&amp;"")&gt;0,"Sensitive account | ","")&amp;IF(AND(MAX(N(E178),N(F178))&gt;=Settings!$C$9,MOD(MAX(N(E178),N(F178)),Settings!$C$10)=0),"Round amount | ","")="","",LEFT(IF(K178="No","Does not balance | ","")&amp;IF(I178="","Not approved | ",IF(UPPER(TRIM(H178))=UPPER(TRIM(I178)),"Self-approved | ",""))&amp;IF(J178="","No support | ","")&amp;IF(WEEKDAY(B178,2)&gt;5,"Weekend posting | ","")&amp;IF(COUNTIF(Settings!$A$14:$A$43,B178)&gt;0,"Holiday posting | ","")&amp;IF(B178&gt;Settings!$C$8,"Posted after close | ","")&amp;IF(OR(B178&lt;Settings!$C$6,B178&gt;Settings!$C$7),"Outside period | ","")&amp;IF(COUNTIF(Settings!$E$14:$E$43,C178&amp;"")&gt;0,"Sensitive account | ","")&amp;IF(AND(MAX(N(E178),N(F178))&gt;=Settings!$C$9,MOD(MAX(N(E178),N(F178)),Settings!$C$10)=0),"Round amount | ",""),LEN(IF(K178="No","Does not balance | ","")&amp;IF(I178="","Not approved | ",IF(UPPER(TRIM(H178))=UPPER(TRIM(I178)),"Self-approved | ",""))&amp;IF(J178="","No support | ","")&amp;IF(WEEKDAY(B178,2)&gt;5,"Weekend posting | ","")&amp;IF(COUNTIF(Settings!$A$14:$A$43,B178)&gt;0,"Holiday posting | ","")&amp;IF(B178&gt;Settings!$C$8,"Posted after close | ","")&amp;IF(OR(B178&lt;Settings!$C$6,B178&gt;Settings!$C$7),"Outside period | ","")&amp;IF(COUNTIF(Settings!$E$14:$E$43,C178&amp;"")&gt;0,"Sensitive account | ","")&amp;IF(AND(MAX(N(E178),N(F178))&gt;=Settings!$C$9,MOD(MAX(N(E178),N(F178)),Settings!$C$10)=0),"Round amount | ",""))-3)))</f>
        <v/>
      </c>
      <c r="M178" s="21" t="str">
        <f aca="false">IF(A178="","",IF(COUNTIF($A$9:A178,A178)=1,MAX($M$8:M177)+1,""))</f>
        <v/>
      </c>
    </row>
    <row r="179" customFormat="false" ht="15" hidden="false" customHeight="false" outlineLevel="0" collapsed="false">
      <c r="A179" s="8"/>
      <c r="B179" s="17"/>
      <c r="C179" s="19"/>
      <c r="D179" s="8"/>
      <c r="E179" s="18"/>
      <c r="F179" s="18"/>
      <c r="G179" s="8"/>
      <c r="H179" s="8"/>
      <c r="I179" s="8"/>
      <c r="J179" s="8"/>
      <c r="K179" s="10" t="str">
        <f aca="false">IF(A179="","",IF(ABS(SUMIFS($E$9:$E$2008,$A$9:$A$2008,A179)-SUMIFS($F$9:$F$2008,$A$9:$A$2008,A179))&lt;0.5,"Yes","No"))</f>
        <v/>
      </c>
      <c r="L179" s="10" t="str">
        <f aca="false">IF(A179="","",IF(IF(K179="No","Does not balance | ","")&amp;IF(I179="","Not approved | ",IF(UPPER(TRIM(H179))=UPPER(TRIM(I179)),"Self-approved | ",""))&amp;IF(J179="","No support | ","")&amp;IF(WEEKDAY(B179,2)&gt;5,"Weekend posting | ","")&amp;IF(COUNTIF(Settings!$A$14:$A$43,B179)&gt;0,"Holiday posting | ","")&amp;IF(B179&gt;Settings!$C$8,"Posted after close | ","")&amp;IF(OR(B179&lt;Settings!$C$6,B179&gt;Settings!$C$7),"Outside period | ","")&amp;IF(COUNTIF(Settings!$E$14:$E$43,C179&amp;"")&gt;0,"Sensitive account | ","")&amp;IF(AND(MAX(N(E179),N(F179))&gt;=Settings!$C$9,MOD(MAX(N(E179),N(F179)),Settings!$C$10)=0),"Round amount | ","")="","",LEFT(IF(K179="No","Does not balance | ","")&amp;IF(I179="","Not approved | ",IF(UPPER(TRIM(H179))=UPPER(TRIM(I179)),"Self-approved | ",""))&amp;IF(J179="","No support | ","")&amp;IF(WEEKDAY(B179,2)&gt;5,"Weekend posting | ","")&amp;IF(COUNTIF(Settings!$A$14:$A$43,B179)&gt;0,"Holiday posting | ","")&amp;IF(B179&gt;Settings!$C$8,"Posted after close | ","")&amp;IF(OR(B179&lt;Settings!$C$6,B179&gt;Settings!$C$7),"Outside period | ","")&amp;IF(COUNTIF(Settings!$E$14:$E$43,C179&amp;"")&gt;0,"Sensitive account | ","")&amp;IF(AND(MAX(N(E179),N(F179))&gt;=Settings!$C$9,MOD(MAX(N(E179),N(F179)),Settings!$C$10)=0),"Round amount | ",""),LEN(IF(K179="No","Does not balance | ","")&amp;IF(I179="","Not approved | ",IF(UPPER(TRIM(H179))=UPPER(TRIM(I179)),"Self-approved | ",""))&amp;IF(J179="","No support | ","")&amp;IF(WEEKDAY(B179,2)&gt;5,"Weekend posting | ","")&amp;IF(COUNTIF(Settings!$A$14:$A$43,B179)&gt;0,"Holiday posting | ","")&amp;IF(B179&gt;Settings!$C$8,"Posted after close | ","")&amp;IF(OR(B179&lt;Settings!$C$6,B179&gt;Settings!$C$7),"Outside period | ","")&amp;IF(COUNTIF(Settings!$E$14:$E$43,C179&amp;"")&gt;0,"Sensitive account | ","")&amp;IF(AND(MAX(N(E179),N(F179))&gt;=Settings!$C$9,MOD(MAX(N(E179),N(F179)),Settings!$C$10)=0),"Round amount | ",""))-3)))</f>
        <v/>
      </c>
      <c r="M179" s="21" t="str">
        <f aca="false">IF(A179="","",IF(COUNTIF($A$9:A179,A179)=1,MAX($M$8:M178)+1,""))</f>
        <v/>
      </c>
    </row>
    <row r="180" customFormat="false" ht="15" hidden="false" customHeight="false" outlineLevel="0" collapsed="false">
      <c r="A180" s="8"/>
      <c r="B180" s="17"/>
      <c r="C180" s="19"/>
      <c r="D180" s="8"/>
      <c r="E180" s="18"/>
      <c r="F180" s="18"/>
      <c r="G180" s="8"/>
      <c r="H180" s="8"/>
      <c r="I180" s="8"/>
      <c r="J180" s="8"/>
      <c r="K180" s="10" t="str">
        <f aca="false">IF(A180="","",IF(ABS(SUMIFS($E$9:$E$2008,$A$9:$A$2008,A180)-SUMIFS($F$9:$F$2008,$A$9:$A$2008,A180))&lt;0.5,"Yes","No"))</f>
        <v/>
      </c>
      <c r="L180" s="10" t="str">
        <f aca="false">IF(A180="","",IF(IF(K180="No","Does not balance | ","")&amp;IF(I180="","Not approved | ",IF(UPPER(TRIM(H180))=UPPER(TRIM(I180)),"Self-approved | ",""))&amp;IF(J180="","No support | ","")&amp;IF(WEEKDAY(B180,2)&gt;5,"Weekend posting | ","")&amp;IF(COUNTIF(Settings!$A$14:$A$43,B180)&gt;0,"Holiday posting | ","")&amp;IF(B180&gt;Settings!$C$8,"Posted after close | ","")&amp;IF(OR(B180&lt;Settings!$C$6,B180&gt;Settings!$C$7),"Outside period | ","")&amp;IF(COUNTIF(Settings!$E$14:$E$43,C180&amp;"")&gt;0,"Sensitive account | ","")&amp;IF(AND(MAX(N(E180),N(F180))&gt;=Settings!$C$9,MOD(MAX(N(E180),N(F180)),Settings!$C$10)=0),"Round amount | ","")="","",LEFT(IF(K180="No","Does not balance | ","")&amp;IF(I180="","Not approved | ",IF(UPPER(TRIM(H180))=UPPER(TRIM(I180)),"Self-approved | ",""))&amp;IF(J180="","No support | ","")&amp;IF(WEEKDAY(B180,2)&gt;5,"Weekend posting | ","")&amp;IF(COUNTIF(Settings!$A$14:$A$43,B180)&gt;0,"Holiday posting | ","")&amp;IF(B180&gt;Settings!$C$8,"Posted after close | ","")&amp;IF(OR(B180&lt;Settings!$C$6,B180&gt;Settings!$C$7),"Outside period | ","")&amp;IF(COUNTIF(Settings!$E$14:$E$43,C180&amp;"")&gt;0,"Sensitive account | ","")&amp;IF(AND(MAX(N(E180),N(F180))&gt;=Settings!$C$9,MOD(MAX(N(E180),N(F180)),Settings!$C$10)=0),"Round amount | ",""),LEN(IF(K180="No","Does not balance | ","")&amp;IF(I180="","Not approved | ",IF(UPPER(TRIM(H180))=UPPER(TRIM(I180)),"Self-approved | ",""))&amp;IF(J180="","No support | ","")&amp;IF(WEEKDAY(B180,2)&gt;5,"Weekend posting | ","")&amp;IF(COUNTIF(Settings!$A$14:$A$43,B180)&gt;0,"Holiday posting | ","")&amp;IF(B180&gt;Settings!$C$8,"Posted after close | ","")&amp;IF(OR(B180&lt;Settings!$C$6,B180&gt;Settings!$C$7),"Outside period | ","")&amp;IF(COUNTIF(Settings!$E$14:$E$43,C180&amp;"")&gt;0,"Sensitive account | ","")&amp;IF(AND(MAX(N(E180),N(F180))&gt;=Settings!$C$9,MOD(MAX(N(E180),N(F180)),Settings!$C$10)=0),"Round amount | ",""))-3)))</f>
        <v/>
      </c>
      <c r="M180" s="21" t="str">
        <f aca="false">IF(A180="","",IF(COUNTIF($A$9:A180,A180)=1,MAX($M$8:M179)+1,""))</f>
        <v/>
      </c>
    </row>
    <row r="181" customFormat="false" ht="15" hidden="false" customHeight="false" outlineLevel="0" collapsed="false">
      <c r="A181" s="8"/>
      <c r="B181" s="17"/>
      <c r="C181" s="19"/>
      <c r="D181" s="8"/>
      <c r="E181" s="18"/>
      <c r="F181" s="18"/>
      <c r="G181" s="8"/>
      <c r="H181" s="8"/>
      <c r="I181" s="8"/>
      <c r="J181" s="8"/>
      <c r="K181" s="10" t="str">
        <f aca="false">IF(A181="","",IF(ABS(SUMIFS($E$9:$E$2008,$A$9:$A$2008,A181)-SUMIFS($F$9:$F$2008,$A$9:$A$2008,A181))&lt;0.5,"Yes","No"))</f>
        <v/>
      </c>
      <c r="L181" s="10" t="str">
        <f aca="false">IF(A181="","",IF(IF(K181="No","Does not balance | ","")&amp;IF(I181="","Not approved | ",IF(UPPER(TRIM(H181))=UPPER(TRIM(I181)),"Self-approved | ",""))&amp;IF(J181="","No support | ","")&amp;IF(WEEKDAY(B181,2)&gt;5,"Weekend posting | ","")&amp;IF(COUNTIF(Settings!$A$14:$A$43,B181)&gt;0,"Holiday posting | ","")&amp;IF(B181&gt;Settings!$C$8,"Posted after close | ","")&amp;IF(OR(B181&lt;Settings!$C$6,B181&gt;Settings!$C$7),"Outside period | ","")&amp;IF(COUNTIF(Settings!$E$14:$E$43,C181&amp;"")&gt;0,"Sensitive account | ","")&amp;IF(AND(MAX(N(E181),N(F181))&gt;=Settings!$C$9,MOD(MAX(N(E181),N(F181)),Settings!$C$10)=0),"Round amount | ","")="","",LEFT(IF(K181="No","Does not balance | ","")&amp;IF(I181="","Not approved | ",IF(UPPER(TRIM(H181))=UPPER(TRIM(I181)),"Self-approved | ",""))&amp;IF(J181="","No support | ","")&amp;IF(WEEKDAY(B181,2)&gt;5,"Weekend posting | ","")&amp;IF(COUNTIF(Settings!$A$14:$A$43,B181)&gt;0,"Holiday posting | ","")&amp;IF(B181&gt;Settings!$C$8,"Posted after close | ","")&amp;IF(OR(B181&lt;Settings!$C$6,B181&gt;Settings!$C$7),"Outside period | ","")&amp;IF(COUNTIF(Settings!$E$14:$E$43,C181&amp;"")&gt;0,"Sensitive account | ","")&amp;IF(AND(MAX(N(E181),N(F181))&gt;=Settings!$C$9,MOD(MAX(N(E181),N(F181)),Settings!$C$10)=0),"Round amount | ",""),LEN(IF(K181="No","Does not balance | ","")&amp;IF(I181="","Not approved | ",IF(UPPER(TRIM(H181))=UPPER(TRIM(I181)),"Self-approved | ",""))&amp;IF(J181="","No support | ","")&amp;IF(WEEKDAY(B181,2)&gt;5,"Weekend posting | ","")&amp;IF(COUNTIF(Settings!$A$14:$A$43,B181)&gt;0,"Holiday posting | ","")&amp;IF(B181&gt;Settings!$C$8,"Posted after close | ","")&amp;IF(OR(B181&lt;Settings!$C$6,B181&gt;Settings!$C$7),"Outside period | ","")&amp;IF(COUNTIF(Settings!$E$14:$E$43,C181&amp;"")&gt;0,"Sensitive account | ","")&amp;IF(AND(MAX(N(E181),N(F181))&gt;=Settings!$C$9,MOD(MAX(N(E181),N(F181)),Settings!$C$10)=0),"Round amount | ",""))-3)))</f>
        <v/>
      </c>
      <c r="M181" s="21" t="str">
        <f aca="false">IF(A181="","",IF(COUNTIF($A$9:A181,A181)=1,MAX($M$8:M180)+1,""))</f>
        <v/>
      </c>
    </row>
    <row r="182" customFormat="false" ht="15" hidden="false" customHeight="false" outlineLevel="0" collapsed="false">
      <c r="A182" s="8"/>
      <c r="B182" s="17"/>
      <c r="C182" s="19"/>
      <c r="D182" s="8"/>
      <c r="E182" s="18"/>
      <c r="F182" s="18"/>
      <c r="G182" s="8"/>
      <c r="H182" s="8"/>
      <c r="I182" s="8"/>
      <c r="J182" s="8"/>
      <c r="K182" s="10" t="str">
        <f aca="false">IF(A182="","",IF(ABS(SUMIFS($E$9:$E$2008,$A$9:$A$2008,A182)-SUMIFS($F$9:$F$2008,$A$9:$A$2008,A182))&lt;0.5,"Yes","No"))</f>
        <v/>
      </c>
      <c r="L182" s="10" t="str">
        <f aca="false">IF(A182="","",IF(IF(K182="No","Does not balance | ","")&amp;IF(I182="","Not approved | ",IF(UPPER(TRIM(H182))=UPPER(TRIM(I182)),"Self-approved | ",""))&amp;IF(J182="","No support | ","")&amp;IF(WEEKDAY(B182,2)&gt;5,"Weekend posting | ","")&amp;IF(COUNTIF(Settings!$A$14:$A$43,B182)&gt;0,"Holiday posting | ","")&amp;IF(B182&gt;Settings!$C$8,"Posted after close | ","")&amp;IF(OR(B182&lt;Settings!$C$6,B182&gt;Settings!$C$7),"Outside period | ","")&amp;IF(COUNTIF(Settings!$E$14:$E$43,C182&amp;"")&gt;0,"Sensitive account | ","")&amp;IF(AND(MAX(N(E182),N(F182))&gt;=Settings!$C$9,MOD(MAX(N(E182),N(F182)),Settings!$C$10)=0),"Round amount | ","")="","",LEFT(IF(K182="No","Does not balance | ","")&amp;IF(I182="","Not approved | ",IF(UPPER(TRIM(H182))=UPPER(TRIM(I182)),"Self-approved | ",""))&amp;IF(J182="","No support | ","")&amp;IF(WEEKDAY(B182,2)&gt;5,"Weekend posting | ","")&amp;IF(COUNTIF(Settings!$A$14:$A$43,B182)&gt;0,"Holiday posting | ","")&amp;IF(B182&gt;Settings!$C$8,"Posted after close | ","")&amp;IF(OR(B182&lt;Settings!$C$6,B182&gt;Settings!$C$7),"Outside period | ","")&amp;IF(COUNTIF(Settings!$E$14:$E$43,C182&amp;"")&gt;0,"Sensitive account | ","")&amp;IF(AND(MAX(N(E182),N(F182))&gt;=Settings!$C$9,MOD(MAX(N(E182),N(F182)),Settings!$C$10)=0),"Round amount | ",""),LEN(IF(K182="No","Does not balance | ","")&amp;IF(I182="","Not approved | ",IF(UPPER(TRIM(H182))=UPPER(TRIM(I182)),"Self-approved | ",""))&amp;IF(J182="","No support | ","")&amp;IF(WEEKDAY(B182,2)&gt;5,"Weekend posting | ","")&amp;IF(COUNTIF(Settings!$A$14:$A$43,B182)&gt;0,"Holiday posting | ","")&amp;IF(B182&gt;Settings!$C$8,"Posted after close | ","")&amp;IF(OR(B182&lt;Settings!$C$6,B182&gt;Settings!$C$7),"Outside period | ","")&amp;IF(COUNTIF(Settings!$E$14:$E$43,C182&amp;"")&gt;0,"Sensitive account | ","")&amp;IF(AND(MAX(N(E182),N(F182))&gt;=Settings!$C$9,MOD(MAX(N(E182),N(F182)),Settings!$C$10)=0),"Round amount | ",""))-3)))</f>
        <v/>
      </c>
      <c r="M182" s="21" t="str">
        <f aca="false">IF(A182="","",IF(COUNTIF($A$9:A182,A182)=1,MAX($M$8:M181)+1,""))</f>
        <v/>
      </c>
    </row>
    <row r="183" customFormat="false" ht="15" hidden="false" customHeight="false" outlineLevel="0" collapsed="false">
      <c r="A183" s="8"/>
      <c r="B183" s="17"/>
      <c r="C183" s="19"/>
      <c r="D183" s="8"/>
      <c r="E183" s="18"/>
      <c r="F183" s="18"/>
      <c r="G183" s="8"/>
      <c r="H183" s="8"/>
      <c r="I183" s="8"/>
      <c r="J183" s="8"/>
      <c r="K183" s="10" t="str">
        <f aca="false">IF(A183="","",IF(ABS(SUMIFS($E$9:$E$2008,$A$9:$A$2008,A183)-SUMIFS($F$9:$F$2008,$A$9:$A$2008,A183))&lt;0.5,"Yes","No"))</f>
        <v/>
      </c>
      <c r="L183" s="10" t="str">
        <f aca="false">IF(A183="","",IF(IF(K183="No","Does not balance | ","")&amp;IF(I183="","Not approved | ",IF(UPPER(TRIM(H183))=UPPER(TRIM(I183)),"Self-approved | ",""))&amp;IF(J183="","No support | ","")&amp;IF(WEEKDAY(B183,2)&gt;5,"Weekend posting | ","")&amp;IF(COUNTIF(Settings!$A$14:$A$43,B183)&gt;0,"Holiday posting | ","")&amp;IF(B183&gt;Settings!$C$8,"Posted after close | ","")&amp;IF(OR(B183&lt;Settings!$C$6,B183&gt;Settings!$C$7),"Outside period | ","")&amp;IF(COUNTIF(Settings!$E$14:$E$43,C183&amp;"")&gt;0,"Sensitive account | ","")&amp;IF(AND(MAX(N(E183),N(F183))&gt;=Settings!$C$9,MOD(MAX(N(E183),N(F183)),Settings!$C$10)=0),"Round amount | ","")="","",LEFT(IF(K183="No","Does not balance | ","")&amp;IF(I183="","Not approved | ",IF(UPPER(TRIM(H183))=UPPER(TRIM(I183)),"Self-approved | ",""))&amp;IF(J183="","No support | ","")&amp;IF(WEEKDAY(B183,2)&gt;5,"Weekend posting | ","")&amp;IF(COUNTIF(Settings!$A$14:$A$43,B183)&gt;0,"Holiday posting | ","")&amp;IF(B183&gt;Settings!$C$8,"Posted after close | ","")&amp;IF(OR(B183&lt;Settings!$C$6,B183&gt;Settings!$C$7),"Outside period | ","")&amp;IF(COUNTIF(Settings!$E$14:$E$43,C183&amp;"")&gt;0,"Sensitive account | ","")&amp;IF(AND(MAX(N(E183),N(F183))&gt;=Settings!$C$9,MOD(MAX(N(E183),N(F183)),Settings!$C$10)=0),"Round amount | ",""),LEN(IF(K183="No","Does not balance | ","")&amp;IF(I183="","Not approved | ",IF(UPPER(TRIM(H183))=UPPER(TRIM(I183)),"Self-approved | ",""))&amp;IF(J183="","No support | ","")&amp;IF(WEEKDAY(B183,2)&gt;5,"Weekend posting | ","")&amp;IF(COUNTIF(Settings!$A$14:$A$43,B183)&gt;0,"Holiday posting | ","")&amp;IF(B183&gt;Settings!$C$8,"Posted after close | ","")&amp;IF(OR(B183&lt;Settings!$C$6,B183&gt;Settings!$C$7),"Outside period | ","")&amp;IF(COUNTIF(Settings!$E$14:$E$43,C183&amp;"")&gt;0,"Sensitive account | ","")&amp;IF(AND(MAX(N(E183),N(F183))&gt;=Settings!$C$9,MOD(MAX(N(E183),N(F183)),Settings!$C$10)=0),"Round amount | ",""))-3)))</f>
        <v/>
      </c>
      <c r="M183" s="21" t="str">
        <f aca="false">IF(A183="","",IF(COUNTIF($A$9:A183,A183)=1,MAX($M$8:M182)+1,""))</f>
        <v/>
      </c>
    </row>
    <row r="184" customFormat="false" ht="15" hidden="false" customHeight="false" outlineLevel="0" collapsed="false">
      <c r="A184" s="8"/>
      <c r="B184" s="17"/>
      <c r="C184" s="19"/>
      <c r="D184" s="8"/>
      <c r="E184" s="18"/>
      <c r="F184" s="18"/>
      <c r="G184" s="8"/>
      <c r="H184" s="8"/>
      <c r="I184" s="8"/>
      <c r="J184" s="8"/>
      <c r="K184" s="10" t="str">
        <f aca="false">IF(A184="","",IF(ABS(SUMIFS($E$9:$E$2008,$A$9:$A$2008,A184)-SUMIFS($F$9:$F$2008,$A$9:$A$2008,A184))&lt;0.5,"Yes","No"))</f>
        <v/>
      </c>
      <c r="L184" s="10" t="str">
        <f aca="false">IF(A184="","",IF(IF(K184="No","Does not balance | ","")&amp;IF(I184="","Not approved | ",IF(UPPER(TRIM(H184))=UPPER(TRIM(I184)),"Self-approved | ",""))&amp;IF(J184="","No support | ","")&amp;IF(WEEKDAY(B184,2)&gt;5,"Weekend posting | ","")&amp;IF(COUNTIF(Settings!$A$14:$A$43,B184)&gt;0,"Holiday posting | ","")&amp;IF(B184&gt;Settings!$C$8,"Posted after close | ","")&amp;IF(OR(B184&lt;Settings!$C$6,B184&gt;Settings!$C$7),"Outside period | ","")&amp;IF(COUNTIF(Settings!$E$14:$E$43,C184&amp;"")&gt;0,"Sensitive account | ","")&amp;IF(AND(MAX(N(E184),N(F184))&gt;=Settings!$C$9,MOD(MAX(N(E184),N(F184)),Settings!$C$10)=0),"Round amount | ","")="","",LEFT(IF(K184="No","Does not balance | ","")&amp;IF(I184="","Not approved | ",IF(UPPER(TRIM(H184))=UPPER(TRIM(I184)),"Self-approved | ",""))&amp;IF(J184="","No support | ","")&amp;IF(WEEKDAY(B184,2)&gt;5,"Weekend posting | ","")&amp;IF(COUNTIF(Settings!$A$14:$A$43,B184)&gt;0,"Holiday posting | ","")&amp;IF(B184&gt;Settings!$C$8,"Posted after close | ","")&amp;IF(OR(B184&lt;Settings!$C$6,B184&gt;Settings!$C$7),"Outside period | ","")&amp;IF(COUNTIF(Settings!$E$14:$E$43,C184&amp;"")&gt;0,"Sensitive account | ","")&amp;IF(AND(MAX(N(E184),N(F184))&gt;=Settings!$C$9,MOD(MAX(N(E184),N(F184)),Settings!$C$10)=0),"Round amount | ",""),LEN(IF(K184="No","Does not balance | ","")&amp;IF(I184="","Not approved | ",IF(UPPER(TRIM(H184))=UPPER(TRIM(I184)),"Self-approved | ",""))&amp;IF(J184="","No support | ","")&amp;IF(WEEKDAY(B184,2)&gt;5,"Weekend posting | ","")&amp;IF(COUNTIF(Settings!$A$14:$A$43,B184)&gt;0,"Holiday posting | ","")&amp;IF(B184&gt;Settings!$C$8,"Posted after close | ","")&amp;IF(OR(B184&lt;Settings!$C$6,B184&gt;Settings!$C$7),"Outside period | ","")&amp;IF(COUNTIF(Settings!$E$14:$E$43,C184&amp;"")&gt;0,"Sensitive account | ","")&amp;IF(AND(MAX(N(E184),N(F184))&gt;=Settings!$C$9,MOD(MAX(N(E184),N(F184)),Settings!$C$10)=0),"Round amount | ",""))-3)))</f>
        <v/>
      </c>
      <c r="M184" s="21" t="str">
        <f aca="false">IF(A184="","",IF(COUNTIF($A$9:A184,A184)=1,MAX($M$8:M183)+1,""))</f>
        <v/>
      </c>
    </row>
    <row r="185" customFormat="false" ht="15" hidden="false" customHeight="false" outlineLevel="0" collapsed="false">
      <c r="A185" s="8"/>
      <c r="B185" s="17"/>
      <c r="C185" s="19"/>
      <c r="D185" s="8"/>
      <c r="E185" s="18"/>
      <c r="F185" s="18"/>
      <c r="G185" s="8"/>
      <c r="H185" s="8"/>
      <c r="I185" s="8"/>
      <c r="J185" s="8"/>
      <c r="K185" s="10" t="str">
        <f aca="false">IF(A185="","",IF(ABS(SUMIFS($E$9:$E$2008,$A$9:$A$2008,A185)-SUMIFS($F$9:$F$2008,$A$9:$A$2008,A185))&lt;0.5,"Yes","No"))</f>
        <v/>
      </c>
      <c r="L185" s="10" t="str">
        <f aca="false">IF(A185="","",IF(IF(K185="No","Does not balance | ","")&amp;IF(I185="","Not approved | ",IF(UPPER(TRIM(H185))=UPPER(TRIM(I185)),"Self-approved | ",""))&amp;IF(J185="","No support | ","")&amp;IF(WEEKDAY(B185,2)&gt;5,"Weekend posting | ","")&amp;IF(COUNTIF(Settings!$A$14:$A$43,B185)&gt;0,"Holiday posting | ","")&amp;IF(B185&gt;Settings!$C$8,"Posted after close | ","")&amp;IF(OR(B185&lt;Settings!$C$6,B185&gt;Settings!$C$7),"Outside period | ","")&amp;IF(COUNTIF(Settings!$E$14:$E$43,C185&amp;"")&gt;0,"Sensitive account | ","")&amp;IF(AND(MAX(N(E185),N(F185))&gt;=Settings!$C$9,MOD(MAX(N(E185),N(F185)),Settings!$C$10)=0),"Round amount | ","")="","",LEFT(IF(K185="No","Does not balance | ","")&amp;IF(I185="","Not approved | ",IF(UPPER(TRIM(H185))=UPPER(TRIM(I185)),"Self-approved | ",""))&amp;IF(J185="","No support | ","")&amp;IF(WEEKDAY(B185,2)&gt;5,"Weekend posting | ","")&amp;IF(COUNTIF(Settings!$A$14:$A$43,B185)&gt;0,"Holiday posting | ","")&amp;IF(B185&gt;Settings!$C$8,"Posted after close | ","")&amp;IF(OR(B185&lt;Settings!$C$6,B185&gt;Settings!$C$7),"Outside period | ","")&amp;IF(COUNTIF(Settings!$E$14:$E$43,C185&amp;"")&gt;0,"Sensitive account | ","")&amp;IF(AND(MAX(N(E185),N(F185))&gt;=Settings!$C$9,MOD(MAX(N(E185),N(F185)),Settings!$C$10)=0),"Round amount | ",""),LEN(IF(K185="No","Does not balance | ","")&amp;IF(I185="","Not approved | ",IF(UPPER(TRIM(H185))=UPPER(TRIM(I185)),"Self-approved | ",""))&amp;IF(J185="","No support | ","")&amp;IF(WEEKDAY(B185,2)&gt;5,"Weekend posting | ","")&amp;IF(COUNTIF(Settings!$A$14:$A$43,B185)&gt;0,"Holiday posting | ","")&amp;IF(B185&gt;Settings!$C$8,"Posted after close | ","")&amp;IF(OR(B185&lt;Settings!$C$6,B185&gt;Settings!$C$7),"Outside period | ","")&amp;IF(COUNTIF(Settings!$E$14:$E$43,C185&amp;"")&gt;0,"Sensitive account | ","")&amp;IF(AND(MAX(N(E185),N(F185))&gt;=Settings!$C$9,MOD(MAX(N(E185),N(F185)),Settings!$C$10)=0),"Round amount | ",""))-3)))</f>
        <v/>
      </c>
      <c r="M185" s="21" t="str">
        <f aca="false">IF(A185="","",IF(COUNTIF($A$9:A185,A185)=1,MAX($M$8:M184)+1,""))</f>
        <v/>
      </c>
    </row>
    <row r="186" customFormat="false" ht="15" hidden="false" customHeight="false" outlineLevel="0" collapsed="false">
      <c r="A186" s="8"/>
      <c r="B186" s="17"/>
      <c r="C186" s="19"/>
      <c r="D186" s="8"/>
      <c r="E186" s="18"/>
      <c r="F186" s="18"/>
      <c r="G186" s="8"/>
      <c r="H186" s="8"/>
      <c r="I186" s="8"/>
      <c r="J186" s="8"/>
      <c r="K186" s="10" t="str">
        <f aca="false">IF(A186="","",IF(ABS(SUMIFS($E$9:$E$2008,$A$9:$A$2008,A186)-SUMIFS($F$9:$F$2008,$A$9:$A$2008,A186))&lt;0.5,"Yes","No"))</f>
        <v/>
      </c>
      <c r="L186" s="10" t="str">
        <f aca="false">IF(A186="","",IF(IF(K186="No","Does not balance | ","")&amp;IF(I186="","Not approved | ",IF(UPPER(TRIM(H186))=UPPER(TRIM(I186)),"Self-approved | ",""))&amp;IF(J186="","No support | ","")&amp;IF(WEEKDAY(B186,2)&gt;5,"Weekend posting | ","")&amp;IF(COUNTIF(Settings!$A$14:$A$43,B186)&gt;0,"Holiday posting | ","")&amp;IF(B186&gt;Settings!$C$8,"Posted after close | ","")&amp;IF(OR(B186&lt;Settings!$C$6,B186&gt;Settings!$C$7),"Outside period | ","")&amp;IF(COUNTIF(Settings!$E$14:$E$43,C186&amp;"")&gt;0,"Sensitive account | ","")&amp;IF(AND(MAX(N(E186),N(F186))&gt;=Settings!$C$9,MOD(MAX(N(E186),N(F186)),Settings!$C$10)=0),"Round amount | ","")="","",LEFT(IF(K186="No","Does not balance | ","")&amp;IF(I186="","Not approved | ",IF(UPPER(TRIM(H186))=UPPER(TRIM(I186)),"Self-approved | ",""))&amp;IF(J186="","No support | ","")&amp;IF(WEEKDAY(B186,2)&gt;5,"Weekend posting | ","")&amp;IF(COUNTIF(Settings!$A$14:$A$43,B186)&gt;0,"Holiday posting | ","")&amp;IF(B186&gt;Settings!$C$8,"Posted after close | ","")&amp;IF(OR(B186&lt;Settings!$C$6,B186&gt;Settings!$C$7),"Outside period | ","")&amp;IF(COUNTIF(Settings!$E$14:$E$43,C186&amp;"")&gt;0,"Sensitive account | ","")&amp;IF(AND(MAX(N(E186),N(F186))&gt;=Settings!$C$9,MOD(MAX(N(E186),N(F186)),Settings!$C$10)=0),"Round amount | ",""),LEN(IF(K186="No","Does not balance | ","")&amp;IF(I186="","Not approved | ",IF(UPPER(TRIM(H186))=UPPER(TRIM(I186)),"Self-approved | ",""))&amp;IF(J186="","No support | ","")&amp;IF(WEEKDAY(B186,2)&gt;5,"Weekend posting | ","")&amp;IF(COUNTIF(Settings!$A$14:$A$43,B186)&gt;0,"Holiday posting | ","")&amp;IF(B186&gt;Settings!$C$8,"Posted after close | ","")&amp;IF(OR(B186&lt;Settings!$C$6,B186&gt;Settings!$C$7),"Outside period | ","")&amp;IF(COUNTIF(Settings!$E$14:$E$43,C186&amp;"")&gt;0,"Sensitive account | ","")&amp;IF(AND(MAX(N(E186),N(F186))&gt;=Settings!$C$9,MOD(MAX(N(E186),N(F186)),Settings!$C$10)=0),"Round amount | ",""))-3)))</f>
        <v/>
      </c>
      <c r="M186" s="21" t="str">
        <f aca="false">IF(A186="","",IF(COUNTIF($A$9:A186,A186)=1,MAX($M$8:M185)+1,""))</f>
        <v/>
      </c>
    </row>
    <row r="187" customFormat="false" ht="15" hidden="false" customHeight="false" outlineLevel="0" collapsed="false">
      <c r="A187" s="8"/>
      <c r="B187" s="17"/>
      <c r="C187" s="19"/>
      <c r="D187" s="8"/>
      <c r="E187" s="18"/>
      <c r="F187" s="18"/>
      <c r="G187" s="8"/>
      <c r="H187" s="8"/>
      <c r="I187" s="8"/>
      <c r="J187" s="8"/>
      <c r="K187" s="10" t="str">
        <f aca="false">IF(A187="","",IF(ABS(SUMIFS($E$9:$E$2008,$A$9:$A$2008,A187)-SUMIFS($F$9:$F$2008,$A$9:$A$2008,A187))&lt;0.5,"Yes","No"))</f>
        <v/>
      </c>
      <c r="L187" s="10" t="str">
        <f aca="false">IF(A187="","",IF(IF(K187="No","Does not balance | ","")&amp;IF(I187="","Not approved | ",IF(UPPER(TRIM(H187))=UPPER(TRIM(I187)),"Self-approved | ",""))&amp;IF(J187="","No support | ","")&amp;IF(WEEKDAY(B187,2)&gt;5,"Weekend posting | ","")&amp;IF(COUNTIF(Settings!$A$14:$A$43,B187)&gt;0,"Holiday posting | ","")&amp;IF(B187&gt;Settings!$C$8,"Posted after close | ","")&amp;IF(OR(B187&lt;Settings!$C$6,B187&gt;Settings!$C$7),"Outside period | ","")&amp;IF(COUNTIF(Settings!$E$14:$E$43,C187&amp;"")&gt;0,"Sensitive account | ","")&amp;IF(AND(MAX(N(E187),N(F187))&gt;=Settings!$C$9,MOD(MAX(N(E187),N(F187)),Settings!$C$10)=0),"Round amount | ","")="","",LEFT(IF(K187="No","Does not balance | ","")&amp;IF(I187="","Not approved | ",IF(UPPER(TRIM(H187))=UPPER(TRIM(I187)),"Self-approved | ",""))&amp;IF(J187="","No support | ","")&amp;IF(WEEKDAY(B187,2)&gt;5,"Weekend posting | ","")&amp;IF(COUNTIF(Settings!$A$14:$A$43,B187)&gt;0,"Holiday posting | ","")&amp;IF(B187&gt;Settings!$C$8,"Posted after close | ","")&amp;IF(OR(B187&lt;Settings!$C$6,B187&gt;Settings!$C$7),"Outside period | ","")&amp;IF(COUNTIF(Settings!$E$14:$E$43,C187&amp;"")&gt;0,"Sensitive account | ","")&amp;IF(AND(MAX(N(E187),N(F187))&gt;=Settings!$C$9,MOD(MAX(N(E187),N(F187)),Settings!$C$10)=0),"Round amount | ",""),LEN(IF(K187="No","Does not balance | ","")&amp;IF(I187="","Not approved | ",IF(UPPER(TRIM(H187))=UPPER(TRIM(I187)),"Self-approved | ",""))&amp;IF(J187="","No support | ","")&amp;IF(WEEKDAY(B187,2)&gt;5,"Weekend posting | ","")&amp;IF(COUNTIF(Settings!$A$14:$A$43,B187)&gt;0,"Holiday posting | ","")&amp;IF(B187&gt;Settings!$C$8,"Posted after close | ","")&amp;IF(OR(B187&lt;Settings!$C$6,B187&gt;Settings!$C$7),"Outside period | ","")&amp;IF(COUNTIF(Settings!$E$14:$E$43,C187&amp;"")&gt;0,"Sensitive account | ","")&amp;IF(AND(MAX(N(E187),N(F187))&gt;=Settings!$C$9,MOD(MAX(N(E187),N(F187)),Settings!$C$10)=0),"Round amount | ",""))-3)))</f>
        <v/>
      </c>
      <c r="M187" s="21" t="str">
        <f aca="false">IF(A187="","",IF(COUNTIF($A$9:A187,A187)=1,MAX($M$8:M186)+1,""))</f>
        <v/>
      </c>
    </row>
    <row r="188" customFormat="false" ht="15" hidden="false" customHeight="false" outlineLevel="0" collapsed="false">
      <c r="A188" s="8"/>
      <c r="B188" s="17"/>
      <c r="C188" s="19"/>
      <c r="D188" s="8"/>
      <c r="E188" s="18"/>
      <c r="F188" s="18"/>
      <c r="G188" s="8"/>
      <c r="H188" s="8"/>
      <c r="I188" s="8"/>
      <c r="J188" s="8"/>
      <c r="K188" s="10" t="str">
        <f aca="false">IF(A188="","",IF(ABS(SUMIFS($E$9:$E$2008,$A$9:$A$2008,A188)-SUMIFS($F$9:$F$2008,$A$9:$A$2008,A188))&lt;0.5,"Yes","No"))</f>
        <v/>
      </c>
      <c r="L188" s="10" t="str">
        <f aca="false">IF(A188="","",IF(IF(K188="No","Does not balance | ","")&amp;IF(I188="","Not approved | ",IF(UPPER(TRIM(H188))=UPPER(TRIM(I188)),"Self-approved | ",""))&amp;IF(J188="","No support | ","")&amp;IF(WEEKDAY(B188,2)&gt;5,"Weekend posting | ","")&amp;IF(COUNTIF(Settings!$A$14:$A$43,B188)&gt;0,"Holiday posting | ","")&amp;IF(B188&gt;Settings!$C$8,"Posted after close | ","")&amp;IF(OR(B188&lt;Settings!$C$6,B188&gt;Settings!$C$7),"Outside period | ","")&amp;IF(COUNTIF(Settings!$E$14:$E$43,C188&amp;"")&gt;0,"Sensitive account | ","")&amp;IF(AND(MAX(N(E188),N(F188))&gt;=Settings!$C$9,MOD(MAX(N(E188),N(F188)),Settings!$C$10)=0),"Round amount | ","")="","",LEFT(IF(K188="No","Does not balance | ","")&amp;IF(I188="","Not approved | ",IF(UPPER(TRIM(H188))=UPPER(TRIM(I188)),"Self-approved | ",""))&amp;IF(J188="","No support | ","")&amp;IF(WEEKDAY(B188,2)&gt;5,"Weekend posting | ","")&amp;IF(COUNTIF(Settings!$A$14:$A$43,B188)&gt;0,"Holiday posting | ","")&amp;IF(B188&gt;Settings!$C$8,"Posted after close | ","")&amp;IF(OR(B188&lt;Settings!$C$6,B188&gt;Settings!$C$7),"Outside period | ","")&amp;IF(COUNTIF(Settings!$E$14:$E$43,C188&amp;"")&gt;0,"Sensitive account | ","")&amp;IF(AND(MAX(N(E188),N(F188))&gt;=Settings!$C$9,MOD(MAX(N(E188),N(F188)),Settings!$C$10)=0),"Round amount | ",""),LEN(IF(K188="No","Does not balance | ","")&amp;IF(I188="","Not approved | ",IF(UPPER(TRIM(H188))=UPPER(TRIM(I188)),"Self-approved | ",""))&amp;IF(J188="","No support | ","")&amp;IF(WEEKDAY(B188,2)&gt;5,"Weekend posting | ","")&amp;IF(COUNTIF(Settings!$A$14:$A$43,B188)&gt;0,"Holiday posting | ","")&amp;IF(B188&gt;Settings!$C$8,"Posted after close | ","")&amp;IF(OR(B188&lt;Settings!$C$6,B188&gt;Settings!$C$7),"Outside period | ","")&amp;IF(COUNTIF(Settings!$E$14:$E$43,C188&amp;"")&gt;0,"Sensitive account | ","")&amp;IF(AND(MAX(N(E188),N(F188))&gt;=Settings!$C$9,MOD(MAX(N(E188),N(F188)),Settings!$C$10)=0),"Round amount | ",""))-3)))</f>
        <v/>
      </c>
      <c r="M188" s="21" t="str">
        <f aca="false">IF(A188="","",IF(COUNTIF($A$9:A188,A188)=1,MAX($M$8:M187)+1,""))</f>
        <v/>
      </c>
    </row>
    <row r="189" customFormat="false" ht="15" hidden="false" customHeight="false" outlineLevel="0" collapsed="false">
      <c r="A189" s="8"/>
      <c r="B189" s="17"/>
      <c r="C189" s="19"/>
      <c r="D189" s="8"/>
      <c r="E189" s="18"/>
      <c r="F189" s="18"/>
      <c r="G189" s="8"/>
      <c r="H189" s="8"/>
      <c r="I189" s="8"/>
      <c r="J189" s="8"/>
      <c r="K189" s="10" t="str">
        <f aca="false">IF(A189="","",IF(ABS(SUMIFS($E$9:$E$2008,$A$9:$A$2008,A189)-SUMIFS($F$9:$F$2008,$A$9:$A$2008,A189))&lt;0.5,"Yes","No"))</f>
        <v/>
      </c>
      <c r="L189" s="10" t="str">
        <f aca="false">IF(A189="","",IF(IF(K189="No","Does not balance | ","")&amp;IF(I189="","Not approved | ",IF(UPPER(TRIM(H189))=UPPER(TRIM(I189)),"Self-approved | ",""))&amp;IF(J189="","No support | ","")&amp;IF(WEEKDAY(B189,2)&gt;5,"Weekend posting | ","")&amp;IF(COUNTIF(Settings!$A$14:$A$43,B189)&gt;0,"Holiday posting | ","")&amp;IF(B189&gt;Settings!$C$8,"Posted after close | ","")&amp;IF(OR(B189&lt;Settings!$C$6,B189&gt;Settings!$C$7),"Outside period | ","")&amp;IF(COUNTIF(Settings!$E$14:$E$43,C189&amp;"")&gt;0,"Sensitive account | ","")&amp;IF(AND(MAX(N(E189),N(F189))&gt;=Settings!$C$9,MOD(MAX(N(E189),N(F189)),Settings!$C$10)=0),"Round amount | ","")="","",LEFT(IF(K189="No","Does not balance | ","")&amp;IF(I189="","Not approved | ",IF(UPPER(TRIM(H189))=UPPER(TRIM(I189)),"Self-approved | ",""))&amp;IF(J189="","No support | ","")&amp;IF(WEEKDAY(B189,2)&gt;5,"Weekend posting | ","")&amp;IF(COUNTIF(Settings!$A$14:$A$43,B189)&gt;0,"Holiday posting | ","")&amp;IF(B189&gt;Settings!$C$8,"Posted after close | ","")&amp;IF(OR(B189&lt;Settings!$C$6,B189&gt;Settings!$C$7),"Outside period | ","")&amp;IF(COUNTIF(Settings!$E$14:$E$43,C189&amp;"")&gt;0,"Sensitive account | ","")&amp;IF(AND(MAX(N(E189),N(F189))&gt;=Settings!$C$9,MOD(MAX(N(E189),N(F189)),Settings!$C$10)=0),"Round amount | ",""),LEN(IF(K189="No","Does not balance | ","")&amp;IF(I189="","Not approved | ",IF(UPPER(TRIM(H189))=UPPER(TRIM(I189)),"Self-approved | ",""))&amp;IF(J189="","No support | ","")&amp;IF(WEEKDAY(B189,2)&gt;5,"Weekend posting | ","")&amp;IF(COUNTIF(Settings!$A$14:$A$43,B189)&gt;0,"Holiday posting | ","")&amp;IF(B189&gt;Settings!$C$8,"Posted after close | ","")&amp;IF(OR(B189&lt;Settings!$C$6,B189&gt;Settings!$C$7),"Outside period | ","")&amp;IF(COUNTIF(Settings!$E$14:$E$43,C189&amp;"")&gt;0,"Sensitive account | ","")&amp;IF(AND(MAX(N(E189),N(F189))&gt;=Settings!$C$9,MOD(MAX(N(E189),N(F189)),Settings!$C$10)=0),"Round amount | ",""))-3)))</f>
        <v/>
      </c>
      <c r="M189" s="21" t="str">
        <f aca="false">IF(A189="","",IF(COUNTIF($A$9:A189,A189)=1,MAX($M$8:M188)+1,""))</f>
        <v/>
      </c>
    </row>
    <row r="190" customFormat="false" ht="15" hidden="false" customHeight="false" outlineLevel="0" collapsed="false">
      <c r="A190" s="8"/>
      <c r="B190" s="17"/>
      <c r="C190" s="19"/>
      <c r="D190" s="8"/>
      <c r="E190" s="18"/>
      <c r="F190" s="18"/>
      <c r="G190" s="8"/>
      <c r="H190" s="8"/>
      <c r="I190" s="8"/>
      <c r="J190" s="8"/>
      <c r="K190" s="10" t="str">
        <f aca="false">IF(A190="","",IF(ABS(SUMIFS($E$9:$E$2008,$A$9:$A$2008,A190)-SUMIFS($F$9:$F$2008,$A$9:$A$2008,A190))&lt;0.5,"Yes","No"))</f>
        <v/>
      </c>
      <c r="L190" s="10" t="str">
        <f aca="false">IF(A190="","",IF(IF(K190="No","Does not balance | ","")&amp;IF(I190="","Not approved | ",IF(UPPER(TRIM(H190))=UPPER(TRIM(I190)),"Self-approved | ",""))&amp;IF(J190="","No support | ","")&amp;IF(WEEKDAY(B190,2)&gt;5,"Weekend posting | ","")&amp;IF(COUNTIF(Settings!$A$14:$A$43,B190)&gt;0,"Holiday posting | ","")&amp;IF(B190&gt;Settings!$C$8,"Posted after close | ","")&amp;IF(OR(B190&lt;Settings!$C$6,B190&gt;Settings!$C$7),"Outside period | ","")&amp;IF(COUNTIF(Settings!$E$14:$E$43,C190&amp;"")&gt;0,"Sensitive account | ","")&amp;IF(AND(MAX(N(E190),N(F190))&gt;=Settings!$C$9,MOD(MAX(N(E190),N(F190)),Settings!$C$10)=0),"Round amount | ","")="","",LEFT(IF(K190="No","Does not balance | ","")&amp;IF(I190="","Not approved | ",IF(UPPER(TRIM(H190))=UPPER(TRIM(I190)),"Self-approved | ",""))&amp;IF(J190="","No support | ","")&amp;IF(WEEKDAY(B190,2)&gt;5,"Weekend posting | ","")&amp;IF(COUNTIF(Settings!$A$14:$A$43,B190)&gt;0,"Holiday posting | ","")&amp;IF(B190&gt;Settings!$C$8,"Posted after close | ","")&amp;IF(OR(B190&lt;Settings!$C$6,B190&gt;Settings!$C$7),"Outside period | ","")&amp;IF(COUNTIF(Settings!$E$14:$E$43,C190&amp;"")&gt;0,"Sensitive account | ","")&amp;IF(AND(MAX(N(E190),N(F190))&gt;=Settings!$C$9,MOD(MAX(N(E190),N(F190)),Settings!$C$10)=0),"Round amount | ",""),LEN(IF(K190="No","Does not balance | ","")&amp;IF(I190="","Not approved | ",IF(UPPER(TRIM(H190))=UPPER(TRIM(I190)),"Self-approved | ",""))&amp;IF(J190="","No support | ","")&amp;IF(WEEKDAY(B190,2)&gt;5,"Weekend posting | ","")&amp;IF(COUNTIF(Settings!$A$14:$A$43,B190)&gt;0,"Holiday posting | ","")&amp;IF(B190&gt;Settings!$C$8,"Posted after close | ","")&amp;IF(OR(B190&lt;Settings!$C$6,B190&gt;Settings!$C$7),"Outside period | ","")&amp;IF(COUNTIF(Settings!$E$14:$E$43,C190&amp;"")&gt;0,"Sensitive account | ","")&amp;IF(AND(MAX(N(E190),N(F190))&gt;=Settings!$C$9,MOD(MAX(N(E190),N(F190)),Settings!$C$10)=0),"Round amount | ",""))-3)))</f>
        <v/>
      </c>
      <c r="M190" s="21" t="str">
        <f aca="false">IF(A190="","",IF(COUNTIF($A$9:A190,A190)=1,MAX($M$8:M189)+1,""))</f>
        <v/>
      </c>
    </row>
    <row r="191" customFormat="false" ht="15" hidden="false" customHeight="false" outlineLevel="0" collapsed="false">
      <c r="A191" s="8"/>
      <c r="B191" s="17"/>
      <c r="C191" s="19"/>
      <c r="D191" s="8"/>
      <c r="E191" s="18"/>
      <c r="F191" s="18"/>
      <c r="G191" s="8"/>
      <c r="H191" s="8"/>
      <c r="I191" s="8"/>
      <c r="J191" s="8"/>
      <c r="K191" s="10" t="str">
        <f aca="false">IF(A191="","",IF(ABS(SUMIFS($E$9:$E$2008,$A$9:$A$2008,A191)-SUMIFS($F$9:$F$2008,$A$9:$A$2008,A191))&lt;0.5,"Yes","No"))</f>
        <v/>
      </c>
      <c r="L191" s="10" t="str">
        <f aca="false">IF(A191="","",IF(IF(K191="No","Does not balance | ","")&amp;IF(I191="","Not approved | ",IF(UPPER(TRIM(H191))=UPPER(TRIM(I191)),"Self-approved | ",""))&amp;IF(J191="","No support | ","")&amp;IF(WEEKDAY(B191,2)&gt;5,"Weekend posting | ","")&amp;IF(COUNTIF(Settings!$A$14:$A$43,B191)&gt;0,"Holiday posting | ","")&amp;IF(B191&gt;Settings!$C$8,"Posted after close | ","")&amp;IF(OR(B191&lt;Settings!$C$6,B191&gt;Settings!$C$7),"Outside period | ","")&amp;IF(COUNTIF(Settings!$E$14:$E$43,C191&amp;"")&gt;0,"Sensitive account | ","")&amp;IF(AND(MAX(N(E191),N(F191))&gt;=Settings!$C$9,MOD(MAX(N(E191),N(F191)),Settings!$C$10)=0),"Round amount | ","")="","",LEFT(IF(K191="No","Does not balance | ","")&amp;IF(I191="","Not approved | ",IF(UPPER(TRIM(H191))=UPPER(TRIM(I191)),"Self-approved | ",""))&amp;IF(J191="","No support | ","")&amp;IF(WEEKDAY(B191,2)&gt;5,"Weekend posting | ","")&amp;IF(COUNTIF(Settings!$A$14:$A$43,B191)&gt;0,"Holiday posting | ","")&amp;IF(B191&gt;Settings!$C$8,"Posted after close | ","")&amp;IF(OR(B191&lt;Settings!$C$6,B191&gt;Settings!$C$7),"Outside period | ","")&amp;IF(COUNTIF(Settings!$E$14:$E$43,C191&amp;"")&gt;0,"Sensitive account | ","")&amp;IF(AND(MAX(N(E191),N(F191))&gt;=Settings!$C$9,MOD(MAX(N(E191),N(F191)),Settings!$C$10)=0),"Round amount | ",""),LEN(IF(K191="No","Does not balance | ","")&amp;IF(I191="","Not approved | ",IF(UPPER(TRIM(H191))=UPPER(TRIM(I191)),"Self-approved | ",""))&amp;IF(J191="","No support | ","")&amp;IF(WEEKDAY(B191,2)&gt;5,"Weekend posting | ","")&amp;IF(COUNTIF(Settings!$A$14:$A$43,B191)&gt;0,"Holiday posting | ","")&amp;IF(B191&gt;Settings!$C$8,"Posted after close | ","")&amp;IF(OR(B191&lt;Settings!$C$6,B191&gt;Settings!$C$7),"Outside period | ","")&amp;IF(COUNTIF(Settings!$E$14:$E$43,C191&amp;"")&gt;0,"Sensitive account | ","")&amp;IF(AND(MAX(N(E191),N(F191))&gt;=Settings!$C$9,MOD(MAX(N(E191),N(F191)),Settings!$C$10)=0),"Round amount | ",""))-3)))</f>
        <v/>
      </c>
      <c r="M191" s="21" t="str">
        <f aca="false">IF(A191="","",IF(COUNTIF($A$9:A191,A191)=1,MAX($M$8:M190)+1,""))</f>
        <v/>
      </c>
    </row>
    <row r="192" customFormat="false" ht="15" hidden="false" customHeight="false" outlineLevel="0" collapsed="false">
      <c r="A192" s="8"/>
      <c r="B192" s="17"/>
      <c r="C192" s="19"/>
      <c r="D192" s="8"/>
      <c r="E192" s="18"/>
      <c r="F192" s="18"/>
      <c r="G192" s="8"/>
      <c r="H192" s="8"/>
      <c r="I192" s="8"/>
      <c r="J192" s="8"/>
      <c r="K192" s="10" t="str">
        <f aca="false">IF(A192="","",IF(ABS(SUMIFS($E$9:$E$2008,$A$9:$A$2008,A192)-SUMIFS($F$9:$F$2008,$A$9:$A$2008,A192))&lt;0.5,"Yes","No"))</f>
        <v/>
      </c>
      <c r="L192" s="10" t="str">
        <f aca="false">IF(A192="","",IF(IF(K192="No","Does not balance | ","")&amp;IF(I192="","Not approved | ",IF(UPPER(TRIM(H192))=UPPER(TRIM(I192)),"Self-approved | ",""))&amp;IF(J192="","No support | ","")&amp;IF(WEEKDAY(B192,2)&gt;5,"Weekend posting | ","")&amp;IF(COUNTIF(Settings!$A$14:$A$43,B192)&gt;0,"Holiday posting | ","")&amp;IF(B192&gt;Settings!$C$8,"Posted after close | ","")&amp;IF(OR(B192&lt;Settings!$C$6,B192&gt;Settings!$C$7),"Outside period | ","")&amp;IF(COUNTIF(Settings!$E$14:$E$43,C192&amp;"")&gt;0,"Sensitive account | ","")&amp;IF(AND(MAX(N(E192),N(F192))&gt;=Settings!$C$9,MOD(MAX(N(E192),N(F192)),Settings!$C$10)=0),"Round amount | ","")="","",LEFT(IF(K192="No","Does not balance | ","")&amp;IF(I192="","Not approved | ",IF(UPPER(TRIM(H192))=UPPER(TRIM(I192)),"Self-approved | ",""))&amp;IF(J192="","No support | ","")&amp;IF(WEEKDAY(B192,2)&gt;5,"Weekend posting | ","")&amp;IF(COUNTIF(Settings!$A$14:$A$43,B192)&gt;0,"Holiday posting | ","")&amp;IF(B192&gt;Settings!$C$8,"Posted after close | ","")&amp;IF(OR(B192&lt;Settings!$C$6,B192&gt;Settings!$C$7),"Outside period | ","")&amp;IF(COUNTIF(Settings!$E$14:$E$43,C192&amp;"")&gt;0,"Sensitive account | ","")&amp;IF(AND(MAX(N(E192),N(F192))&gt;=Settings!$C$9,MOD(MAX(N(E192),N(F192)),Settings!$C$10)=0),"Round amount | ",""),LEN(IF(K192="No","Does not balance | ","")&amp;IF(I192="","Not approved | ",IF(UPPER(TRIM(H192))=UPPER(TRIM(I192)),"Self-approved | ",""))&amp;IF(J192="","No support | ","")&amp;IF(WEEKDAY(B192,2)&gt;5,"Weekend posting | ","")&amp;IF(COUNTIF(Settings!$A$14:$A$43,B192)&gt;0,"Holiday posting | ","")&amp;IF(B192&gt;Settings!$C$8,"Posted after close | ","")&amp;IF(OR(B192&lt;Settings!$C$6,B192&gt;Settings!$C$7),"Outside period | ","")&amp;IF(COUNTIF(Settings!$E$14:$E$43,C192&amp;"")&gt;0,"Sensitive account | ","")&amp;IF(AND(MAX(N(E192),N(F192))&gt;=Settings!$C$9,MOD(MAX(N(E192),N(F192)),Settings!$C$10)=0),"Round amount | ",""))-3)))</f>
        <v/>
      </c>
      <c r="M192" s="21" t="str">
        <f aca="false">IF(A192="","",IF(COUNTIF($A$9:A192,A192)=1,MAX($M$8:M191)+1,""))</f>
        <v/>
      </c>
    </row>
    <row r="193" customFormat="false" ht="15" hidden="false" customHeight="false" outlineLevel="0" collapsed="false">
      <c r="A193" s="8"/>
      <c r="B193" s="17"/>
      <c r="C193" s="19"/>
      <c r="D193" s="8"/>
      <c r="E193" s="18"/>
      <c r="F193" s="18"/>
      <c r="G193" s="8"/>
      <c r="H193" s="8"/>
      <c r="I193" s="8"/>
      <c r="J193" s="8"/>
      <c r="K193" s="10" t="str">
        <f aca="false">IF(A193="","",IF(ABS(SUMIFS($E$9:$E$2008,$A$9:$A$2008,A193)-SUMIFS($F$9:$F$2008,$A$9:$A$2008,A193))&lt;0.5,"Yes","No"))</f>
        <v/>
      </c>
      <c r="L193" s="10" t="str">
        <f aca="false">IF(A193="","",IF(IF(K193="No","Does not balance | ","")&amp;IF(I193="","Not approved | ",IF(UPPER(TRIM(H193))=UPPER(TRIM(I193)),"Self-approved | ",""))&amp;IF(J193="","No support | ","")&amp;IF(WEEKDAY(B193,2)&gt;5,"Weekend posting | ","")&amp;IF(COUNTIF(Settings!$A$14:$A$43,B193)&gt;0,"Holiday posting | ","")&amp;IF(B193&gt;Settings!$C$8,"Posted after close | ","")&amp;IF(OR(B193&lt;Settings!$C$6,B193&gt;Settings!$C$7),"Outside period | ","")&amp;IF(COUNTIF(Settings!$E$14:$E$43,C193&amp;"")&gt;0,"Sensitive account | ","")&amp;IF(AND(MAX(N(E193),N(F193))&gt;=Settings!$C$9,MOD(MAX(N(E193),N(F193)),Settings!$C$10)=0),"Round amount | ","")="","",LEFT(IF(K193="No","Does not balance | ","")&amp;IF(I193="","Not approved | ",IF(UPPER(TRIM(H193))=UPPER(TRIM(I193)),"Self-approved | ",""))&amp;IF(J193="","No support | ","")&amp;IF(WEEKDAY(B193,2)&gt;5,"Weekend posting | ","")&amp;IF(COUNTIF(Settings!$A$14:$A$43,B193)&gt;0,"Holiday posting | ","")&amp;IF(B193&gt;Settings!$C$8,"Posted after close | ","")&amp;IF(OR(B193&lt;Settings!$C$6,B193&gt;Settings!$C$7),"Outside period | ","")&amp;IF(COUNTIF(Settings!$E$14:$E$43,C193&amp;"")&gt;0,"Sensitive account | ","")&amp;IF(AND(MAX(N(E193),N(F193))&gt;=Settings!$C$9,MOD(MAX(N(E193),N(F193)),Settings!$C$10)=0),"Round amount | ",""),LEN(IF(K193="No","Does not balance | ","")&amp;IF(I193="","Not approved | ",IF(UPPER(TRIM(H193))=UPPER(TRIM(I193)),"Self-approved | ",""))&amp;IF(J193="","No support | ","")&amp;IF(WEEKDAY(B193,2)&gt;5,"Weekend posting | ","")&amp;IF(COUNTIF(Settings!$A$14:$A$43,B193)&gt;0,"Holiday posting | ","")&amp;IF(B193&gt;Settings!$C$8,"Posted after close | ","")&amp;IF(OR(B193&lt;Settings!$C$6,B193&gt;Settings!$C$7),"Outside period | ","")&amp;IF(COUNTIF(Settings!$E$14:$E$43,C193&amp;"")&gt;0,"Sensitive account | ","")&amp;IF(AND(MAX(N(E193),N(F193))&gt;=Settings!$C$9,MOD(MAX(N(E193),N(F193)),Settings!$C$10)=0),"Round amount | ",""))-3)))</f>
        <v/>
      </c>
      <c r="M193" s="21" t="str">
        <f aca="false">IF(A193="","",IF(COUNTIF($A$9:A193,A193)=1,MAX($M$8:M192)+1,""))</f>
        <v/>
      </c>
    </row>
    <row r="194" customFormat="false" ht="15" hidden="false" customHeight="false" outlineLevel="0" collapsed="false">
      <c r="A194" s="8"/>
      <c r="B194" s="17"/>
      <c r="C194" s="19"/>
      <c r="D194" s="8"/>
      <c r="E194" s="18"/>
      <c r="F194" s="18"/>
      <c r="G194" s="8"/>
      <c r="H194" s="8"/>
      <c r="I194" s="8"/>
      <c r="J194" s="8"/>
      <c r="K194" s="10" t="str">
        <f aca="false">IF(A194="","",IF(ABS(SUMIFS($E$9:$E$2008,$A$9:$A$2008,A194)-SUMIFS($F$9:$F$2008,$A$9:$A$2008,A194))&lt;0.5,"Yes","No"))</f>
        <v/>
      </c>
      <c r="L194" s="10" t="str">
        <f aca="false">IF(A194="","",IF(IF(K194="No","Does not balance | ","")&amp;IF(I194="","Not approved | ",IF(UPPER(TRIM(H194))=UPPER(TRIM(I194)),"Self-approved | ",""))&amp;IF(J194="","No support | ","")&amp;IF(WEEKDAY(B194,2)&gt;5,"Weekend posting | ","")&amp;IF(COUNTIF(Settings!$A$14:$A$43,B194)&gt;0,"Holiday posting | ","")&amp;IF(B194&gt;Settings!$C$8,"Posted after close | ","")&amp;IF(OR(B194&lt;Settings!$C$6,B194&gt;Settings!$C$7),"Outside period | ","")&amp;IF(COUNTIF(Settings!$E$14:$E$43,C194&amp;"")&gt;0,"Sensitive account | ","")&amp;IF(AND(MAX(N(E194),N(F194))&gt;=Settings!$C$9,MOD(MAX(N(E194),N(F194)),Settings!$C$10)=0),"Round amount | ","")="","",LEFT(IF(K194="No","Does not balance | ","")&amp;IF(I194="","Not approved | ",IF(UPPER(TRIM(H194))=UPPER(TRIM(I194)),"Self-approved | ",""))&amp;IF(J194="","No support | ","")&amp;IF(WEEKDAY(B194,2)&gt;5,"Weekend posting | ","")&amp;IF(COUNTIF(Settings!$A$14:$A$43,B194)&gt;0,"Holiday posting | ","")&amp;IF(B194&gt;Settings!$C$8,"Posted after close | ","")&amp;IF(OR(B194&lt;Settings!$C$6,B194&gt;Settings!$C$7),"Outside period | ","")&amp;IF(COUNTIF(Settings!$E$14:$E$43,C194&amp;"")&gt;0,"Sensitive account | ","")&amp;IF(AND(MAX(N(E194),N(F194))&gt;=Settings!$C$9,MOD(MAX(N(E194),N(F194)),Settings!$C$10)=0),"Round amount | ",""),LEN(IF(K194="No","Does not balance | ","")&amp;IF(I194="","Not approved | ",IF(UPPER(TRIM(H194))=UPPER(TRIM(I194)),"Self-approved | ",""))&amp;IF(J194="","No support | ","")&amp;IF(WEEKDAY(B194,2)&gt;5,"Weekend posting | ","")&amp;IF(COUNTIF(Settings!$A$14:$A$43,B194)&gt;0,"Holiday posting | ","")&amp;IF(B194&gt;Settings!$C$8,"Posted after close | ","")&amp;IF(OR(B194&lt;Settings!$C$6,B194&gt;Settings!$C$7),"Outside period | ","")&amp;IF(COUNTIF(Settings!$E$14:$E$43,C194&amp;"")&gt;0,"Sensitive account | ","")&amp;IF(AND(MAX(N(E194),N(F194))&gt;=Settings!$C$9,MOD(MAX(N(E194),N(F194)),Settings!$C$10)=0),"Round amount | ",""))-3)))</f>
        <v/>
      </c>
      <c r="M194" s="21" t="str">
        <f aca="false">IF(A194="","",IF(COUNTIF($A$9:A194,A194)=1,MAX($M$8:M193)+1,""))</f>
        <v/>
      </c>
    </row>
    <row r="195" customFormat="false" ht="15" hidden="false" customHeight="false" outlineLevel="0" collapsed="false">
      <c r="A195" s="8"/>
      <c r="B195" s="17"/>
      <c r="C195" s="19"/>
      <c r="D195" s="8"/>
      <c r="E195" s="18"/>
      <c r="F195" s="18"/>
      <c r="G195" s="8"/>
      <c r="H195" s="8"/>
      <c r="I195" s="8"/>
      <c r="J195" s="8"/>
      <c r="K195" s="10" t="str">
        <f aca="false">IF(A195="","",IF(ABS(SUMIFS($E$9:$E$2008,$A$9:$A$2008,A195)-SUMIFS($F$9:$F$2008,$A$9:$A$2008,A195))&lt;0.5,"Yes","No"))</f>
        <v/>
      </c>
      <c r="L195" s="10" t="str">
        <f aca="false">IF(A195="","",IF(IF(K195="No","Does not balance | ","")&amp;IF(I195="","Not approved | ",IF(UPPER(TRIM(H195))=UPPER(TRIM(I195)),"Self-approved | ",""))&amp;IF(J195="","No support | ","")&amp;IF(WEEKDAY(B195,2)&gt;5,"Weekend posting | ","")&amp;IF(COUNTIF(Settings!$A$14:$A$43,B195)&gt;0,"Holiday posting | ","")&amp;IF(B195&gt;Settings!$C$8,"Posted after close | ","")&amp;IF(OR(B195&lt;Settings!$C$6,B195&gt;Settings!$C$7),"Outside period | ","")&amp;IF(COUNTIF(Settings!$E$14:$E$43,C195&amp;"")&gt;0,"Sensitive account | ","")&amp;IF(AND(MAX(N(E195),N(F195))&gt;=Settings!$C$9,MOD(MAX(N(E195),N(F195)),Settings!$C$10)=0),"Round amount | ","")="","",LEFT(IF(K195="No","Does not balance | ","")&amp;IF(I195="","Not approved | ",IF(UPPER(TRIM(H195))=UPPER(TRIM(I195)),"Self-approved | ",""))&amp;IF(J195="","No support | ","")&amp;IF(WEEKDAY(B195,2)&gt;5,"Weekend posting | ","")&amp;IF(COUNTIF(Settings!$A$14:$A$43,B195)&gt;0,"Holiday posting | ","")&amp;IF(B195&gt;Settings!$C$8,"Posted after close | ","")&amp;IF(OR(B195&lt;Settings!$C$6,B195&gt;Settings!$C$7),"Outside period | ","")&amp;IF(COUNTIF(Settings!$E$14:$E$43,C195&amp;"")&gt;0,"Sensitive account | ","")&amp;IF(AND(MAX(N(E195),N(F195))&gt;=Settings!$C$9,MOD(MAX(N(E195),N(F195)),Settings!$C$10)=0),"Round amount | ",""),LEN(IF(K195="No","Does not balance | ","")&amp;IF(I195="","Not approved | ",IF(UPPER(TRIM(H195))=UPPER(TRIM(I195)),"Self-approved | ",""))&amp;IF(J195="","No support | ","")&amp;IF(WEEKDAY(B195,2)&gt;5,"Weekend posting | ","")&amp;IF(COUNTIF(Settings!$A$14:$A$43,B195)&gt;0,"Holiday posting | ","")&amp;IF(B195&gt;Settings!$C$8,"Posted after close | ","")&amp;IF(OR(B195&lt;Settings!$C$6,B195&gt;Settings!$C$7),"Outside period | ","")&amp;IF(COUNTIF(Settings!$E$14:$E$43,C195&amp;"")&gt;0,"Sensitive account | ","")&amp;IF(AND(MAX(N(E195),N(F195))&gt;=Settings!$C$9,MOD(MAX(N(E195),N(F195)),Settings!$C$10)=0),"Round amount | ",""))-3)))</f>
        <v/>
      </c>
      <c r="M195" s="21" t="str">
        <f aca="false">IF(A195="","",IF(COUNTIF($A$9:A195,A195)=1,MAX($M$8:M194)+1,""))</f>
        <v/>
      </c>
    </row>
    <row r="196" customFormat="false" ht="15" hidden="false" customHeight="false" outlineLevel="0" collapsed="false">
      <c r="A196" s="8"/>
      <c r="B196" s="17"/>
      <c r="C196" s="19"/>
      <c r="D196" s="8"/>
      <c r="E196" s="18"/>
      <c r="F196" s="18"/>
      <c r="G196" s="8"/>
      <c r="H196" s="8"/>
      <c r="I196" s="8"/>
      <c r="J196" s="8"/>
      <c r="K196" s="10" t="str">
        <f aca="false">IF(A196="","",IF(ABS(SUMIFS($E$9:$E$2008,$A$9:$A$2008,A196)-SUMIFS($F$9:$F$2008,$A$9:$A$2008,A196))&lt;0.5,"Yes","No"))</f>
        <v/>
      </c>
      <c r="L196" s="10" t="str">
        <f aca="false">IF(A196="","",IF(IF(K196="No","Does not balance | ","")&amp;IF(I196="","Not approved | ",IF(UPPER(TRIM(H196))=UPPER(TRIM(I196)),"Self-approved | ",""))&amp;IF(J196="","No support | ","")&amp;IF(WEEKDAY(B196,2)&gt;5,"Weekend posting | ","")&amp;IF(COUNTIF(Settings!$A$14:$A$43,B196)&gt;0,"Holiday posting | ","")&amp;IF(B196&gt;Settings!$C$8,"Posted after close | ","")&amp;IF(OR(B196&lt;Settings!$C$6,B196&gt;Settings!$C$7),"Outside period | ","")&amp;IF(COUNTIF(Settings!$E$14:$E$43,C196&amp;"")&gt;0,"Sensitive account | ","")&amp;IF(AND(MAX(N(E196),N(F196))&gt;=Settings!$C$9,MOD(MAX(N(E196),N(F196)),Settings!$C$10)=0),"Round amount | ","")="","",LEFT(IF(K196="No","Does not balance | ","")&amp;IF(I196="","Not approved | ",IF(UPPER(TRIM(H196))=UPPER(TRIM(I196)),"Self-approved | ",""))&amp;IF(J196="","No support | ","")&amp;IF(WEEKDAY(B196,2)&gt;5,"Weekend posting | ","")&amp;IF(COUNTIF(Settings!$A$14:$A$43,B196)&gt;0,"Holiday posting | ","")&amp;IF(B196&gt;Settings!$C$8,"Posted after close | ","")&amp;IF(OR(B196&lt;Settings!$C$6,B196&gt;Settings!$C$7),"Outside period | ","")&amp;IF(COUNTIF(Settings!$E$14:$E$43,C196&amp;"")&gt;0,"Sensitive account | ","")&amp;IF(AND(MAX(N(E196),N(F196))&gt;=Settings!$C$9,MOD(MAX(N(E196),N(F196)),Settings!$C$10)=0),"Round amount | ",""),LEN(IF(K196="No","Does not balance | ","")&amp;IF(I196="","Not approved | ",IF(UPPER(TRIM(H196))=UPPER(TRIM(I196)),"Self-approved | ",""))&amp;IF(J196="","No support | ","")&amp;IF(WEEKDAY(B196,2)&gt;5,"Weekend posting | ","")&amp;IF(COUNTIF(Settings!$A$14:$A$43,B196)&gt;0,"Holiday posting | ","")&amp;IF(B196&gt;Settings!$C$8,"Posted after close | ","")&amp;IF(OR(B196&lt;Settings!$C$6,B196&gt;Settings!$C$7),"Outside period | ","")&amp;IF(COUNTIF(Settings!$E$14:$E$43,C196&amp;"")&gt;0,"Sensitive account | ","")&amp;IF(AND(MAX(N(E196),N(F196))&gt;=Settings!$C$9,MOD(MAX(N(E196),N(F196)),Settings!$C$10)=0),"Round amount | ",""))-3)))</f>
        <v/>
      </c>
      <c r="M196" s="21" t="str">
        <f aca="false">IF(A196="","",IF(COUNTIF($A$9:A196,A196)=1,MAX($M$8:M195)+1,""))</f>
        <v/>
      </c>
    </row>
    <row r="197" customFormat="false" ht="15" hidden="false" customHeight="false" outlineLevel="0" collapsed="false">
      <c r="A197" s="8"/>
      <c r="B197" s="17"/>
      <c r="C197" s="19"/>
      <c r="D197" s="8"/>
      <c r="E197" s="18"/>
      <c r="F197" s="18"/>
      <c r="G197" s="8"/>
      <c r="H197" s="8"/>
      <c r="I197" s="8"/>
      <c r="J197" s="8"/>
      <c r="K197" s="10" t="str">
        <f aca="false">IF(A197="","",IF(ABS(SUMIFS($E$9:$E$2008,$A$9:$A$2008,A197)-SUMIFS($F$9:$F$2008,$A$9:$A$2008,A197))&lt;0.5,"Yes","No"))</f>
        <v/>
      </c>
      <c r="L197" s="10" t="str">
        <f aca="false">IF(A197="","",IF(IF(K197="No","Does not balance | ","")&amp;IF(I197="","Not approved | ",IF(UPPER(TRIM(H197))=UPPER(TRIM(I197)),"Self-approved | ",""))&amp;IF(J197="","No support | ","")&amp;IF(WEEKDAY(B197,2)&gt;5,"Weekend posting | ","")&amp;IF(COUNTIF(Settings!$A$14:$A$43,B197)&gt;0,"Holiday posting | ","")&amp;IF(B197&gt;Settings!$C$8,"Posted after close | ","")&amp;IF(OR(B197&lt;Settings!$C$6,B197&gt;Settings!$C$7),"Outside period | ","")&amp;IF(COUNTIF(Settings!$E$14:$E$43,C197&amp;"")&gt;0,"Sensitive account | ","")&amp;IF(AND(MAX(N(E197),N(F197))&gt;=Settings!$C$9,MOD(MAX(N(E197),N(F197)),Settings!$C$10)=0),"Round amount | ","")="","",LEFT(IF(K197="No","Does not balance | ","")&amp;IF(I197="","Not approved | ",IF(UPPER(TRIM(H197))=UPPER(TRIM(I197)),"Self-approved | ",""))&amp;IF(J197="","No support | ","")&amp;IF(WEEKDAY(B197,2)&gt;5,"Weekend posting | ","")&amp;IF(COUNTIF(Settings!$A$14:$A$43,B197)&gt;0,"Holiday posting | ","")&amp;IF(B197&gt;Settings!$C$8,"Posted after close | ","")&amp;IF(OR(B197&lt;Settings!$C$6,B197&gt;Settings!$C$7),"Outside period | ","")&amp;IF(COUNTIF(Settings!$E$14:$E$43,C197&amp;"")&gt;0,"Sensitive account | ","")&amp;IF(AND(MAX(N(E197),N(F197))&gt;=Settings!$C$9,MOD(MAX(N(E197),N(F197)),Settings!$C$10)=0),"Round amount | ",""),LEN(IF(K197="No","Does not balance | ","")&amp;IF(I197="","Not approved | ",IF(UPPER(TRIM(H197))=UPPER(TRIM(I197)),"Self-approved | ",""))&amp;IF(J197="","No support | ","")&amp;IF(WEEKDAY(B197,2)&gt;5,"Weekend posting | ","")&amp;IF(COUNTIF(Settings!$A$14:$A$43,B197)&gt;0,"Holiday posting | ","")&amp;IF(B197&gt;Settings!$C$8,"Posted after close | ","")&amp;IF(OR(B197&lt;Settings!$C$6,B197&gt;Settings!$C$7),"Outside period | ","")&amp;IF(COUNTIF(Settings!$E$14:$E$43,C197&amp;"")&gt;0,"Sensitive account | ","")&amp;IF(AND(MAX(N(E197),N(F197))&gt;=Settings!$C$9,MOD(MAX(N(E197),N(F197)),Settings!$C$10)=0),"Round amount | ",""))-3)))</f>
        <v/>
      </c>
      <c r="M197" s="21" t="str">
        <f aca="false">IF(A197="","",IF(COUNTIF($A$9:A197,A197)=1,MAX($M$8:M196)+1,""))</f>
        <v/>
      </c>
    </row>
    <row r="198" customFormat="false" ht="15" hidden="false" customHeight="false" outlineLevel="0" collapsed="false">
      <c r="A198" s="8"/>
      <c r="B198" s="17"/>
      <c r="C198" s="19"/>
      <c r="D198" s="8"/>
      <c r="E198" s="18"/>
      <c r="F198" s="18"/>
      <c r="G198" s="8"/>
      <c r="H198" s="8"/>
      <c r="I198" s="8"/>
      <c r="J198" s="8"/>
      <c r="K198" s="10" t="str">
        <f aca="false">IF(A198="","",IF(ABS(SUMIFS($E$9:$E$2008,$A$9:$A$2008,A198)-SUMIFS($F$9:$F$2008,$A$9:$A$2008,A198))&lt;0.5,"Yes","No"))</f>
        <v/>
      </c>
      <c r="L198" s="10" t="str">
        <f aca="false">IF(A198="","",IF(IF(K198="No","Does not balance | ","")&amp;IF(I198="","Not approved | ",IF(UPPER(TRIM(H198))=UPPER(TRIM(I198)),"Self-approved | ",""))&amp;IF(J198="","No support | ","")&amp;IF(WEEKDAY(B198,2)&gt;5,"Weekend posting | ","")&amp;IF(COUNTIF(Settings!$A$14:$A$43,B198)&gt;0,"Holiday posting | ","")&amp;IF(B198&gt;Settings!$C$8,"Posted after close | ","")&amp;IF(OR(B198&lt;Settings!$C$6,B198&gt;Settings!$C$7),"Outside period | ","")&amp;IF(COUNTIF(Settings!$E$14:$E$43,C198&amp;"")&gt;0,"Sensitive account | ","")&amp;IF(AND(MAX(N(E198),N(F198))&gt;=Settings!$C$9,MOD(MAX(N(E198),N(F198)),Settings!$C$10)=0),"Round amount | ","")="","",LEFT(IF(K198="No","Does not balance | ","")&amp;IF(I198="","Not approved | ",IF(UPPER(TRIM(H198))=UPPER(TRIM(I198)),"Self-approved | ",""))&amp;IF(J198="","No support | ","")&amp;IF(WEEKDAY(B198,2)&gt;5,"Weekend posting | ","")&amp;IF(COUNTIF(Settings!$A$14:$A$43,B198)&gt;0,"Holiday posting | ","")&amp;IF(B198&gt;Settings!$C$8,"Posted after close | ","")&amp;IF(OR(B198&lt;Settings!$C$6,B198&gt;Settings!$C$7),"Outside period | ","")&amp;IF(COUNTIF(Settings!$E$14:$E$43,C198&amp;"")&gt;0,"Sensitive account | ","")&amp;IF(AND(MAX(N(E198),N(F198))&gt;=Settings!$C$9,MOD(MAX(N(E198),N(F198)),Settings!$C$10)=0),"Round amount | ",""),LEN(IF(K198="No","Does not balance | ","")&amp;IF(I198="","Not approved | ",IF(UPPER(TRIM(H198))=UPPER(TRIM(I198)),"Self-approved | ",""))&amp;IF(J198="","No support | ","")&amp;IF(WEEKDAY(B198,2)&gt;5,"Weekend posting | ","")&amp;IF(COUNTIF(Settings!$A$14:$A$43,B198)&gt;0,"Holiday posting | ","")&amp;IF(B198&gt;Settings!$C$8,"Posted after close | ","")&amp;IF(OR(B198&lt;Settings!$C$6,B198&gt;Settings!$C$7),"Outside period | ","")&amp;IF(COUNTIF(Settings!$E$14:$E$43,C198&amp;"")&gt;0,"Sensitive account | ","")&amp;IF(AND(MAX(N(E198),N(F198))&gt;=Settings!$C$9,MOD(MAX(N(E198),N(F198)),Settings!$C$10)=0),"Round amount | ",""))-3)))</f>
        <v/>
      </c>
      <c r="M198" s="21" t="str">
        <f aca="false">IF(A198="","",IF(COUNTIF($A$9:A198,A198)=1,MAX($M$8:M197)+1,""))</f>
        <v/>
      </c>
    </row>
    <row r="199" customFormat="false" ht="15" hidden="false" customHeight="false" outlineLevel="0" collapsed="false">
      <c r="A199" s="8"/>
      <c r="B199" s="17"/>
      <c r="C199" s="19"/>
      <c r="D199" s="8"/>
      <c r="E199" s="18"/>
      <c r="F199" s="18"/>
      <c r="G199" s="8"/>
      <c r="H199" s="8"/>
      <c r="I199" s="8"/>
      <c r="J199" s="8"/>
      <c r="K199" s="10" t="str">
        <f aca="false">IF(A199="","",IF(ABS(SUMIFS($E$9:$E$2008,$A$9:$A$2008,A199)-SUMIFS($F$9:$F$2008,$A$9:$A$2008,A199))&lt;0.5,"Yes","No"))</f>
        <v/>
      </c>
      <c r="L199" s="10" t="str">
        <f aca="false">IF(A199="","",IF(IF(K199="No","Does not balance | ","")&amp;IF(I199="","Not approved | ",IF(UPPER(TRIM(H199))=UPPER(TRIM(I199)),"Self-approved | ",""))&amp;IF(J199="","No support | ","")&amp;IF(WEEKDAY(B199,2)&gt;5,"Weekend posting | ","")&amp;IF(COUNTIF(Settings!$A$14:$A$43,B199)&gt;0,"Holiday posting | ","")&amp;IF(B199&gt;Settings!$C$8,"Posted after close | ","")&amp;IF(OR(B199&lt;Settings!$C$6,B199&gt;Settings!$C$7),"Outside period | ","")&amp;IF(COUNTIF(Settings!$E$14:$E$43,C199&amp;"")&gt;0,"Sensitive account | ","")&amp;IF(AND(MAX(N(E199),N(F199))&gt;=Settings!$C$9,MOD(MAX(N(E199),N(F199)),Settings!$C$10)=0),"Round amount | ","")="","",LEFT(IF(K199="No","Does not balance | ","")&amp;IF(I199="","Not approved | ",IF(UPPER(TRIM(H199))=UPPER(TRIM(I199)),"Self-approved | ",""))&amp;IF(J199="","No support | ","")&amp;IF(WEEKDAY(B199,2)&gt;5,"Weekend posting | ","")&amp;IF(COUNTIF(Settings!$A$14:$A$43,B199)&gt;0,"Holiday posting | ","")&amp;IF(B199&gt;Settings!$C$8,"Posted after close | ","")&amp;IF(OR(B199&lt;Settings!$C$6,B199&gt;Settings!$C$7),"Outside period | ","")&amp;IF(COUNTIF(Settings!$E$14:$E$43,C199&amp;"")&gt;0,"Sensitive account | ","")&amp;IF(AND(MAX(N(E199),N(F199))&gt;=Settings!$C$9,MOD(MAX(N(E199),N(F199)),Settings!$C$10)=0),"Round amount | ",""),LEN(IF(K199="No","Does not balance | ","")&amp;IF(I199="","Not approved | ",IF(UPPER(TRIM(H199))=UPPER(TRIM(I199)),"Self-approved | ",""))&amp;IF(J199="","No support | ","")&amp;IF(WEEKDAY(B199,2)&gt;5,"Weekend posting | ","")&amp;IF(COUNTIF(Settings!$A$14:$A$43,B199)&gt;0,"Holiday posting | ","")&amp;IF(B199&gt;Settings!$C$8,"Posted after close | ","")&amp;IF(OR(B199&lt;Settings!$C$6,B199&gt;Settings!$C$7),"Outside period | ","")&amp;IF(COUNTIF(Settings!$E$14:$E$43,C199&amp;"")&gt;0,"Sensitive account | ","")&amp;IF(AND(MAX(N(E199),N(F199))&gt;=Settings!$C$9,MOD(MAX(N(E199),N(F199)),Settings!$C$10)=0),"Round amount | ",""))-3)))</f>
        <v/>
      </c>
      <c r="M199" s="21" t="str">
        <f aca="false">IF(A199="","",IF(COUNTIF($A$9:A199,A199)=1,MAX($M$8:M198)+1,""))</f>
        <v/>
      </c>
    </row>
    <row r="200" customFormat="false" ht="15" hidden="false" customHeight="false" outlineLevel="0" collapsed="false">
      <c r="A200" s="8"/>
      <c r="B200" s="17"/>
      <c r="C200" s="19"/>
      <c r="D200" s="8"/>
      <c r="E200" s="18"/>
      <c r="F200" s="18"/>
      <c r="G200" s="8"/>
      <c r="H200" s="8"/>
      <c r="I200" s="8"/>
      <c r="J200" s="8"/>
      <c r="K200" s="10" t="str">
        <f aca="false">IF(A200="","",IF(ABS(SUMIFS($E$9:$E$2008,$A$9:$A$2008,A200)-SUMIFS($F$9:$F$2008,$A$9:$A$2008,A200))&lt;0.5,"Yes","No"))</f>
        <v/>
      </c>
      <c r="L200" s="10" t="str">
        <f aca="false">IF(A200="","",IF(IF(K200="No","Does not balance | ","")&amp;IF(I200="","Not approved | ",IF(UPPER(TRIM(H200))=UPPER(TRIM(I200)),"Self-approved | ",""))&amp;IF(J200="","No support | ","")&amp;IF(WEEKDAY(B200,2)&gt;5,"Weekend posting | ","")&amp;IF(COUNTIF(Settings!$A$14:$A$43,B200)&gt;0,"Holiday posting | ","")&amp;IF(B200&gt;Settings!$C$8,"Posted after close | ","")&amp;IF(OR(B200&lt;Settings!$C$6,B200&gt;Settings!$C$7),"Outside period | ","")&amp;IF(COUNTIF(Settings!$E$14:$E$43,C200&amp;"")&gt;0,"Sensitive account | ","")&amp;IF(AND(MAX(N(E200),N(F200))&gt;=Settings!$C$9,MOD(MAX(N(E200),N(F200)),Settings!$C$10)=0),"Round amount | ","")="","",LEFT(IF(K200="No","Does not balance | ","")&amp;IF(I200="","Not approved | ",IF(UPPER(TRIM(H200))=UPPER(TRIM(I200)),"Self-approved | ",""))&amp;IF(J200="","No support | ","")&amp;IF(WEEKDAY(B200,2)&gt;5,"Weekend posting | ","")&amp;IF(COUNTIF(Settings!$A$14:$A$43,B200)&gt;0,"Holiday posting | ","")&amp;IF(B200&gt;Settings!$C$8,"Posted after close | ","")&amp;IF(OR(B200&lt;Settings!$C$6,B200&gt;Settings!$C$7),"Outside period | ","")&amp;IF(COUNTIF(Settings!$E$14:$E$43,C200&amp;"")&gt;0,"Sensitive account | ","")&amp;IF(AND(MAX(N(E200),N(F200))&gt;=Settings!$C$9,MOD(MAX(N(E200),N(F200)),Settings!$C$10)=0),"Round amount | ",""),LEN(IF(K200="No","Does not balance | ","")&amp;IF(I200="","Not approved | ",IF(UPPER(TRIM(H200))=UPPER(TRIM(I200)),"Self-approved | ",""))&amp;IF(J200="","No support | ","")&amp;IF(WEEKDAY(B200,2)&gt;5,"Weekend posting | ","")&amp;IF(COUNTIF(Settings!$A$14:$A$43,B200)&gt;0,"Holiday posting | ","")&amp;IF(B200&gt;Settings!$C$8,"Posted after close | ","")&amp;IF(OR(B200&lt;Settings!$C$6,B200&gt;Settings!$C$7),"Outside period | ","")&amp;IF(COUNTIF(Settings!$E$14:$E$43,C200&amp;"")&gt;0,"Sensitive account | ","")&amp;IF(AND(MAX(N(E200),N(F200))&gt;=Settings!$C$9,MOD(MAX(N(E200),N(F200)),Settings!$C$10)=0),"Round amount | ",""))-3)))</f>
        <v/>
      </c>
      <c r="M200" s="21" t="str">
        <f aca="false">IF(A200="","",IF(COUNTIF($A$9:A200,A200)=1,MAX($M$8:M199)+1,""))</f>
        <v/>
      </c>
    </row>
    <row r="201" customFormat="false" ht="15" hidden="false" customHeight="false" outlineLevel="0" collapsed="false">
      <c r="A201" s="8"/>
      <c r="B201" s="17"/>
      <c r="C201" s="19"/>
      <c r="D201" s="8"/>
      <c r="E201" s="18"/>
      <c r="F201" s="18"/>
      <c r="G201" s="8"/>
      <c r="H201" s="8"/>
      <c r="I201" s="8"/>
      <c r="J201" s="8"/>
      <c r="K201" s="10" t="str">
        <f aca="false">IF(A201="","",IF(ABS(SUMIFS($E$9:$E$2008,$A$9:$A$2008,A201)-SUMIFS($F$9:$F$2008,$A$9:$A$2008,A201))&lt;0.5,"Yes","No"))</f>
        <v/>
      </c>
      <c r="L201" s="10" t="str">
        <f aca="false">IF(A201="","",IF(IF(K201="No","Does not balance | ","")&amp;IF(I201="","Not approved | ",IF(UPPER(TRIM(H201))=UPPER(TRIM(I201)),"Self-approved | ",""))&amp;IF(J201="","No support | ","")&amp;IF(WEEKDAY(B201,2)&gt;5,"Weekend posting | ","")&amp;IF(COUNTIF(Settings!$A$14:$A$43,B201)&gt;0,"Holiday posting | ","")&amp;IF(B201&gt;Settings!$C$8,"Posted after close | ","")&amp;IF(OR(B201&lt;Settings!$C$6,B201&gt;Settings!$C$7),"Outside period | ","")&amp;IF(COUNTIF(Settings!$E$14:$E$43,C201&amp;"")&gt;0,"Sensitive account | ","")&amp;IF(AND(MAX(N(E201),N(F201))&gt;=Settings!$C$9,MOD(MAX(N(E201),N(F201)),Settings!$C$10)=0),"Round amount | ","")="","",LEFT(IF(K201="No","Does not balance | ","")&amp;IF(I201="","Not approved | ",IF(UPPER(TRIM(H201))=UPPER(TRIM(I201)),"Self-approved | ",""))&amp;IF(J201="","No support | ","")&amp;IF(WEEKDAY(B201,2)&gt;5,"Weekend posting | ","")&amp;IF(COUNTIF(Settings!$A$14:$A$43,B201)&gt;0,"Holiday posting | ","")&amp;IF(B201&gt;Settings!$C$8,"Posted after close | ","")&amp;IF(OR(B201&lt;Settings!$C$6,B201&gt;Settings!$C$7),"Outside period | ","")&amp;IF(COUNTIF(Settings!$E$14:$E$43,C201&amp;"")&gt;0,"Sensitive account | ","")&amp;IF(AND(MAX(N(E201),N(F201))&gt;=Settings!$C$9,MOD(MAX(N(E201),N(F201)),Settings!$C$10)=0),"Round amount | ",""),LEN(IF(K201="No","Does not balance | ","")&amp;IF(I201="","Not approved | ",IF(UPPER(TRIM(H201))=UPPER(TRIM(I201)),"Self-approved | ",""))&amp;IF(J201="","No support | ","")&amp;IF(WEEKDAY(B201,2)&gt;5,"Weekend posting | ","")&amp;IF(COUNTIF(Settings!$A$14:$A$43,B201)&gt;0,"Holiday posting | ","")&amp;IF(B201&gt;Settings!$C$8,"Posted after close | ","")&amp;IF(OR(B201&lt;Settings!$C$6,B201&gt;Settings!$C$7),"Outside period | ","")&amp;IF(COUNTIF(Settings!$E$14:$E$43,C201&amp;"")&gt;0,"Sensitive account | ","")&amp;IF(AND(MAX(N(E201),N(F201))&gt;=Settings!$C$9,MOD(MAX(N(E201),N(F201)),Settings!$C$10)=0),"Round amount | ",""))-3)))</f>
        <v/>
      </c>
      <c r="M201" s="21" t="str">
        <f aca="false">IF(A201="","",IF(COUNTIF($A$9:A201,A201)=1,MAX($M$8:M200)+1,""))</f>
        <v/>
      </c>
    </row>
    <row r="202" customFormat="false" ht="15" hidden="false" customHeight="false" outlineLevel="0" collapsed="false">
      <c r="A202" s="8"/>
      <c r="B202" s="17"/>
      <c r="C202" s="19"/>
      <c r="D202" s="8"/>
      <c r="E202" s="18"/>
      <c r="F202" s="18"/>
      <c r="G202" s="8"/>
      <c r="H202" s="8"/>
      <c r="I202" s="8"/>
      <c r="J202" s="8"/>
      <c r="K202" s="10" t="str">
        <f aca="false">IF(A202="","",IF(ABS(SUMIFS($E$9:$E$2008,$A$9:$A$2008,A202)-SUMIFS($F$9:$F$2008,$A$9:$A$2008,A202))&lt;0.5,"Yes","No"))</f>
        <v/>
      </c>
      <c r="L202" s="10" t="str">
        <f aca="false">IF(A202="","",IF(IF(K202="No","Does not balance | ","")&amp;IF(I202="","Not approved | ",IF(UPPER(TRIM(H202))=UPPER(TRIM(I202)),"Self-approved | ",""))&amp;IF(J202="","No support | ","")&amp;IF(WEEKDAY(B202,2)&gt;5,"Weekend posting | ","")&amp;IF(COUNTIF(Settings!$A$14:$A$43,B202)&gt;0,"Holiday posting | ","")&amp;IF(B202&gt;Settings!$C$8,"Posted after close | ","")&amp;IF(OR(B202&lt;Settings!$C$6,B202&gt;Settings!$C$7),"Outside period | ","")&amp;IF(COUNTIF(Settings!$E$14:$E$43,C202&amp;"")&gt;0,"Sensitive account | ","")&amp;IF(AND(MAX(N(E202),N(F202))&gt;=Settings!$C$9,MOD(MAX(N(E202),N(F202)),Settings!$C$10)=0),"Round amount | ","")="","",LEFT(IF(K202="No","Does not balance | ","")&amp;IF(I202="","Not approved | ",IF(UPPER(TRIM(H202))=UPPER(TRIM(I202)),"Self-approved | ",""))&amp;IF(J202="","No support | ","")&amp;IF(WEEKDAY(B202,2)&gt;5,"Weekend posting | ","")&amp;IF(COUNTIF(Settings!$A$14:$A$43,B202)&gt;0,"Holiday posting | ","")&amp;IF(B202&gt;Settings!$C$8,"Posted after close | ","")&amp;IF(OR(B202&lt;Settings!$C$6,B202&gt;Settings!$C$7),"Outside period | ","")&amp;IF(COUNTIF(Settings!$E$14:$E$43,C202&amp;"")&gt;0,"Sensitive account | ","")&amp;IF(AND(MAX(N(E202),N(F202))&gt;=Settings!$C$9,MOD(MAX(N(E202),N(F202)),Settings!$C$10)=0),"Round amount | ",""),LEN(IF(K202="No","Does not balance | ","")&amp;IF(I202="","Not approved | ",IF(UPPER(TRIM(H202))=UPPER(TRIM(I202)),"Self-approved | ",""))&amp;IF(J202="","No support | ","")&amp;IF(WEEKDAY(B202,2)&gt;5,"Weekend posting | ","")&amp;IF(COUNTIF(Settings!$A$14:$A$43,B202)&gt;0,"Holiday posting | ","")&amp;IF(B202&gt;Settings!$C$8,"Posted after close | ","")&amp;IF(OR(B202&lt;Settings!$C$6,B202&gt;Settings!$C$7),"Outside period | ","")&amp;IF(COUNTIF(Settings!$E$14:$E$43,C202&amp;"")&gt;0,"Sensitive account | ","")&amp;IF(AND(MAX(N(E202),N(F202))&gt;=Settings!$C$9,MOD(MAX(N(E202),N(F202)),Settings!$C$10)=0),"Round amount | ",""))-3)))</f>
        <v/>
      </c>
      <c r="M202" s="21" t="str">
        <f aca="false">IF(A202="","",IF(COUNTIF($A$9:A202,A202)=1,MAX($M$8:M201)+1,""))</f>
        <v/>
      </c>
    </row>
    <row r="203" customFormat="false" ht="15" hidden="false" customHeight="false" outlineLevel="0" collapsed="false">
      <c r="A203" s="8"/>
      <c r="B203" s="17"/>
      <c r="C203" s="19"/>
      <c r="D203" s="8"/>
      <c r="E203" s="18"/>
      <c r="F203" s="18"/>
      <c r="G203" s="8"/>
      <c r="H203" s="8"/>
      <c r="I203" s="8"/>
      <c r="J203" s="8"/>
      <c r="K203" s="10" t="str">
        <f aca="false">IF(A203="","",IF(ABS(SUMIFS($E$9:$E$2008,$A$9:$A$2008,A203)-SUMIFS($F$9:$F$2008,$A$9:$A$2008,A203))&lt;0.5,"Yes","No"))</f>
        <v/>
      </c>
      <c r="L203" s="10" t="str">
        <f aca="false">IF(A203="","",IF(IF(K203="No","Does not balance | ","")&amp;IF(I203="","Not approved | ",IF(UPPER(TRIM(H203))=UPPER(TRIM(I203)),"Self-approved | ",""))&amp;IF(J203="","No support | ","")&amp;IF(WEEKDAY(B203,2)&gt;5,"Weekend posting | ","")&amp;IF(COUNTIF(Settings!$A$14:$A$43,B203)&gt;0,"Holiday posting | ","")&amp;IF(B203&gt;Settings!$C$8,"Posted after close | ","")&amp;IF(OR(B203&lt;Settings!$C$6,B203&gt;Settings!$C$7),"Outside period | ","")&amp;IF(COUNTIF(Settings!$E$14:$E$43,C203&amp;"")&gt;0,"Sensitive account | ","")&amp;IF(AND(MAX(N(E203),N(F203))&gt;=Settings!$C$9,MOD(MAX(N(E203),N(F203)),Settings!$C$10)=0),"Round amount | ","")="","",LEFT(IF(K203="No","Does not balance | ","")&amp;IF(I203="","Not approved | ",IF(UPPER(TRIM(H203))=UPPER(TRIM(I203)),"Self-approved | ",""))&amp;IF(J203="","No support | ","")&amp;IF(WEEKDAY(B203,2)&gt;5,"Weekend posting | ","")&amp;IF(COUNTIF(Settings!$A$14:$A$43,B203)&gt;0,"Holiday posting | ","")&amp;IF(B203&gt;Settings!$C$8,"Posted after close | ","")&amp;IF(OR(B203&lt;Settings!$C$6,B203&gt;Settings!$C$7),"Outside period | ","")&amp;IF(COUNTIF(Settings!$E$14:$E$43,C203&amp;"")&gt;0,"Sensitive account | ","")&amp;IF(AND(MAX(N(E203),N(F203))&gt;=Settings!$C$9,MOD(MAX(N(E203),N(F203)),Settings!$C$10)=0),"Round amount | ",""),LEN(IF(K203="No","Does not balance | ","")&amp;IF(I203="","Not approved | ",IF(UPPER(TRIM(H203))=UPPER(TRIM(I203)),"Self-approved | ",""))&amp;IF(J203="","No support | ","")&amp;IF(WEEKDAY(B203,2)&gt;5,"Weekend posting | ","")&amp;IF(COUNTIF(Settings!$A$14:$A$43,B203)&gt;0,"Holiday posting | ","")&amp;IF(B203&gt;Settings!$C$8,"Posted after close | ","")&amp;IF(OR(B203&lt;Settings!$C$6,B203&gt;Settings!$C$7),"Outside period | ","")&amp;IF(COUNTIF(Settings!$E$14:$E$43,C203&amp;"")&gt;0,"Sensitive account | ","")&amp;IF(AND(MAX(N(E203),N(F203))&gt;=Settings!$C$9,MOD(MAX(N(E203),N(F203)),Settings!$C$10)=0),"Round amount | ",""))-3)))</f>
        <v/>
      </c>
      <c r="M203" s="21" t="str">
        <f aca="false">IF(A203="","",IF(COUNTIF($A$9:A203,A203)=1,MAX($M$8:M202)+1,""))</f>
        <v/>
      </c>
    </row>
    <row r="204" customFormat="false" ht="15" hidden="false" customHeight="false" outlineLevel="0" collapsed="false">
      <c r="A204" s="8"/>
      <c r="B204" s="17"/>
      <c r="C204" s="19"/>
      <c r="D204" s="8"/>
      <c r="E204" s="18"/>
      <c r="F204" s="18"/>
      <c r="G204" s="8"/>
      <c r="H204" s="8"/>
      <c r="I204" s="8"/>
      <c r="J204" s="8"/>
      <c r="K204" s="10" t="str">
        <f aca="false">IF(A204="","",IF(ABS(SUMIFS($E$9:$E$2008,$A$9:$A$2008,A204)-SUMIFS($F$9:$F$2008,$A$9:$A$2008,A204))&lt;0.5,"Yes","No"))</f>
        <v/>
      </c>
      <c r="L204" s="10" t="str">
        <f aca="false">IF(A204="","",IF(IF(K204="No","Does not balance | ","")&amp;IF(I204="","Not approved | ",IF(UPPER(TRIM(H204))=UPPER(TRIM(I204)),"Self-approved | ",""))&amp;IF(J204="","No support | ","")&amp;IF(WEEKDAY(B204,2)&gt;5,"Weekend posting | ","")&amp;IF(COUNTIF(Settings!$A$14:$A$43,B204)&gt;0,"Holiday posting | ","")&amp;IF(B204&gt;Settings!$C$8,"Posted after close | ","")&amp;IF(OR(B204&lt;Settings!$C$6,B204&gt;Settings!$C$7),"Outside period | ","")&amp;IF(COUNTIF(Settings!$E$14:$E$43,C204&amp;"")&gt;0,"Sensitive account | ","")&amp;IF(AND(MAX(N(E204),N(F204))&gt;=Settings!$C$9,MOD(MAX(N(E204),N(F204)),Settings!$C$10)=0),"Round amount | ","")="","",LEFT(IF(K204="No","Does not balance | ","")&amp;IF(I204="","Not approved | ",IF(UPPER(TRIM(H204))=UPPER(TRIM(I204)),"Self-approved | ",""))&amp;IF(J204="","No support | ","")&amp;IF(WEEKDAY(B204,2)&gt;5,"Weekend posting | ","")&amp;IF(COUNTIF(Settings!$A$14:$A$43,B204)&gt;0,"Holiday posting | ","")&amp;IF(B204&gt;Settings!$C$8,"Posted after close | ","")&amp;IF(OR(B204&lt;Settings!$C$6,B204&gt;Settings!$C$7),"Outside period | ","")&amp;IF(COUNTIF(Settings!$E$14:$E$43,C204&amp;"")&gt;0,"Sensitive account | ","")&amp;IF(AND(MAX(N(E204),N(F204))&gt;=Settings!$C$9,MOD(MAX(N(E204),N(F204)),Settings!$C$10)=0),"Round amount | ",""),LEN(IF(K204="No","Does not balance | ","")&amp;IF(I204="","Not approved | ",IF(UPPER(TRIM(H204))=UPPER(TRIM(I204)),"Self-approved | ",""))&amp;IF(J204="","No support | ","")&amp;IF(WEEKDAY(B204,2)&gt;5,"Weekend posting | ","")&amp;IF(COUNTIF(Settings!$A$14:$A$43,B204)&gt;0,"Holiday posting | ","")&amp;IF(B204&gt;Settings!$C$8,"Posted after close | ","")&amp;IF(OR(B204&lt;Settings!$C$6,B204&gt;Settings!$C$7),"Outside period | ","")&amp;IF(COUNTIF(Settings!$E$14:$E$43,C204&amp;"")&gt;0,"Sensitive account | ","")&amp;IF(AND(MAX(N(E204),N(F204))&gt;=Settings!$C$9,MOD(MAX(N(E204),N(F204)),Settings!$C$10)=0),"Round amount | ",""))-3)))</f>
        <v/>
      </c>
      <c r="M204" s="21" t="str">
        <f aca="false">IF(A204="","",IF(COUNTIF($A$9:A204,A204)=1,MAX($M$8:M203)+1,""))</f>
        <v/>
      </c>
    </row>
    <row r="205" customFormat="false" ht="15" hidden="false" customHeight="false" outlineLevel="0" collapsed="false">
      <c r="A205" s="8"/>
      <c r="B205" s="17"/>
      <c r="C205" s="19"/>
      <c r="D205" s="8"/>
      <c r="E205" s="18"/>
      <c r="F205" s="18"/>
      <c r="G205" s="8"/>
      <c r="H205" s="8"/>
      <c r="I205" s="8"/>
      <c r="J205" s="8"/>
      <c r="K205" s="10" t="str">
        <f aca="false">IF(A205="","",IF(ABS(SUMIFS($E$9:$E$2008,$A$9:$A$2008,A205)-SUMIFS($F$9:$F$2008,$A$9:$A$2008,A205))&lt;0.5,"Yes","No"))</f>
        <v/>
      </c>
      <c r="L205" s="10" t="str">
        <f aca="false">IF(A205="","",IF(IF(K205="No","Does not balance | ","")&amp;IF(I205="","Not approved | ",IF(UPPER(TRIM(H205))=UPPER(TRIM(I205)),"Self-approved | ",""))&amp;IF(J205="","No support | ","")&amp;IF(WEEKDAY(B205,2)&gt;5,"Weekend posting | ","")&amp;IF(COUNTIF(Settings!$A$14:$A$43,B205)&gt;0,"Holiday posting | ","")&amp;IF(B205&gt;Settings!$C$8,"Posted after close | ","")&amp;IF(OR(B205&lt;Settings!$C$6,B205&gt;Settings!$C$7),"Outside period | ","")&amp;IF(COUNTIF(Settings!$E$14:$E$43,C205&amp;"")&gt;0,"Sensitive account | ","")&amp;IF(AND(MAX(N(E205),N(F205))&gt;=Settings!$C$9,MOD(MAX(N(E205),N(F205)),Settings!$C$10)=0),"Round amount | ","")="","",LEFT(IF(K205="No","Does not balance | ","")&amp;IF(I205="","Not approved | ",IF(UPPER(TRIM(H205))=UPPER(TRIM(I205)),"Self-approved | ",""))&amp;IF(J205="","No support | ","")&amp;IF(WEEKDAY(B205,2)&gt;5,"Weekend posting | ","")&amp;IF(COUNTIF(Settings!$A$14:$A$43,B205)&gt;0,"Holiday posting | ","")&amp;IF(B205&gt;Settings!$C$8,"Posted after close | ","")&amp;IF(OR(B205&lt;Settings!$C$6,B205&gt;Settings!$C$7),"Outside period | ","")&amp;IF(COUNTIF(Settings!$E$14:$E$43,C205&amp;"")&gt;0,"Sensitive account | ","")&amp;IF(AND(MAX(N(E205),N(F205))&gt;=Settings!$C$9,MOD(MAX(N(E205),N(F205)),Settings!$C$10)=0),"Round amount | ",""),LEN(IF(K205="No","Does not balance | ","")&amp;IF(I205="","Not approved | ",IF(UPPER(TRIM(H205))=UPPER(TRIM(I205)),"Self-approved | ",""))&amp;IF(J205="","No support | ","")&amp;IF(WEEKDAY(B205,2)&gt;5,"Weekend posting | ","")&amp;IF(COUNTIF(Settings!$A$14:$A$43,B205)&gt;0,"Holiday posting | ","")&amp;IF(B205&gt;Settings!$C$8,"Posted after close | ","")&amp;IF(OR(B205&lt;Settings!$C$6,B205&gt;Settings!$C$7),"Outside period | ","")&amp;IF(COUNTIF(Settings!$E$14:$E$43,C205&amp;"")&gt;0,"Sensitive account | ","")&amp;IF(AND(MAX(N(E205),N(F205))&gt;=Settings!$C$9,MOD(MAX(N(E205),N(F205)),Settings!$C$10)=0),"Round amount | ",""))-3)))</f>
        <v/>
      </c>
      <c r="M205" s="21" t="str">
        <f aca="false">IF(A205="","",IF(COUNTIF($A$9:A205,A205)=1,MAX($M$8:M204)+1,""))</f>
        <v/>
      </c>
    </row>
    <row r="206" customFormat="false" ht="15" hidden="false" customHeight="false" outlineLevel="0" collapsed="false">
      <c r="A206" s="8"/>
      <c r="B206" s="17"/>
      <c r="C206" s="19"/>
      <c r="D206" s="8"/>
      <c r="E206" s="18"/>
      <c r="F206" s="18"/>
      <c r="G206" s="8"/>
      <c r="H206" s="8"/>
      <c r="I206" s="8"/>
      <c r="J206" s="8"/>
      <c r="K206" s="10" t="str">
        <f aca="false">IF(A206="","",IF(ABS(SUMIFS($E$9:$E$2008,$A$9:$A$2008,A206)-SUMIFS($F$9:$F$2008,$A$9:$A$2008,A206))&lt;0.5,"Yes","No"))</f>
        <v/>
      </c>
      <c r="L206" s="10" t="str">
        <f aca="false">IF(A206="","",IF(IF(K206="No","Does not balance | ","")&amp;IF(I206="","Not approved | ",IF(UPPER(TRIM(H206))=UPPER(TRIM(I206)),"Self-approved | ",""))&amp;IF(J206="","No support | ","")&amp;IF(WEEKDAY(B206,2)&gt;5,"Weekend posting | ","")&amp;IF(COUNTIF(Settings!$A$14:$A$43,B206)&gt;0,"Holiday posting | ","")&amp;IF(B206&gt;Settings!$C$8,"Posted after close | ","")&amp;IF(OR(B206&lt;Settings!$C$6,B206&gt;Settings!$C$7),"Outside period | ","")&amp;IF(COUNTIF(Settings!$E$14:$E$43,C206&amp;"")&gt;0,"Sensitive account | ","")&amp;IF(AND(MAX(N(E206),N(F206))&gt;=Settings!$C$9,MOD(MAX(N(E206),N(F206)),Settings!$C$10)=0),"Round amount | ","")="","",LEFT(IF(K206="No","Does not balance | ","")&amp;IF(I206="","Not approved | ",IF(UPPER(TRIM(H206))=UPPER(TRIM(I206)),"Self-approved | ",""))&amp;IF(J206="","No support | ","")&amp;IF(WEEKDAY(B206,2)&gt;5,"Weekend posting | ","")&amp;IF(COUNTIF(Settings!$A$14:$A$43,B206)&gt;0,"Holiday posting | ","")&amp;IF(B206&gt;Settings!$C$8,"Posted after close | ","")&amp;IF(OR(B206&lt;Settings!$C$6,B206&gt;Settings!$C$7),"Outside period | ","")&amp;IF(COUNTIF(Settings!$E$14:$E$43,C206&amp;"")&gt;0,"Sensitive account | ","")&amp;IF(AND(MAX(N(E206),N(F206))&gt;=Settings!$C$9,MOD(MAX(N(E206),N(F206)),Settings!$C$10)=0),"Round amount | ",""),LEN(IF(K206="No","Does not balance | ","")&amp;IF(I206="","Not approved | ",IF(UPPER(TRIM(H206))=UPPER(TRIM(I206)),"Self-approved | ",""))&amp;IF(J206="","No support | ","")&amp;IF(WEEKDAY(B206,2)&gt;5,"Weekend posting | ","")&amp;IF(COUNTIF(Settings!$A$14:$A$43,B206)&gt;0,"Holiday posting | ","")&amp;IF(B206&gt;Settings!$C$8,"Posted after close | ","")&amp;IF(OR(B206&lt;Settings!$C$6,B206&gt;Settings!$C$7),"Outside period | ","")&amp;IF(COUNTIF(Settings!$E$14:$E$43,C206&amp;"")&gt;0,"Sensitive account | ","")&amp;IF(AND(MAX(N(E206),N(F206))&gt;=Settings!$C$9,MOD(MAX(N(E206),N(F206)),Settings!$C$10)=0),"Round amount | ",""))-3)))</f>
        <v/>
      </c>
      <c r="M206" s="21" t="str">
        <f aca="false">IF(A206="","",IF(COUNTIF($A$9:A206,A206)=1,MAX($M$8:M205)+1,""))</f>
        <v/>
      </c>
    </row>
    <row r="207" customFormat="false" ht="15" hidden="false" customHeight="false" outlineLevel="0" collapsed="false">
      <c r="A207" s="8"/>
      <c r="B207" s="17"/>
      <c r="C207" s="19"/>
      <c r="D207" s="8"/>
      <c r="E207" s="18"/>
      <c r="F207" s="18"/>
      <c r="G207" s="8"/>
      <c r="H207" s="8"/>
      <c r="I207" s="8"/>
      <c r="J207" s="8"/>
      <c r="K207" s="10" t="str">
        <f aca="false">IF(A207="","",IF(ABS(SUMIFS($E$9:$E$2008,$A$9:$A$2008,A207)-SUMIFS($F$9:$F$2008,$A$9:$A$2008,A207))&lt;0.5,"Yes","No"))</f>
        <v/>
      </c>
      <c r="L207" s="10" t="str">
        <f aca="false">IF(A207="","",IF(IF(K207="No","Does not balance | ","")&amp;IF(I207="","Not approved | ",IF(UPPER(TRIM(H207))=UPPER(TRIM(I207)),"Self-approved | ",""))&amp;IF(J207="","No support | ","")&amp;IF(WEEKDAY(B207,2)&gt;5,"Weekend posting | ","")&amp;IF(COUNTIF(Settings!$A$14:$A$43,B207)&gt;0,"Holiday posting | ","")&amp;IF(B207&gt;Settings!$C$8,"Posted after close | ","")&amp;IF(OR(B207&lt;Settings!$C$6,B207&gt;Settings!$C$7),"Outside period | ","")&amp;IF(COUNTIF(Settings!$E$14:$E$43,C207&amp;"")&gt;0,"Sensitive account | ","")&amp;IF(AND(MAX(N(E207),N(F207))&gt;=Settings!$C$9,MOD(MAX(N(E207),N(F207)),Settings!$C$10)=0),"Round amount | ","")="","",LEFT(IF(K207="No","Does not balance | ","")&amp;IF(I207="","Not approved | ",IF(UPPER(TRIM(H207))=UPPER(TRIM(I207)),"Self-approved | ",""))&amp;IF(J207="","No support | ","")&amp;IF(WEEKDAY(B207,2)&gt;5,"Weekend posting | ","")&amp;IF(COUNTIF(Settings!$A$14:$A$43,B207)&gt;0,"Holiday posting | ","")&amp;IF(B207&gt;Settings!$C$8,"Posted after close | ","")&amp;IF(OR(B207&lt;Settings!$C$6,B207&gt;Settings!$C$7),"Outside period | ","")&amp;IF(COUNTIF(Settings!$E$14:$E$43,C207&amp;"")&gt;0,"Sensitive account | ","")&amp;IF(AND(MAX(N(E207),N(F207))&gt;=Settings!$C$9,MOD(MAX(N(E207),N(F207)),Settings!$C$10)=0),"Round amount | ",""),LEN(IF(K207="No","Does not balance | ","")&amp;IF(I207="","Not approved | ",IF(UPPER(TRIM(H207))=UPPER(TRIM(I207)),"Self-approved | ",""))&amp;IF(J207="","No support | ","")&amp;IF(WEEKDAY(B207,2)&gt;5,"Weekend posting | ","")&amp;IF(COUNTIF(Settings!$A$14:$A$43,B207)&gt;0,"Holiday posting | ","")&amp;IF(B207&gt;Settings!$C$8,"Posted after close | ","")&amp;IF(OR(B207&lt;Settings!$C$6,B207&gt;Settings!$C$7),"Outside period | ","")&amp;IF(COUNTIF(Settings!$E$14:$E$43,C207&amp;"")&gt;0,"Sensitive account | ","")&amp;IF(AND(MAX(N(E207),N(F207))&gt;=Settings!$C$9,MOD(MAX(N(E207),N(F207)),Settings!$C$10)=0),"Round amount | ",""))-3)))</f>
        <v/>
      </c>
      <c r="M207" s="21" t="str">
        <f aca="false">IF(A207="","",IF(COUNTIF($A$9:A207,A207)=1,MAX($M$8:M206)+1,""))</f>
        <v/>
      </c>
    </row>
    <row r="208" customFormat="false" ht="15" hidden="false" customHeight="false" outlineLevel="0" collapsed="false">
      <c r="A208" s="8"/>
      <c r="B208" s="17"/>
      <c r="C208" s="19"/>
      <c r="D208" s="8"/>
      <c r="E208" s="18"/>
      <c r="F208" s="18"/>
      <c r="G208" s="8"/>
      <c r="H208" s="8"/>
      <c r="I208" s="8"/>
      <c r="J208" s="8"/>
      <c r="K208" s="10" t="str">
        <f aca="false">IF(A208="","",IF(ABS(SUMIFS($E$9:$E$2008,$A$9:$A$2008,A208)-SUMIFS($F$9:$F$2008,$A$9:$A$2008,A208))&lt;0.5,"Yes","No"))</f>
        <v/>
      </c>
      <c r="L208" s="10" t="str">
        <f aca="false">IF(A208="","",IF(IF(K208="No","Does not balance | ","")&amp;IF(I208="","Not approved | ",IF(UPPER(TRIM(H208))=UPPER(TRIM(I208)),"Self-approved | ",""))&amp;IF(J208="","No support | ","")&amp;IF(WEEKDAY(B208,2)&gt;5,"Weekend posting | ","")&amp;IF(COUNTIF(Settings!$A$14:$A$43,B208)&gt;0,"Holiday posting | ","")&amp;IF(B208&gt;Settings!$C$8,"Posted after close | ","")&amp;IF(OR(B208&lt;Settings!$C$6,B208&gt;Settings!$C$7),"Outside period | ","")&amp;IF(COUNTIF(Settings!$E$14:$E$43,C208&amp;"")&gt;0,"Sensitive account | ","")&amp;IF(AND(MAX(N(E208),N(F208))&gt;=Settings!$C$9,MOD(MAX(N(E208),N(F208)),Settings!$C$10)=0),"Round amount | ","")="","",LEFT(IF(K208="No","Does not balance | ","")&amp;IF(I208="","Not approved | ",IF(UPPER(TRIM(H208))=UPPER(TRIM(I208)),"Self-approved | ",""))&amp;IF(J208="","No support | ","")&amp;IF(WEEKDAY(B208,2)&gt;5,"Weekend posting | ","")&amp;IF(COUNTIF(Settings!$A$14:$A$43,B208)&gt;0,"Holiday posting | ","")&amp;IF(B208&gt;Settings!$C$8,"Posted after close | ","")&amp;IF(OR(B208&lt;Settings!$C$6,B208&gt;Settings!$C$7),"Outside period | ","")&amp;IF(COUNTIF(Settings!$E$14:$E$43,C208&amp;"")&gt;0,"Sensitive account | ","")&amp;IF(AND(MAX(N(E208),N(F208))&gt;=Settings!$C$9,MOD(MAX(N(E208),N(F208)),Settings!$C$10)=0),"Round amount | ",""),LEN(IF(K208="No","Does not balance | ","")&amp;IF(I208="","Not approved | ",IF(UPPER(TRIM(H208))=UPPER(TRIM(I208)),"Self-approved | ",""))&amp;IF(J208="","No support | ","")&amp;IF(WEEKDAY(B208,2)&gt;5,"Weekend posting | ","")&amp;IF(COUNTIF(Settings!$A$14:$A$43,B208)&gt;0,"Holiday posting | ","")&amp;IF(B208&gt;Settings!$C$8,"Posted after close | ","")&amp;IF(OR(B208&lt;Settings!$C$6,B208&gt;Settings!$C$7),"Outside period | ","")&amp;IF(COUNTIF(Settings!$E$14:$E$43,C208&amp;"")&gt;0,"Sensitive account | ","")&amp;IF(AND(MAX(N(E208),N(F208))&gt;=Settings!$C$9,MOD(MAX(N(E208),N(F208)),Settings!$C$10)=0),"Round amount | ",""))-3)))</f>
        <v/>
      </c>
      <c r="M208" s="21" t="str">
        <f aca="false">IF(A208="","",IF(COUNTIF($A$9:A208,A208)=1,MAX($M$8:M207)+1,""))</f>
        <v/>
      </c>
    </row>
    <row r="209" customFormat="false" ht="15" hidden="false" customHeight="false" outlineLevel="0" collapsed="false">
      <c r="A209" s="8"/>
      <c r="B209" s="17"/>
      <c r="C209" s="19"/>
      <c r="D209" s="8"/>
      <c r="E209" s="18"/>
      <c r="F209" s="18"/>
      <c r="G209" s="8"/>
      <c r="H209" s="8"/>
      <c r="I209" s="8"/>
      <c r="J209" s="8"/>
      <c r="K209" s="10" t="str">
        <f aca="false">IF(A209="","",IF(ABS(SUMIFS($E$9:$E$2008,$A$9:$A$2008,A209)-SUMIFS($F$9:$F$2008,$A$9:$A$2008,A209))&lt;0.5,"Yes","No"))</f>
        <v/>
      </c>
      <c r="L209" s="10" t="str">
        <f aca="false">IF(A209="","",IF(IF(K209="No","Does not balance | ","")&amp;IF(I209="","Not approved | ",IF(UPPER(TRIM(H209))=UPPER(TRIM(I209)),"Self-approved | ",""))&amp;IF(J209="","No support | ","")&amp;IF(WEEKDAY(B209,2)&gt;5,"Weekend posting | ","")&amp;IF(COUNTIF(Settings!$A$14:$A$43,B209)&gt;0,"Holiday posting | ","")&amp;IF(B209&gt;Settings!$C$8,"Posted after close | ","")&amp;IF(OR(B209&lt;Settings!$C$6,B209&gt;Settings!$C$7),"Outside period | ","")&amp;IF(COUNTIF(Settings!$E$14:$E$43,C209&amp;"")&gt;0,"Sensitive account | ","")&amp;IF(AND(MAX(N(E209),N(F209))&gt;=Settings!$C$9,MOD(MAX(N(E209),N(F209)),Settings!$C$10)=0),"Round amount | ","")="","",LEFT(IF(K209="No","Does not balance | ","")&amp;IF(I209="","Not approved | ",IF(UPPER(TRIM(H209))=UPPER(TRIM(I209)),"Self-approved | ",""))&amp;IF(J209="","No support | ","")&amp;IF(WEEKDAY(B209,2)&gt;5,"Weekend posting | ","")&amp;IF(COUNTIF(Settings!$A$14:$A$43,B209)&gt;0,"Holiday posting | ","")&amp;IF(B209&gt;Settings!$C$8,"Posted after close | ","")&amp;IF(OR(B209&lt;Settings!$C$6,B209&gt;Settings!$C$7),"Outside period | ","")&amp;IF(COUNTIF(Settings!$E$14:$E$43,C209&amp;"")&gt;0,"Sensitive account | ","")&amp;IF(AND(MAX(N(E209),N(F209))&gt;=Settings!$C$9,MOD(MAX(N(E209),N(F209)),Settings!$C$10)=0),"Round amount | ",""),LEN(IF(K209="No","Does not balance | ","")&amp;IF(I209="","Not approved | ",IF(UPPER(TRIM(H209))=UPPER(TRIM(I209)),"Self-approved | ",""))&amp;IF(J209="","No support | ","")&amp;IF(WEEKDAY(B209,2)&gt;5,"Weekend posting | ","")&amp;IF(COUNTIF(Settings!$A$14:$A$43,B209)&gt;0,"Holiday posting | ","")&amp;IF(B209&gt;Settings!$C$8,"Posted after close | ","")&amp;IF(OR(B209&lt;Settings!$C$6,B209&gt;Settings!$C$7),"Outside period | ","")&amp;IF(COUNTIF(Settings!$E$14:$E$43,C209&amp;"")&gt;0,"Sensitive account | ","")&amp;IF(AND(MAX(N(E209),N(F209))&gt;=Settings!$C$9,MOD(MAX(N(E209),N(F209)),Settings!$C$10)=0),"Round amount | ",""))-3)))</f>
        <v/>
      </c>
      <c r="M209" s="21" t="str">
        <f aca="false">IF(A209="","",IF(COUNTIF($A$9:A209,A209)=1,MAX($M$8:M208)+1,""))</f>
        <v/>
      </c>
    </row>
    <row r="210" customFormat="false" ht="15" hidden="false" customHeight="false" outlineLevel="0" collapsed="false">
      <c r="A210" s="8"/>
      <c r="B210" s="17"/>
      <c r="C210" s="19"/>
      <c r="D210" s="8"/>
      <c r="E210" s="18"/>
      <c r="F210" s="18"/>
      <c r="G210" s="8"/>
      <c r="H210" s="8"/>
      <c r="I210" s="8"/>
      <c r="J210" s="8"/>
      <c r="K210" s="10" t="str">
        <f aca="false">IF(A210="","",IF(ABS(SUMIFS($E$9:$E$2008,$A$9:$A$2008,A210)-SUMIFS($F$9:$F$2008,$A$9:$A$2008,A210))&lt;0.5,"Yes","No"))</f>
        <v/>
      </c>
      <c r="L210" s="10" t="str">
        <f aca="false">IF(A210="","",IF(IF(K210="No","Does not balance | ","")&amp;IF(I210="","Not approved | ",IF(UPPER(TRIM(H210))=UPPER(TRIM(I210)),"Self-approved | ",""))&amp;IF(J210="","No support | ","")&amp;IF(WEEKDAY(B210,2)&gt;5,"Weekend posting | ","")&amp;IF(COUNTIF(Settings!$A$14:$A$43,B210)&gt;0,"Holiday posting | ","")&amp;IF(B210&gt;Settings!$C$8,"Posted after close | ","")&amp;IF(OR(B210&lt;Settings!$C$6,B210&gt;Settings!$C$7),"Outside period | ","")&amp;IF(COUNTIF(Settings!$E$14:$E$43,C210&amp;"")&gt;0,"Sensitive account | ","")&amp;IF(AND(MAX(N(E210),N(F210))&gt;=Settings!$C$9,MOD(MAX(N(E210),N(F210)),Settings!$C$10)=0),"Round amount | ","")="","",LEFT(IF(K210="No","Does not balance | ","")&amp;IF(I210="","Not approved | ",IF(UPPER(TRIM(H210))=UPPER(TRIM(I210)),"Self-approved | ",""))&amp;IF(J210="","No support | ","")&amp;IF(WEEKDAY(B210,2)&gt;5,"Weekend posting | ","")&amp;IF(COUNTIF(Settings!$A$14:$A$43,B210)&gt;0,"Holiday posting | ","")&amp;IF(B210&gt;Settings!$C$8,"Posted after close | ","")&amp;IF(OR(B210&lt;Settings!$C$6,B210&gt;Settings!$C$7),"Outside period | ","")&amp;IF(COUNTIF(Settings!$E$14:$E$43,C210&amp;"")&gt;0,"Sensitive account | ","")&amp;IF(AND(MAX(N(E210),N(F210))&gt;=Settings!$C$9,MOD(MAX(N(E210),N(F210)),Settings!$C$10)=0),"Round amount | ",""),LEN(IF(K210="No","Does not balance | ","")&amp;IF(I210="","Not approved | ",IF(UPPER(TRIM(H210))=UPPER(TRIM(I210)),"Self-approved | ",""))&amp;IF(J210="","No support | ","")&amp;IF(WEEKDAY(B210,2)&gt;5,"Weekend posting | ","")&amp;IF(COUNTIF(Settings!$A$14:$A$43,B210)&gt;0,"Holiday posting | ","")&amp;IF(B210&gt;Settings!$C$8,"Posted after close | ","")&amp;IF(OR(B210&lt;Settings!$C$6,B210&gt;Settings!$C$7),"Outside period | ","")&amp;IF(COUNTIF(Settings!$E$14:$E$43,C210&amp;"")&gt;0,"Sensitive account | ","")&amp;IF(AND(MAX(N(E210),N(F210))&gt;=Settings!$C$9,MOD(MAX(N(E210),N(F210)),Settings!$C$10)=0),"Round amount | ",""))-3)))</f>
        <v/>
      </c>
      <c r="M210" s="21" t="str">
        <f aca="false">IF(A210="","",IF(COUNTIF($A$9:A210,A210)=1,MAX($M$8:M209)+1,""))</f>
        <v/>
      </c>
    </row>
    <row r="211" customFormat="false" ht="15" hidden="false" customHeight="false" outlineLevel="0" collapsed="false">
      <c r="A211" s="8"/>
      <c r="B211" s="17"/>
      <c r="C211" s="19"/>
      <c r="D211" s="8"/>
      <c r="E211" s="18"/>
      <c r="F211" s="18"/>
      <c r="G211" s="8"/>
      <c r="H211" s="8"/>
      <c r="I211" s="8"/>
      <c r="J211" s="8"/>
      <c r="K211" s="10" t="str">
        <f aca="false">IF(A211="","",IF(ABS(SUMIFS($E$9:$E$2008,$A$9:$A$2008,A211)-SUMIFS($F$9:$F$2008,$A$9:$A$2008,A211))&lt;0.5,"Yes","No"))</f>
        <v/>
      </c>
      <c r="L211" s="10" t="str">
        <f aca="false">IF(A211="","",IF(IF(K211="No","Does not balance | ","")&amp;IF(I211="","Not approved | ",IF(UPPER(TRIM(H211))=UPPER(TRIM(I211)),"Self-approved | ",""))&amp;IF(J211="","No support | ","")&amp;IF(WEEKDAY(B211,2)&gt;5,"Weekend posting | ","")&amp;IF(COUNTIF(Settings!$A$14:$A$43,B211)&gt;0,"Holiday posting | ","")&amp;IF(B211&gt;Settings!$C$8,"Posted after close | ","")&amp;IF(OR(B211&lt;Settings!$C$6,B211&gt;Settings!$C$7),"Outside period | ","")&amp;IF(COUNTIF(Settings!$E$14:$E$43,C211&amp;"")&gt;0,"Sensitive account | ","")&amp;IF(AND(MAX(N(E211),N(F211))&gt;=Settings!$C$9,MOD(MAX(N(E211),N(F211)),Settings!$C$10)=0),"Round amount | ","")="","",LEFT(IF(K211="No","Does not balance | ","")&amp;IF(I211="","Not approved | ",IF(UPPER(TRIM(H211))=UPPER(TRIM(I211)),"Self-approved | ",""))&amp;IF(J211="","No support | ","")&amp;IF(WEEKDAY(B211,2)&gt;5,"Weekend posting | ","")&amp;IF(COUNTIF(Settings!$A$14:$A$43,B211)&gt;0,"Holiday posting | ","")&amp;IF(B211&gt;Settings!$C$8,"Posted after close | ","")&amp;IF(OR(B211&lt;Settings!$C$6,B211&gt;Settings!$C$7),"Outside period | ","")&amp;IF(COUNTIF(Settings!$E$14:$E$43,C211&amp;"")&gt;0,"Sensitive account | ","")&amp;IF(AND(MAX(N(E211),N(F211))&gt;=Settings!$C$9,MOD(MAX(N(E211),N(F211)),Settings!$C$10)=0),"Round amount | ",""),LEN(IF(K211="No","Does not balance | ","")&amp;IF(I211="","Not approved | ",IF(UPPER(TRIM(H211))=UPPER(TRIM(I211)),"Self-approved | ",""))&amp;IF(J211="","No support | ","")&amp;IF(WEEKDAY(B211,2)&gt;5,"Weekend posting | ","")&amp;IF(COUNTIF(Settings!$A$14:$A$43,B211)&gt;0,"Holiday posting | ","")&amp;IF(B211&gt;Settings!$C$8,"Posted after close | ","")&amp;IF(OR(B211&lt;Settings!$C$6,B211&gt;Settings!$C$7),"Outside period | ","")&amp;IF(COUNTIF(Settings!$E$14:$E$43,C211&amp;"")&gt;0,"Sensitive account | ","")&amp;IF(AND(MAX(N(E211),N(F211))&gt;=Settings!$C$9,MOD(MAX(N(E211),N(F211)),Settings!$C$10)=0),"Round amount | ",""))-3)))</f>
        <v/>
      </c>
      <c r="M211" s="21" t="str">
        <f aca="false">IF(A211="","",IF(COUNTIF($A$9:A211,A211)=1,MAX($M$8:M210)+1,""))</f>
        <v/>
      </c>
    </row>
    <row r="212" customFormat="false" ht="15" hidden="false" customHeight="false" outlineLevel="0" collapsed="false">
      <c r="A212" s="8"/>
      <c r="B212" s="17"/>
      <c r="C212" s="19"/>
      <c r="D212" s="8"/>
      <c r="E212" s="18"/>
      <c r="F212" s="18"/>
      <c r="G212" s="8"/>
      <c r="H212" s="8"/>
      <c r="I212" s="8"/>
      <c r="J212" s="8"/>
      <c r="K212" s="10" t="str">
        <f aca="false">IF(A212="","",IF(ABS(SUMIFS($E$9:$E$2008,$A$9:$A$2008,A212)-SUMIFS($F$9:$F$2008,$A$9:$A$2008,A212))&lt;0.5,"Yes","No"))</f>
        <v/>
      </c>
      <c r="L212" s="10" t="str">
        <f aca="false">IF(A212="","",IF(IF(K212="No","Does not balance | ","")&amp;IF(I212="","Not approved | ",IF(UPPER(TRIM(H212))=UPPER(TRIM(I212)),"Self-approved | ",""))&amp;IF(J212="","No support | ","")&amp;IF(WEEKDAY(B212,2)&gt;5,"Weekend posting | ","")&amp;IF(COUNTIF(Settings!$A$14:$A$43,B212)&gt;0,"Holiday posting | ","")&amp;IF(B212&gt;Settings!$C$8,"Posted after close | ","")&amp;IF(OR(B212&lt;Settings!$C$6,B212&gt;Settings!$C$7),"Outside period | ","")&amp;IF(COUNTIF(Settings!$E$14:$E$43,C212&amp;"")&gt;0,"Sensitive account | ","")&amp;IF(AND(MAX(N(E212),N(F212))&gt;=Settings!$C$9,MOD(MAX(N(E212),N(F212)),Settings!$C$10)=0),"Round amount | ","")="","",LEFT(IF(K212="No","Does not balance | ","")&amp;IF(I212="","Not approved | ",IF(UPPER(TRIM(H212))=UPPER(TRIM(I212)),"Self-approved | ",""))&amp;IF(J212="","No support | ","")&amp;IF(WEEKDAY(B212,2)&gt;5,"Weekend posting | ","")&amp;IF(COUNTIF(Settings!$A$14:$A$43,B212)&gt;0,"Holiday posting | ","")&amp;IF(B212&gt;Settings!$C$8,"Posted after close | ","")&amp;IF(OR(B212&lt;Settings!$C$6,B212&gt;Settings!$C$7),"Outside period | ","")&amp;IF(COUNTIF(Settings!$E$14:$E$43,C212&amp;"")&gt;0,"Sensitive account | ","")&amp;IF(AND(MAX(N(E212),N(F212))&gt;=Settings!$C$9,MOD(MAX(N(E212),N(F212)),Settings!$C$10)=0),"Round amount | ",""),LEN(IF(K212="No","Does not balance | ","")&amp;IF(I212="","Not approved | ",IF(UPPER(TRIM(H212))=UPPER(TRIM(I212)),"Self-approved | ",""))&amp;IF(J212="","No support | ","")&amp;IF(WEEKDAY(B212,2)&gt;5,"Weekend posting | ","")&amp;IF(COUNTIF(Settings!$A$14:$A$43,B212)&gt;0,"Holiday posting | ","")&amp;IF(B212&gt;Settings!$C$8,"Posted after close | ","")&amp;IF(OR(B212&lt;Settings!$C$6,B212&gt;Settings!$C$7),"Outside period | ","")&amp;IF(COUNTIF(Settings!$E$14:$E$43,C212&amp;"")&gt;0,"Sensitive account | ","")&amp;IF(AND(MAX(N(E212),N(F212))&gt;=Settings!$C$9,MOD(MAX(N(E212),N(F212)),Settings!$C$10)=0),"Round amount | ",""))-3)))</f>
        <v/>
      </c>
      <c r="M212" s="21" t="str">
        <f aca="false">IF(A212="","",IF(COUNTIF($A$9:A212,A212)=1,MAX($M$8:M211)+1,""))</f>
        <v/>
      </c>
    </row>
    <row r="213" customFormat="false" ht="15" hidden="false" customHeight="false" outlineLevel="0" collapsed="false">
      <c r="A213" s="8"/>
      <c r="B213" s="17"/>
      <c r="C213" s="19"/>
      <c r="D213" s="8"/>
      <c r="E213" s="18"/>
      <c r="F213" s="18"/>
      <c r="G213" s="8"/>
      <c r="H213" s="8"/>
      <c r="I213" s="8"/>
      <c r="J213" s="8"/>
      <c r="K213" s="10" t="str">
        <f aca="false">IF(A213="","",IF(ABS(SUMIFS($E$9:$E$2008,$A$9:$A$2008,A213)-SUMIFS($F$9:$F$2008,$A$9:$A$2008,A213))&lt;0.5,"Yes","No"))</f>
        <v/>
      </c>
      <c r="L213" s="10" t="str">
        <f aca="false">IF(A213="","",IF(IF(K213="No","Does not balance | ","")&amp;IF(I213="","Not approved | ",IF(UPPER(TRIM(H213))=UPPER(TRIM(I213)),"Self-approved | ",""))&amp;IF(J213="","No support | ","")&amp;IF(WEEKDAY(B213,2)&gt;5,"Weekend posting | ","")&amp;IF(COUNTIF(Settings!$A$14:$A$43,B213)&gt;0,"Holiday posting | ","")&amp;IF(B213&gt;Settings!$C$8,"Posted after close | ","")&amp;IF(OR(B213&lt;Settings!$C$6,B213&gt;Settings!$C$7),"Outside period | ","")&amp;IF(COUNTIF(Settings!$E$14:$E$43,C213&amp;"")&gt;0,"Sensitive account | ","")&amp;IF(AND(MAX(N(E213),N(F213))&gt;=Settings!$C$9,MOD(MAX(N(E213),N(F213)),Settings!$C$10)=0),"Round amount | ","")="","",LEFT(IF(K213="No","Does not balance | ","")&amp;IF(I213="","Not approved | ",IF(UPPER(TRIM(H213))=UPPER(TRIM(I213)),"Self-approved | ",""))&amp;IF(J213="","No support | ","")&amp;IF(WEEKDAY(B213,2)&gt;5,"Weekend posting | ","")&amp;IF(COUNTIF(Settings!$A$14:$A$43,B213)&gt;0,"Holiday posting | ","")&amp;IF(B213&gt;Settings!$C$8,"Posted after close | ","")&amp;IF(OR(B213&lt;Settings!$C$6,B213&gt;Settings!$C$7),"Outside period | ","")&amp;IF(COUNTIF(Settings!$E$14:$E$43,C213&amp;"")&gt;0,"Sensitive account | ","")&amp;IF(AND(MAX(N(E213),N(F213))&gt;=Settings!$C$9,MOD(MAX(N(E213),N(F213)),Settings!$C$10)=0),"Round amount | ",""),LEN(IF(K213="No","Does not balance | ","")&amp;IF(I213="","Not approved | ",IF(UPPER(TRIM(H213))=UPPER(TRIM(I213)),"Self-approved | ",""))&amp;IF(J213="","No support | ","")&amp;IF(WEEKDAY(B213,2)&gt;5,"Weekend posting | ","")&amp;IF(COUNTIF(Settings!$A$14:$A$43,B213)&gt;0,"Holiday posting | ","")&amp;IF(B213&gt;Settings!$C$8,"Posted after close | ","")&amp;IF(OR(B213&lt;Settings!$C$6,B213&gt;Settings!$C$7),"Outside period | ","")&amp;IF(COUNTIF(Settings!$E$14:$E$43,C213&amp;"")&gt;0,"Sensitive account | ","")&amp;IF(AND(MAX(N(E213),N(F213))&gt;=Settings!$C$9,MOD(MAX(N(E213),N(F213)),Settings!$C$10)=0),"Round amount | ",""))-3)))</f>
        <v/>
      </c>
      <c r="M213" s="21" t="str">
        <f aca="false">IF(A213="","",IF(COUNTIF($A$9:A213,A213)=1,MAX($M$8:M212)+1,""))</f>
        <v/>
      </c>
    </row>
    <row r="214" customFormat="false" ht="15" hidden="false" customHeight="false" outlineLevel="0" collapsed="false">
      <c r="A214" s="8"/>
      <c r="B214" s="17"/>
      <c r="C214" s="19"/>
      <c r="D214" s="8"/>
      <c r="E214" s="18"/>
      <c r="F214" s="18"/>
      <c r="G214" s="8"/>
      <c r="H214" s="8"/>
      <c r="I214" s="8"/>
      <c r="J214" s="8"/>
      <c r="K214" s="10" t="str">
        <f aca="false">IF(A214="","",IF(ABS(SUMIFS($E$9:$E$2008,$A$9:$A$2008,A214)-SUMIFS($F$9:$F$2008,$A$9:$A$2008,A214))&lt;0.5,"Yes","No"))</f>
        <v/>
      </c>
      <c r="L214" s="10" t="str">
        <f aca="false">IF(A214="","",IF(IF(K214="No","Does not balance | ","")&amp;IF(I214="","Not approved | ",IF(UPPER(TRIM(H214))=UPPER(TRIM(I214)),"Self-approved | ",""))&amp;IF(J214="","No support | ","")&amp;IF(WEEKDAY(B214,2)&gt;5,"Weekend posting | ","")&amp;IF(COUNTIF(Settings!$A$14:$A$43,B214)&gt;0,"Holiday posting | ","")&amp;IF(B214&gt;Settings!$C$8,"Posted after close | ","")&amp;IF(OR(B214&lt;Settings!$C$6,B214&gt;Settings!$C$7),"Outside period | ","")&amp;IF(COUNTIF(Settings!$E$14:$E$43,C214&amp;"")&gt;0,"Sensitive account | ","")&amp;IF(AND(MAX(N(E214),N(F214))&gt;=Settings!$C$9,MOD(MAX(N(E214),N(F214)),Settings!$C$10)=0),"Round amount | ","")="","",LEFT(IF(K214="No","Does not balance | ","")&amp;IF(I214="","Not approved | ",IF(UPPER(TRIM(H214))=UPPER(TRIM(I214)),"Self-approved | ",""))&amp;IF(J214="","No support | ","")&amp;IF(WEEKDAY(B214,2)&gt;5,"Weekend posting | ","")&amp;IF(COUNTIF(Settings!$A$14:$A$43,B214)&gt;0,"Holiday posting | ","")&amp;IF(B214&gt;Settings!$C$8,"Posted after close | ","")&amp;IF(OR(B214&lt;Settings!$C$6,B214&gt;Settings!$C$7),"Outside period | ","")&amp;IF(COUNTIF(Settings!$E$14:$E$43,C214&amp;"")&gt;0,"Sensitive account | ","")&amp;IF(AND(MAX(N(E214),N(F214))&gt;=Settings!$C$9,MOD(MAX(N(E214),N(F214)),Settings!$C$10)=0),"Round amount | ",""),LEN(IF(K214="No","Does not balance | ","")&amp;IF(I214="","Not approved | ",IF(UPPER(TRIM(H214))=UPPER(TRIM(I214)),"Self-approved | ",""))&amp;IF(J214="","No support | ","")&amp;IF(WEEKDAY(B214,2)&gt;5,"Weekend posting | ","")&amp;IF(COUNTIF(Settings!$A$14:$A$43,B214)&gt;0,"Holiday posting | ","")&amp;IF(B214&gt;Settings!$C$8,"Posted after close | ","")&amp;IF(OR(B214&lt;Settings!$C$6,B214&gt;Settings!$C$7),"Outside period | ","")&amp;IF(COUNTIF(Settings!$E$14:$E$43,C214&amp;"")&gt;0,"Sensitive account | ","")&amp;IF(AND(MAX(N(E214),N(F214))&gt;=Settings!$C$9,MOD(MAX(N(E214),N(F214)),Settings!$C$10)=0),"Round amount | ",""))-3)))</f>
        <v/>
      </c>
      <c r="M214" s="21" t="str">
        <f aca="false">IF(A214="","",IF(COUNTIF($A$9:A214,A214)=1,MAX($M$8:M213)+1,""))</f>
        <v/>
      </c>
    </row>
    <row r="215" customFormat="false" ht="15" hidden="false" customHeight="false" outlineLevel="0" collapsed="false">
      <c r="A215" s="8"/>
      <c r="B215" s="17"/>
      <c r="C215" s="19"/>
      <c r="D215" s="8"/>
      <c r="E215" s="18"/>
      <c r="F215" s="18"/>
      <c r="G215" s="8"/>
      <c r="H215" s="8"/>
      <c r="I215" s="8"/>
      <c r="J215" s="8"/>
      <c r="K215" s="10" t="str">
        <f aca="false">IF(A215="","",IF(ABS(SUMIFS($E$9:$E$2008,$A$9:$A$2008,A215)-SUMIFS($F$9:$F$2008,$A$9:$A$2008,A215))&lt;0.5,"Yes","No"))</f>
        <v/>
      </c>
      <c r="L215" s="10" t="str">
        <f aca="false">IF(A215="","",IF(IF(K215="No","Does not balance | ","")&amp;IF(I215="","Not approved | ",IF(UPPER(TRIM(H215))=UPPER(TRIM(I215)),"Self-approved | ",""))&amp;IF(J215="","No support | ","")&amp;IF(WEEKDAY(B215,2)&gt;5,"Weekend posting | ","")&amp;IF(COUNTIF(Settings!$A$14:$A$43,B215)&gt;0,"Holiday posting | ","")&amp;IF(B215&gt;Settings!$C$8,"Posted after close | ","")&amp;IF(OR(B215&lt;Settings!$C$6,B215&gt;Settings!$C$7),"Outside period | ","")&amp;IF(COUNTIF(Settings!$E$14:$E$43,C215&amp;"")&gt;0,"Sensitive account | ","")&amp;IF(AND(MAX(N(E215),N(F215))&gt;=Settings!$C$9,MOD(MAX(N(E215),N(F215)),Settings!$C$10)=0),"Round amount | ","")="","",LEFT(IF(K215="No","Does not balance | ","")&amp;IF(I215="","Not approved | ",IF(UPPER(TRIM(H215))=UPPER(TRIM(I215)),"Self-approved | ",""))&amp;IF(J215="","No support | ","")&amp;IF(WEEKDAY(B215,2)&gt;5,"Weekend posting | ","")&amp;IF(COUNTIF(Settings!$A$14:$A$43,B215)&gt;0,"Holiday posting | ","")&amp;IF(B215&gt;Settings!$C$8,"Posted after close | ","")&amp;IF(OR(B215&lt;Settings!$C$6,B215&gt;Settings!$C$7),"Outside period | ","")&amp;IF(COUNTIF(Settings!$E$14:$E$43,C215&amp;"")&gt;0,"Sensitive account | ","")&amp;IF(AND(MAX(N(E215),N(F215))&gt;=Settings!$C$9,MOD(MAX(N(E215),N(F215)),Settings!$C$10)=0),"Round amount | ",""),LEN(IF(K215="No","Does not balance | ","")&amp;IF(I215="","Not approved | ",IF(UPPER(TRIM(H215))=UPPER(TRIM(I215)),"Self-approved | ",""))&amp;IF(J215="","No support | ","")&amp;IF(WEEKDAY(B215,2)&gt;5,"Weekend posting | ","")&amp;IF(COUNTIF(Settings!$A$14:$A$43,B215)&gt;0,"Holiday posting | ","")&amp;IF(B215&gt;Settings!$C$8,"Posted after close | ","")&amp;IF(OR(B215&lt;Settings!$C$6,B215&gt;Settings!$C$7),"Outside period | ","")&amp;IF(COUNTIF(Settings!$E$14:$E$43,C215&amp;"")&gt;0,"Sensitive account | ","")&amp;IF(AND(MAX(N(E215),N(F215))&gt;=Settings!$C$9,MOD(MAX(N(E215),N(F215)),Settings!$C$10)=0),"Round amount | ",""))-3)))</f>
        <v/>
      </c>
      <c r="M215" s="21" t="str">
        <f aca="false">IF(A215="","",IF(COUNTIF($A$9:A215,A215)=1,MAX($M$8:M214)+1,""))</f>
        <v/>
      </c>
    </row>
    <row r="216" customFormat="false" ht="15" hidden="false" customHeight="false" outlineLevel="0" collapsed="false">
      <c r="A216" s="8"/>
      <c r="B216" s="17"/>
      <c r="C216" s="19"/>
      <c r="D216" s="8"/>
      <c r="E216" s="18"/>
      <c r="F216" s="18"/>
      <c r="G216" s="8"/>
      <c r="H216" s="8"/>
      <c r="I216" s="8"/>
      <c r="J216" s="8"/>
      <c r="K216" s="10" t="str">
        <f aca="false">IF(A216="","",IF(ABS(SUMIFS($E$9:$E$2008,$A$9:$A$2008,A216)-SUMIFS($F$9:$F$2008,$A$9:$A$2008,A216))&lt;0.5,"Yes","No"))</f>
        <v/>
      </c>
      <c r="L216" s="10" t="str">
        <f aca="false">IF(A216="","",IF(IF(K216="No","Does not balance | ","")&amp;IF(I216="","Not approved | ",IF(UPPER(TRIM(H216))=UPPER(TRIM(I216)),"Self-approved | ",""))&amp;IF(J216="","No support | ","")&amp;IF(WEEKDAY(B216,2)&gt;5,"Weekend posting | ","")&amp;IF(COUNTIF(Settings!$A$14:$A$43,B216)&gt;0,"Holiday posting | ","")&amp;IF(B216&gt;Settings!$C$8,"Posted after close | ","")&amp;IF(OR(B216&lt;Settings!$C$6,B216&gt;Settings!$C$7),"Outside period | ","")&amp;IF(COUNTIF(Settings!$E$14:$E$43,C216&amp;"")&gt;0,"Sensitive account | ","")&amp;IF(AND(MAX(N(E216),N(F216))&gt;=Settings!$C$9,MOD(MAX(N(E216),N(F216)),Settings!$C$10)=0),"Round amount | ","")="","",LEFT(IF(K216="No","Does not balance | ","")&amp;IF(I216="","Not approved | ",IF(UPPER(TRIM(H216))=UPPER(TRIM(I216)),"Self-approved | ",""))&amp;IF(J216="","No support | ","")&amp;IF(WEEKDAY(B216,2)&gt;5,"Weekend posting | ","")&amp;IF(COUNTIF(Settings!$A$14:$A$43,B216)&gt;0,"Holiday posting | ","")&amp;IF(B216&gt;Settings!$C$8,"Posted after close | ","")&amp;IF(OR(B216&lt;Settings!$C$6,B216&gt;Settings!$C$7),"Outside period | ","")&amp;IF(COUNTIF(Settings!$E$14:$E$43,C216&amp;"")&gt;0,"Sensitive account | ","")&amp;IF(AND(MAX(N(E216),N(F216))&gt;=Settings!$C$9,MOD(MAX(N(E216),N(F216)),Settings!$C$10)=0),"Round amount | ",""),LEN(IF(K216="No","Does not balance | ","")&amp;IF(I216="","Not approved | ",IF(UPPER(TRIM(H216))=UPPER(TRIM(I216)),"Self-approved | ",""))&amp;IF(J216="","No support | ","")&amp;IF(WEEKDAY(B216,2)&gt;5,"Weekend posting | ","")&amp;IF(COUNTIF(Settings!$A$14:$A$43,B216)&gt;0,"Holiday posting | ","")&amp;IF(B216&gt;Settings!$C$8,"Posted after close | ","")&amp;IF(OR(B216&lt;Settings!$C$6,B216&gt;Settings!$C$7),"Outside period | ","")&amp;IF(COUNTIF(Settings!$E$14:$E$43,C216&amp;"")&gt;0,"Sensitive account | ","")&amp;IF(AND(MAX(N(E216),N(F216))&gt;=Settings!$C$9,MOD(MAX(N(E216),N(F216)),Settings!$C$10)=0),"Round amount | ",""))-3)))</f>
        <v/>
      </c>
      <c r="M216" s="21" t="str">
        <f aca="false">IF(A216="","",IF(COUNTIF($A$9:A216,A216)=1,MAX($M$8:M215)+1,""))</f>
        <v/>
      </c>
    </row>
    <row r="217" customFormat="false" ht="15" hidden="false" customHeight="false" outlineLevel="0" collapsed="false">
      <c r="A217" s="8"/>
      <c r="B217" s="17"/>
      <c r="C217" s="19"/>
      <c r="D217" s="8"/>
      <c r="E217" s="18"/>
      <c r="F217" s="18"/>
      <c r="G217" s="8"/>
      <c r="H217" s="8"/>
      <c r="I217" s="8"/>
      <c r="J217" s="8"/>
      <c r="K217" s="10" t="str">
        <f aca="false">IF(A217="","",IF(ABS(SUMIFS($E$9:$E$2008,$A$9:$A$2008,A217)-SUMIFS($F$9:$F$2008,$A$9:$A$2008,A217))&lt;0.5,"Yes","No"))</f>
        <v/>
      </c>
      <c r="L217" s="10" t="str">
        <f aca="false">IF(A217="","",IF(IF(K217="No","Does not balance | ","")&amp;IF(I217="","Not approved | ",IF(UPPER(TRIM(H217))=UPPER(TRIM(I217)),"Self-approved | ",""))&amp;IF(J217="","No support | ","")&amp;IF(WEEKDAY(B217,2)&gt;5,"Weekend posting | ","")&amp;IF(COUNTIF(Settings!$A$14:$A$43,B217)&gt;0,"Holiday posting | ","")&amp;IF(B217&gt;Settings!$C$8,"Posted after close | ","")&amp;IF(OR(B217&lt;Settings!$C$6,B217&gt;Settings!$C$7),"Outside period | ","")&amp;IF(COUNTIF(Settings!$E$14:$E$43,C217&amp;"")&gt;0,"Sensitive account | ","")&amp;IF(AND(MAX(N(E217),N(F217))&gt;=Settings!$C$9,MOD(MAX(N(E217),N(F217)),Settings!$C$10)=0),"Round amount | ","")="","",LEFT(IF(K217="No","Does not balance | ","")&amp;IF(I217="","Not approved | ",IF(UPPER(TRIM(H217))=UPPER(TRIM(I217)),"Self-approved | ",""))&amp;IF(J217="","No support | ","")&amp;IF(WEEKDAY(B217,2)&gt;5,"Weekend posting | ","")&amp;IF(COUNTIF(Settings!$A$14:$A$43,B217)&gt;0,"Holiday posting | ","")&amp;IF(B217&gt;Settings!$C$8,"Posted after close | ","")&amp;IF(OR(B217&lt;Settings!$C$6,B217&gt;Settings!$C$7),"Outside period | ","")&amp;IF(COUNTIF(Settings!$E$14:$E$43,C217&amp;"")&gt;0,"Sensitive account | ","")&amp;IF(AND(MAX(N(E217),N(F217))&gt;=Settings!$C$9,MOD(MAX(N(E217),N(F217)),Settings!$C$10)=0),"Round amount | ",""),LEN(IF(K217="No","Does not balance | ","")&amp;IF(I217="","Not approved | ",IF(UPPER(TRIM(H217))=UPPER(TRIM(I217)),"Self-approved | ",""))&amp;IF(J217="","No support | ","")&amp;IF(WEEKDAY(B217,2)&gt;5,"Weekend posting | ","")&amp;IF(COUNTIF(Settings!$A$14:$A$43,B217)&gt;0,"Holiday posting | ","")&amp;IF(B217&gt;Settings!$C$8,"Posted after close | ","")&amp;IF(OR(B217&lt;Settings!$C$6,B217&gt;Settings!$C$7),"Outside period | ","")&amp;IF(COUNTIF(Settings!$E$14:$E$43,C217&amp;"")&gt;0,"Sensitive account | ","")&amp;IF(AND(MAX(N(E217),N(F217))&gt;=Settings!$C$9,MOD(MAX(N(E217),N(F217)),Settings!$C$10)=0),"Round amount | ",""))-3)))</f>
        <v/>
      </c>
      <c r="M217" s="21" t="str">
        <f aca="false">IF(A217="","",IF(COUNTIF($A$9:A217,A217)=1,MAX($M$8:M216)+1,""))</f>
        <v/>
      </c>
    </row>
    <row r="218" customFormat="false" ht="15" hidden="false" customHeight="false" outlineLevel="0" collapsed="false">
      <c r="A218" s="8"/>
      <c r="B218" s="17"/>
      <c r="C218" s="19"/>
      <c r="D218" s="8"/>
      <c r="E218" s="18"/>
      <c r="F218" s="18"/>
      <c r="G218" s="8"/>
      <c r="H218" s="8"/>
      <c r="I218" s="8"/>
      <c r="J218" s="8"/>
      <c r="K218" s="10" t="str">
        <f aca="false">IF(A218="","",IF(ABS(SUMIFS($E$9:$E$2008,$A$9:$A$2008,A218)-SUMIFS($F$9:$F$2008,$A$9:$A$2008,A218))&lt;0.5,"Yes","No"))</f>
        <v/>
      </c>
      <c r="L218" s="10" t="str">
        <f aca="false">IF(A218="","",IF(IF(K218="No","Does not balance | ","")&amp;IF(I218="","Not approved | ",IF(UPPER(TRIM(H218))=UPPER(TRIM(I218)),"Self-approved | ",""))&amp;IF(J218="","No support | ","")&amp;IF(WEEKDAY(B218,2)&gt;5,"Weekend posting | ","")&amp;IF(COUNTIF(Settings!$A$14:$A$43,B218)&gt;0,"Holiday posting | ","")&amp;IF(B218&gt;Settings!$C$8,"Posted after close | ","")&amp;IF(OR(B218&lt;Settings!$C$6,B218&gt;Settings!$C$7),"Outside period | ","")&amp;IF(COUNTIF(Settings!$E$14:$E$43,C218&amp;"")&gt;0,"Sensitive account | ","")&amp;IF(AND(MAX(N(E218),N(F218))&gt;=Settings!$C$9,MOD(MAX(N(E218),N(F218)),Settings!$C$10)=0),"Round amount | ","")="","",LEFT(IF(K218="No","Does not balance | ","")&amp;IF(I218="","Not approved | ",IF(UPPER(TRIM(H218))=UPPER(TRIM(I218)),"Self-approved | ",""))&amp;IF(J218="","No support | ","")&amp;IF(WEEKDAY(B218,2)&gt;5,"Weekend posting | ","")&amp;IF(COUNTIF(Settings!$A$14:$A$43,B218)&gt;0,"Holiday posting | ","")&amp;IF(B218&gt;Settings!$C$8,"Posted after close | ","")&amp;IF(OR(B218&lt;Settings!$C$6,B218&gt;Settings!$C$7),"Outside period | ","")&amp;IF(COUNTIF(Settings!$E$14:$E$43,C218&amp;"")&gt;0,"Sensitive account | ","")&amp;IF(AND(MAX(N(E218),N(F218))&gt;=Settings!$C$9,MOD(MAX(N(E218),N(F218)),Settings!$C$10)=0),"Round amount | ",""),LEN(IF(K218="No","Does not balance | ","")&amp;IF(I218="","Not approved | ",IF(UPPER(TRIM(H218))=UPPER(TRIM(I218)),"Self-approved | ",""))&amp;IF(J218="","No support | ","")&amp;IF(WEEKDAY(B218,2)&gt;5,"Weekend posting | ","")&amp;IF(COUNTIF(Settings!$A$14:$A$43,B218)&gt;0,"Holiday posting | ","")&amp;IF(B218&gt;Settings!$C$8,"Posted after close | ","")&amp;IF(OR(B218&lt;Settings!$C$6,B218&gt;Settings!$C$7),"Outside period | ","")&amp;IF(COUNTIF(Settings!$E$14:$E$43,C218&amp;"")&gt;0,"Sensitive account | ","")&amp;IF(AND(MAX(N(E218),N(F218))&gt;=Settings!$C$9,MOD(MAX(N(E218),N(F218)),Settings!$C$10)=0),"Round amount | ",""))-3)))</f>
        <v/>
      </c>
      <c r="M218" s="21" t="str">
        <f aca="false">IF(A218="","",IF(COUNTIF($A$9:A218,A218)=1,MAX($M$8:M217)+1,""))</f>
        <v/>
      </c>
    </row>
    <row r="219" customFormat="false" ht="15" hidden="false" customHeight="false" outlineLevel="0" collapsed="false">
      <c r="A219" s="8"/>
      <c r="B219" s="17"/>
      <c r="C219" s="19"/>
      <c r="D219" s="8"/>
      <c r="E219" s="18"/>
      <c r="F219" s="18"/>
      <c r="G219" s="8"/>
      <c r="H219" s="8"/>
      <c r="I219" s="8"/>
      <c r="J219" s="8"/>
      <c r="K219" s="10" t="str">
        <f aca="false">IF(A219="","",IF(ABS(SUMIFS($E$9:$E$2008,$A$9:$A$2008,A219)-SUMIFS($F$9:$F$2008,$A$9:$A$2008,A219))&lt;0.5,"Yes","No"))</f>
        <v/>
      </c>
      <c r="L219" s="10" t="str">
        <f aca="false">IF(A219="","",IF(IF(K219="No","Does not balance | ","")&amp;IF(I219="","Not approved | ",IF(UPPER(TRIM(H219))=UPPER(TRIM(I219)),"Self-approved | ",""))&amp;IF(J219="","No support | ","")&amp;IF(WEEKDAY(B219,2)&gt;5,"Weekend posting | ","")&amp;IF(COUNTIF(Settings!$A$14:$A$43,B219)&gt;0,"Holiday posting | ","")&amp;IF(B219&gt;Settings!$C$8,"Posted after close | ","")&amp;IF(OR(B219&lt;Settings!$C$6,B219&gt;Settings!$C$7),"Outside period | ","")&amp;IF(COUNTIF(Settings!$E$14:$E$43,C219&amp;"")&gt;0,"Sensitive account | ","")&amp;IF(AND(MAX(N(E219),N(F219))&gt;=Settings!$C$9,MOD(MAX(N(E219),N(F219)),Settings!$C$10)=0),"Round amount | ","")="","",LEFT(IF(K219="No","Does not balance | ","")&amp;IF(I219="","Not approved | ",IF(UPPER(TRIM(H219))=UPPER(TRIM(I219)),"Self-approved | ",""))&amp;IF(J219="","No support | ","")&amp;IF(WEEKDAY(B219,2)&gt;5,"Weekend posting | ","")&amp;IF(COUNTIF(Settings!$A$14:$A$43,B219)&gt;0,"Holiday posting | ","")&amp;IF(B219&gt;Settings!$C$8,"Posted after close | ","")&amp;IF(OR(B219&lt;Settings!$C$6,B219&gt;Settings!$C$7),"Outside period | ","")&amp;IF(COUNTIF(Settings!$E$14:$E$43,C219&amp;"")&gt;0,"Sensitive account | ","")&amp;IF(AND(MAX(N(E219),N(F219))&gt;=Settings!$C$9,MOD(MAX(N(E219),N(F219)),Settings!$C$10)=0),"Round amount | ",""),LEN(IF(K219="No","Does not balance | ","")&amp;IF(I219="","Not approved | ",IF(UPPER(TRIM(H219))=UPPER(TRIM(I219)),"Self-approved | ",""))&amp;IF(J219="","No support | ","")&amp;IF(WEEKDAY(B219,2)&gt;5,"Weekend posting | ","")&amp;IF(COUNTIF(Settings!$A$14:$A$43,B219)&gt;0,"Holiday posting | ","")&amp;IF(B219&gt;Settings!$C$8,"Posted after close | ","")&amp;IF(OR(B219&lt;Settings!$C$6,B219&gt;Settings!$C$7),"Outside period | ","")&amp;IF(COUNTIF(Settings!$E$14:$E$43,C219&amp;"")&gt;0,"Sensitive account | ","")&amp;IF(AND(MAX(N(E219),N(F219))&gt;=Settings!$C$9,MOD(MAX(N(E219),N(F219)),Settings!$C$10)=0),"Round amount | ",""))-3)))</f>
        <v/>
      </c>
      <c r="M219" s="21" t="str">
        <f aca="false">IF(A219="","",IF(COUNTIF($A$9:A219,A219)=1,MAX($M$8:M218)+1,""))</f>
        <v/>
      </c>
    </row>
    <row r="220" customFormat="false" ht="15" hidden="false" customHeight="false" outlineLevel="0" collapsed="false">
      <c r="A220" s="8"/>
      <c r="B220" s="17"/>
      <c r="C220" s="19"/>
      <c r="D220" s="8"/>
      <c r="E220" s="18"/>
      <c r="F220" s="18"/>
      <c r="G220" s="8"/>
      <c r="H220" s="8"/>
      <c r="I220" s="8"/>
      <c r="J220" s="8"/>
      <c r="K220" s="10" t="str">
        <f aca="false">IF(A220="","",IF(ABS(SUMIFS($E$9:$E$2008,$A$9:$A$2008,A220)-SUMIFS($F$9:$F$2008,$A$9:$A$2008,A220))&lt;0.5,"Yes","No"))</f>
        <v/>
      </c>
      <c r="L220" s="10" t="str">
        <f aca="false">IF(A220="","",IF(IF(K220="No","Does not balance | ","")&amp;IF(I220="","Not approved | ",IF(UPPER(TRIM(H220))=UPPER(TRIM(I220)),"Self-approved | ",""))&amp;IF(J220="","No support | ","")&amp;IF(WEEKDAY(B220,2)&gt;5,"Weekend posting | ","")&amp;IF(COUNTIF(Settings!$A$14:$A$43,B220)&gt;0,"Holiday posting | ","")&amp;IF(B220&gt;Settings!$C$8,"Posted after close | ","")&amp;IF(OR(B220&lt;Settings!$C$6,B220&gt;Settings!$C$7),"Outside period | ","")&amp;IF(COUNTIF(Settings!$E$14:$E$43,C220&amp;"")&gt;0,"Sensitive account | ","")&amp;IF(AND(MAX(N(E220),N(F220))&gt;=Settings!$C$9,MOD(MAX(N(E220),N(F220)),Settings!$C$10)=0),"Round amount | ","")="","",LEFT(IF(K220="No","Does not balance | ","")&amp;IF(I220="","Not approved | ",IF(UPPER(TRIM(H220))=UPPER(TRIM(I220)),"Self-approved | ",""))&amp;IF(J220="","No support | ","")&amp;IF(WEEKDAY(B220,2)&gt;5,"Weekend posting | ","")&amp;IF(COUNTIF(Settings!$A$14:$A$43,B220)&gt;0,"Holiday posting | ","")&amp;IF(B220&gt;Settings!$C$8,"Posted after close | ","")&amp;IF(OR(B220&lt;Settings!$C$6,B220&gt;Settings!$C$7),"Outside period | ","")&amp;IF(COUNTIF(Settings!$E$14:$E$43,C220&amp;"")&gt;0,"Sensitive account | ","")&amp;IF(AND(MAX(N(E220),N(F220))&gt;=Settings!$C$9,MOD(MAX(N(E220),N(F220)),Settings!$C$10)=0),"Round amount | ",""),LEN(IF(K220="No","Does not balance | ","")&amp;IF(I220="","Not approved | ",IF(UPPER(TRIM(H220))=UPPER(TRIM(I220)),"Self-approved | ",""))&amp;IF(J220="","No support | ","")&amp;IF(WEEKDAY(B220,2)&gt;5,"Weekend posting | ","")&amp;IF(COUNTIF(Settings!$A$14:$A$43,B220)&gt;0,"Holiday posting | ","")&amp;IF(B220&gt;Settings!$C$8,"Posted after close | ","")&amp;IF(OR(B220&lt;Settings!$C$6,B220&gt;Settings!$C$7),"Outside period | ","")&amp;IF(COUNTIF(Settings!$E$14:$E$43,C220&amp;"")&gt;0,"Sensitive account | ","")&amp;IF(AND(MAX(N(E220),N(F220))&gt;=Settings!$C$9,MOD(MAX(N(E220),N(F220)),Settings!$C$10)=0),"Round amount | ",""))-3)))</f>
        <v/>
      </c>
      <c r="M220" s="21" t="str">
        <f aca="false">IF(A220="","",IF(COUNTIF($A$9:A220,A220)=1,MAX($M$8:M219)+1,""))</f>
        <v/>
      </c>
    </row>
    <row r="221" customFormat="false" ht="15" hidden="false" customHeight="false" outlineLevel="0" collapsed="false">
      <c r="A221" s="8"/>
      <c r="B221" s="17"/>
      <c r="C221" s="19"/>
      <c r="D221" s="8"/>
      <c r="E221" s="18"/>
      <c r="F221" s="18"/>
      <c r="G221" s="8"/>
      <c r="H221" s="8"/>
      <c r="I221" s="8"/>
      <c r="J221" s="8"/>
      <c r="K221" s="10" t="str">
        <f aca="false">IF(A221="","",IF(ABS(SUMIFS($E$9:$E$2008,$A$9:$A$2008,A221)-SUMIFS($F$9:$F$2008,$A$9:$A$2008,A221))&lt;0.5,"Yes","No"))</f>
        <v/>
      </c>
      <c r="L221" s="10" t="str">
        <f aca="false">IF(A221="","",IF(IF(K221="No","Does not balance | ","")&amp;IF(I221="","Not approved | ",IF(UPPER(TRIM(H221))=UPPER(TRIM(I221)),"Self-approved | ",""))&amp;IF(J221="","No support | ","")&amp;IF(WEEKDAY(B221,2)&gt;5,"Weekend posting | ","")&amp;IF(COUNTIF(Settings!$A$14:$A$43,B221)&gt;0,"Holiday posting | ","")&amp;IF(B221&gt;Settings!$C$8,"Posted after close | ","")&amp;IF(OR(B221&lt;Settings!$C$6,B221&gt;Settings!$C$7),"Outside period | ","")&amp;IF(COUNTIF(Settings!$E$14:$E$43,C221&amp;"")&gt;0,"Sensitive account | ","")&amp;IF(AND(MAX(N(E221),N(F221))&gt;=Settings!$C$9,MOD(MAX(N(E221),N(F221)),Settings!$C$10)=0),"Round amount | ","")="","",LEFT(IF(K221="No","Does not balance | ","")&amp;IF(I221="","Not approved | ",IF(UPPER(TRIM(H221))=UPPER(TRIM(I221)),"Self-approved | ",""))&amp;IF(J221="","No support | ","")&amp;IF(WEEKDAY(B221,2)&gt;5,"Weekend posting | ","")&amp;IF(COUNTIF(Settings!$A$14:$A$43,B221)&gt;0,"Holiday posting | ","")&amp;IF(B221&gt;Settings!$C$8,"Posted after close | ","")&amp;IF(OR(B221&lt;Settings!$C$6,B221&gt;Settings!$C$7),"Outside period | ","")&amp;IF(COUNTIF(Settings!$E$14:$E$43,C221&amp;"")&gt;0,"Sensitive account | ","")&amp;IF(AND(MAX(N(E221),N(F221))&gt;=Settings!$C$9,MOD(MAX(N(E221),N(F221)),Settings!$C$10)=0),"Round amount | ",""),LEN(IF(K221="No","Does not balance | ","")&amp;IF(I221="","Not approved | ",IF(UPPER(TRIM(H221))=UPPER(TRIM(I221)),"Self-approved | ",""))&amp;IF(J221="","No support | ","")&amp;IF(WEEKDAY(B221,2)&gt;5,"Weekend posting | ","")&amp;IF(COUNTIF(Settings!$A$14:$A$43,B221)&gt;0,"Holiday posting | ","")&amp;IF(B221&gt;Settings!$C$8,"Posted after close | ","")&amp;IF(OR(B221&lt;Settings!$C$6,B221&gt;Settings!$C$7),"Outside period | ","")&amp;IF(COUNTIF(Settings!$E$14:$E$43,C221&amp;"")&gt;0,"Sensitive account | ","")&amp;IF(AND(MAX(N(E221),N(F221))&gt;=Settings!$C$9,MOD(MAX(N(E221),N(F221)),Settings!$C$10)=0),"Round amount | ",""))-3)))</f>
        <v/>
      </c>
      <c r="M221" s="21" t="str">
        <f aca="false">IF(A221="","",IF(COUNTIF($A$9:A221,A221)=1,MAX($M$8:M220)+1,""))</f>
        <v/>
      </c>
    </row>
    <row r="222" customFormat="false" ht="15" hidden="false" customHeight="false" outlineLevel="0" collapsed="false">
      <c r="A222" s="8"/>
      <c r="B222" s="17"/>
      <c r="C222" s="19"/>
      <c r="D222" s="8"/>
      <c r="E222" s="18"/>
      <c r="F222" s="18"/>
      <c r="G222" s="8"/>
      <c r="H222" s="8"/>
      <c r="I222" s="8"/>
      <c r="J222" s="8"/>
      <c r="K222" s="10" t="str">
        <f aca="false">IF(A222="","",IF(ABS(SUMIFS($E$9:$E$2008,$A$9:$A$2008,A222)-SUMIFS($F$9:$F$2008,$A$9:$A$2008,A222))&lt;0.5,"Yes","No"))</f>
        <v/>
      </c>
      <c r="L222" s="10" t="str">
        <f aca="false">IF(A222="","",IF(IF(K222="No","Does not balance | ","")&amp;IF(I222="","Not approved | ",IF(UPPER(TRIM(H222))=UPPER(TRIM(I222)),"Self-approved | ",""))&amp;IF(J222="","No support | ","")&amp;IF(WEEKDAY(B222,2)&gt;5,"Weekend posting | ","")&amp;IF(COUNTIF(Settings!$A$14:$A$43,B222)&gt;0,"Holiday posting | ","")&amp;IF(B222&gt;Settings!$C$8,"Posted after close | ","")&amp;IF(OR(B222&lt;Settings!$C$6,B222&gt;Settings!$C$7),"Outside period | ","")&amp;IF(COUNTIF(Settings!$E$14:$E$43,C222&amp;"")&gt;0,"Sensitive account | ","")&amp;IF(AND(MAX(N(E222),N(F222))&gt;=Settings!$C$9,MOD(MAX(N(E222),N(F222)),Settings!$C$10)=0),"Round amount | ","")="","",LEFT(IF(K222="No","Does not balance | ","")&amp;IF(I222="","Not approved | ",IF(UPPER(TRIM(H222))=UPPER(TRIM(I222)),"Self-approved | ",""))&amp;IF(J222="","No support | ","")&amp;IF(WEEKDAY(B222,2)&gt;5,"Weekend posting | ","")&amp;IF(COUNTIF(Settings!$A$14:$A$43,B222)&gt;0,"Holiday posting | ","")&amp;IF(B222&gt;Settings!$C$8,"Posted after close | ","")&amp;IF(OR(B222&lt;Settings!$C$6,B222&gt;Settings!$C$7),"Outside period | ","")&amp;IF(COUNTIF(Settings!$E$14:$E$43,C222&amp;"")&gt;0,"Sensitive account | ","")&amp;IF(AND(MAX(N(E222),N(F222))&gt;=Settings!$C$9,MOD(MAX(N(E222),N(F222)),Settings!$C$10)=0),"Round amount | ",""),LEN(IF(K222="No","Does not balance | ","")&amp;IF(I222="","Not approved | ",IF(UPPER(TRIM(H222))=UPPER(TRIM(I222)),"Self-approved | ",""))&amp;IF(J222="","No support | ","")&amp;IF(WEEKDAY(B222,2)&gt;5,"Weekend posting | ","")&amp;IF(COUNTIF(Settings!$A$14:$A$43,B222)&gt;0,"Holiday posting | ","")&amp;IF(B222&gt;Settings!$C$8,"Posted after close | ","")&amp;IF(OR(B222&lt;Settings!$C$6,B222&gt;Settings!$C$7),"Outside period | ","")&amp;IF(COUNTIF(Settings!$E$14:$E$43,C222&amp;"")&gt;0,"Sensitive account | ","")&amp;IF(AND(MAX(N(E222),N(F222))&gt;=Settings!$C$9,MOD(MAX(N(E222),N(F222)),Settings!$C$10)=0),"Round amount | ",""))-3)))</f>
        <v/>
      </c>
      <c r="M222" s="21" t="str">
        <f aca="false">IF(A222="","",IF(COUNTIF($A$9:A222,A222)=1,MAX($M$8:M221)+1,""))</f>
        <v/>
      </c>
    </row>
    <row r="223" customFormat="false" ht="15" hidden="false" customHeight="false" outlineLevel="0" collapsed="false">
      <c r="A223" s="8"/>
      <c r="B223" s="17"/>
      <c r="C223" s="19"/>
      <c r="D223" s="8"/>
      <c r="E223" s="18"/>
      <c r="F223" s="18"/>
      <c r="G223" s="8"/>
      <c r="H223" s="8"/>
      <c r="I223" s="8"/>
      <c r="J223" s="8"/>
      <c r="K223" s="10" t="str">
        <f aca="false">IF(A223="","",IF(ABS(SUMIFS($E$9:$E$2008,$A$9:$A$2008,A223)-SUMIFS($F$9:$F$2008,$A$9:$A$2008,A223))&lt;0.5,"Yes","No"))</f>
        <v/>
      </c>
      <c r="L223" s="10" t="str">
        <f aca="false">IF(A223="","",IF(IF(K223="No","Does not balance | ","")&amp;IF(I223="","Not approved | ",IF(UPPER(TRIM(H223))=UPPER(TRIM(I223)),"Self-approved | ",""))&amp;IF(J223="","No support | ","")&amp;IF(WEEKDAY(B223,2)&gt;5,"Weekend posting | ","")&amp;IF(COUNTIF(Settings!$A$14:$A$43,B223)&gt;0,"Holiday posting | ","")&amp;IF(B223&gt;Settings!$C$8,"Posted after close | ","")&amp;IF(OR(B223&lt;Settings!$C$6,B223&gt;Settings!$C$7),"Outside period | ","")&amp;IF(COUNTIF(Settings!$E$14:$E$43,C223&amp;"")&gt;0,"Sensitive account | ","")&amp;IF(AND(MAX(N(E223),N(F223))&gt;=Settings!$C$9,MOD(MAX(N(E223),N(F223)),Settings!$C$10)=0),"Round amount | ","")="","",LEFT(IF(K223="No","Does not balance | ","")&amp;IF(I223="","Not approved | ",IF(UPPER(TRIM(H223))=UPPER(TRIM(I223)),"Self-approved | ",""))&amp;IF(J223="","No support | ","")&amp;IF(WEEKDAY(B223,2)&gt;5,"Weekend posting | ","")&amp;IF(COUNTIF(Settings!$A$14:$A$43,B223)&gt;0,"Holiday posting | ","")&amp;IF(B223&gt;Settings!$C$8,"Posted after close | ","")&amp;IF(OR(B223&lt;Settings!$C$6,B223&gt;Settings!$C$7),"Outside period | ","")&amp;IF(COUNTIF(Settings!$E$14:$E$43,C223&amp;"")&gt;0,"Sensitive account | ","")&amp;IF(AND(MAX(N(E223),N(F223))&gt;=Settings!$C$9,MOD(MAX(N(E223),N(F223)),Settings!$C$10)=0),"Round amount | ",""),LEN(IF(K223="No","Does not balance | ","")&amp;IF(I223="","Not approved | ",IF(UPPER(TRIM(H223))=UPPER(TRIM(I223)),"Self-approved | ",""))&amp;IF(J223="","No support | ","")&amp;IF(WEEKDAY(B223,2)&gt;5,"Weekend posting | ","")&amp;IF(COUNTIF(Settings!$A$14:$A$43,B223)&gt;0,"Holiday posting | ","")&amp;IF(B223&gt;Settings!$C$8,"Posted after close | ","")&amp;IF(OR(B223&lt;Settings!$C$6,B223&gt;Settings!$C$7),"Outside period | ","")&amp;IF(COUNTIF(Settings!$E$14:$E$43,C223&amp;"")&gt;0,"Sensitive account | ","")&amp;IF(AND(MAX(N(E223),N(F223))&gt;=Settings!$C$9,MOD(MAX(N(E223),N(F223)),Settings!$C$10)=0),"Round amount | ",""))-3)))</f>
        <v/>
      </c>
      <c r="M223" s="21" t="str">
        <f aca="false">IF(A223="","",IF(COUNTIF($A$9:A223,A223)=1,MAX($M$8:M222)+1,""))</f>
        <v/>
      </c>
    </row>
    <row r="224" customFormat="false" ht="15" hidden="false" customHeight="false" outlineLevel="0" collapsed="false">
      <c r="A224" s="8"/>
      <c r="B224" s="17"/>
      <c r="C224" s="19"/>
      <c r="D224" s="8"/>
      <c r="E224" s="18"/>
      <c r="F224" s="18"/>
      <c r="G224" s="8"/>
      <c r="H224" s="8"/>
      <c r="I224" s="8"/>
      <c r="J224" s="8"/>
      <c r="K224" s="10" t="str">
        <f aca="false">IF(A224="","",IF(ABS(SUMIFS($E$9:$E$2008,$A$9:$A$2008,A224)-SUMIFS($F$9:$F$2008,$A$9:$A$2008,A224))&lt;0.5,"Yes","No"))</f>
        <v/>
      </c>
      <c r="L224" s="10" t="str">
        <f aca="false">IF(A224="","",IF(IF(K224="No","Does not balance | ","")&amp;IF(I224="","Not approved | ",IF(UPPER(TRIM(H224))=UPPER(TRIM(I224)),"Self-approved | ",""))&amp;IF(J224="","No support | ","")&amp;IF(WEEKDAY(B224,2)&gt;5,"Weekend posting | ","")&amp;IF(COUNTIF(Settings!$A$14:$A$43,B224)&gt;0,"Holiday posting | ","")&amp;IF(B224&gt;Settings!$C$8,"Posted after close | ","")&amp;IF(OR(B224&lt;Settings!$C$6,B224&gt;Settings!$C$7),"Outside period | ","")&amp;IF(COUNTIF(Settings!$E$14:$E$43,C224&amp;"")&gt;0,"Sensitive account | ","")&amp;IF(AND(MAX(N(E224),N(F224))&gt;=Settings!$C$9,MOD(MAX(N(E224),N(F224)),Settings!$C$10)=0),"Round amount | ","")="","",LEFT(IF(K224="No","Does not balance | ","")&amp;IF(I224="","Not approved | ",IF(UPPER(TRIM(H224))=UPPER(TRIM(I224)),"Self-approved | ",""))&amp;IF(J224="","No support | ","")&amp;IF(WEEKDAY(B224,2)&gt;5,"Weekend posting | ","")&amp;IF(COUNTIF(Settings!$A$14:$A$43,B224)&gt;0,"Holiday posting | ","")&amp;IF(B224&gt;Settings!$C$8,"Posted after close | ","")&amp;IF(OR(B224&lt;Settings!$C$6,B224&gt;Settings!$C$7),"Outside period | ","")&amp;IF(COUNTIF(Settings!$E$14:$E$43,C224&amp;"")&gt;0,"Sensitive account | ","")&amp;IF(AND(MAX(N(E224),N(F224))&gt;=Settings!$C$9,MOD(MAX(N(E224),N(F224)),Settings!$C$10)=0),"Round amount | ",""),LEN(IF(K224="No","Does not balance | ","")&amp;IF(I224="","Not approved | ",IF(UPPER(TRIM(H224))=UPPER(TRIM(I224)),"Self-approved | ",""))&amp;IF(J224="","No support | ","")&amp;IF(WEEKDAY(B224,2)&gt;5,"Weekend posting | ","")&amp;IF(COUNTIF(Settings!$A$14:$A$43,B224)&gt;0,"Holiday posting | ","")&amp;IF(B224&gt;Settings!$C$8,"Posted after close | ","")&amp;IF(OR(B224&lt;Settings!$C$6,B224&gt;Settings!$C$7),"Outside period | ","")&amp;IF(COUNTIF(Settings!$E$14:$E$43,C224&amp;"")&gt;0,"Sensitive account | ","")&amp;IF(AND(MAX(N(E224),N(F224))&gt;=Settings!$C$9,MOD(MAX(N(E224),N(F224)),Settings!$C$10)=0),"Round amount | ",""))-3)))</f>
        <v/>
      </c>
      <c r="M224" s="21" t="str">
        <f aca="false">IF(A224="","",IF(COUNTIF($A$9:A224,A224)=1,MAX($M$8:M223)+1,""))</f>
        <v/>
      </c>
    </row>
    <row r="225" customFormat="false" ht="15" hidden="false" customHeight="false" outlineLevel="0" collapsed="false">
      <c r="A225" s="8"/>
      <c r="B225" s="17"/>
      <c r="C225" s="19"/>
      <c r="D225" s="8"/>
      <c r="E225" s="18"/>
      <c r="F225" s="18"/>
      <c r="G225" s="8"/>
      <c r="H225" s="8"/>
      <c r="I225" s="8"/>
      <c r="J225" s="8"/>
      <c r="K225" s="10" t="str">
        <f aca="false">IF(A225="","",IF(ABS(SUMIFS($E$9:$E$2008,$A$9:$A$2008,A225)-SUMIFS($F$9:$F$2008,$A$9:$A$2008,A225))&lt;0.5,"Yes","No"))</f>
        <v/>
      </c>
      <c r="L225" s="10" t="str">
        <f aca="false">IF(A225="","",IF(IF(K225="No","Does not balance | ","")&amp;IF(I225="","Not approved | ",IF(UPPER(TRIM(H225))=UPPER(TRIM(I225)),"Self-approved | ",""))&amp;IF(J225="","No support | ","")&amp;IF(WEEKDAY(B225,2)&gt;5,"Weekend posting | ","")&amp;IF(COUNTIF(Settings!$A$14:$A$43,B225)&gt;0,"Holiday posting | ","")&amp;IF(B225&gt;Settings!$C$8,"Posted after close | ","")&amp;IF(OR(B225&lt;Settings!$C$6,B225&gt;Settings!$C$7),"Outside period | ","")&amp;IF(COUNTIF(Settings!$E$14:$E$43,C225&amp;"")&gt;0,"Sensitive account | ","")&amp;IF(AND(MAX(N(E225),N(F225))&gt;=Settings!$C$9,MOD(MAX(N(E225),N(F225)),Settings!$C$10)=0),"Round amount | ","")="","",LEFT(IF(K225="No","Does not balance | ","")&amp;IF(I225="","Not approved | ",IF(UPPER(TRIM(H225))=UPPER(TRIM(I225)),"Self-approved | ",""))&amp;IF(J225="","No support | ","")&amp;IF(WEEKDAY(B225,2)&gt;5,"Weekend posting | ","")&amp;IF(COUNTIF(Settings!$A$14:$A$43,B225)&gt;0,"Holiday posting | ","")&amp;IF(B225&gt;Settings!$C$8,"Posted after close | ","")&amp;IF(OR(B225&lt;Settings!$C$6,B225&gt;Settings!$C$7),"Outside period | ","")&amp;IF(COUNTIF(Settings!$E$14:$E$43,C225&amp;"")&gt;0,"Sensitive account | ","")&amp;IF(AND(MAX(N(E225),N(F225))&gt;=Settings!$C$9,MOD(MAX(N(E225),N(F225)),Settings!$C$10)=0),"Round amount | ",""),LEN(IF(K225="No","Does not balance | ","")&amp;IF(I225="","Not approved | ",IF(UPPER(TRIM(H225))=UPPER(TRIM(I225)),"Self-approved | ",""))&amp;IF(J225="","No support | ","")&amp;IF(WEEKDAY(B225,2)&gt;5,"Weekend posting | ","")&amp;IF(COUNTIF(Settings!$A$14:$A$43,B225)&gt;0,"Holiday posting | ","")&amp;IF(B225&gt;Settings!$C$8,"Posted after close | ","")&amp;IF(OR(B225&lt;Settings!$C$6,B225&gt;Settings!$C$7),"Outside period | ","")&amp;IF(COUNTIF(Settings!$E$14:$E$43,C225&amp;"")&gt;0,"Sensitive account | ","")&amp;IF(AND(MAX(N(E225),N(F225))&gt;=Settings!$C$9,MOD(MAX(N(E225),N(F225)),Settings!$C$10)=0),"Round amount | ",""))-3)))</f>
        <v/>
      </c>
      <c r="M225" s="21" t="str">
        <f aca="false">IF(A225="","",IF(COUNTIF($A$9:A225,A225)=1,MAX($M$8:M224)+1,""))</f>
        <v/>
      </c>
    </row>
    <row r="226" customFormat="false" ht="15" hidden="false" customHeight="false" outlineLevel="0" collapsed="false">
      <c r="A226" s="8"/>
      <c r="B226" s="17"/>
      <c r="C226" s="19"/>
      <c r="D226" s="8"/>
      <c r="E226" s="18"/>
      <c r="F226" s="18"/>
      <c r="G226" s="8"/>
      <c r="H226" s="8"/>
      <c r="I226" s="8"/>
      <c r="J226" s="8"/>
      <c r="K226" s="10" t="str">
        <f aca="false">IF(A226="","",IF(ABS(SUMIFS($E$9:$E$2008,$A$9:$A$2008,A226)-SUMIFS($F$9:$F$2008,$A$9:$A$2008,A226))&lt;0.5,"Yes","No"))</f>
        <v/>
      </c>
      <c r="L226" s="10" t="str">
        <f aca="false">IF(A226="","",IF(IF(K226="No","Does not balance | ","")&amp;IF(I226="","Not approved | ",IF(UPPER(TRIM(H226))=UPPER(TRIM(I226)),"Self-approved | ",""))&amp;IF(J226="","No support | ","")&amp;IF(WEEKDAY(B226,2)&gt;5,"Weekend posting | ","")&amp;IF(COUNTIF(Settings!$A$14:$A$43,B226)&gt;0,"Holiday posting | ","")&amp;IF(B226&gt;Settings!$C$8,"Posted after close | ","")&amp;IF(OR(B226&lt;Settings!$C$6,B226&gt;Settings!$C$7),"Outside period | ","")&amp;IF(COUNTIF(Settings!$E$14:$E$43,C226&amp;"")&gt;0,"Sensitive account | ","")&amp;IF(AND(MAX(N(E226),N(F226))&gt;=Settings!$C$9,MOD(MAX(N(E226),N(F226)),Settings!$C$10)=0),"Round amount | ","")="","",LEFT(IF(K226="No","Does not balance | ","")&amp;IF(I226="","Not approved | ",IF(UPPER(TRIM(H226))=UPPER(TRIM(I226)),"Self-approved | ",""))&amp;IF(J226="","No support | ","")&amp;IF(WEEKDAY(B226,2)&gt;5,"Weekend posting | ","")&amp;IF(COUNTIF(Settings!$A$14:$A$43,B226)&gt;0,"Holiday posting | ","")&amp;IF(B226&gt;Settings!$C$8,"Posted after close | ","")&amp;IF(OR(B226&lt;Settings!$C$6,B226&gt;Settings!$C$7),"Outside period | ","")&amp;IF(COUNTIF(Settings!$E$14:$E$43,C226&amp;"")&gt;0,"Sensitive account | ","")&amp;IF(AND(MAX(N(E226),N(F226))&gt;=Settings!$C$9,MOD(MAX(N(E226),N(F226)),Settings!$C$10)=0),"Round amount | ",""),LEN(IF(K226="No","Does not balance | ","")&amp;IF(I226="","Not approved | ",IF(UPPER(TRIM(H226))=UPPER(TRIM(I226)),"Self-approved | ",""))&amp;IF(J226="","No support | ","")&amp;IF(WEEKDAY(B226,2)&gt;5,"Weekend posting | ","")&amp;IF(COUNTIF(Settings!$A$14:$A$43,B226)&gt;0,"Holiday posting | ","")&amp;IF(B226&gt;Settings!$C$8,"Posted after close | ","")&amp;IF(OR(B226&lt;Settings!$C$6,B226&gt;Settings!$C$7),"Outside period | ","")&amp;IF(COUNTIF(Settings!$E$14:$E$43,C226&amp;"")&gt;0,"Sensitive account | ","")&amp;IF(AND(MAX(N(E226),N(F226))&gt;=Settings!$C$9,MOD(MAX(N(E226),N(F226)),Settings!$C$10)=0),"Round amount | ",""))-3)))</f>
        <v/>
      </c>
      <c r="M226" s="21" t="str">
        <f aca="false">IF(A226="","",IF(COUNTIF($A$9:A226,A226)=1,MAX($M$8:M225)+1,""))</f>
        <v/>
      </c>
    </row>
    <row r="227" customFormat="false" ht="15" hidden="false" customHeight="false" outlineLevel="0" collapsed="false">
      <c r="A227" s="8"/>
      <c r="B227" s="17"/>
      <c r="C227" s="19"/>
      <c r="D227" s="8"/>
      <c r="E227" s="18"/>
      <c r="F227" s="18"/>
      <c r="G227" s="8"/>
      <c r="H227" s="8"/>
      <c r="I227" s="8"/>
      <c r="J227" s="8"/>
      <c r="K227" s="10" t="str">
        <f aca="false">IF(A227="","",IF(ABS(SUMIFS($E$9:$E$2008,$A$9:$A$2008,A227)-SUMIFS($F$9:$F$2008,$A$9:$A$2008,A227))&lt;0.5,"Yes","No"))</f>
        <v/>
      </c>
      <c r="L227" s="10" t="str">
        <f aca="false">IF(A227="","",IF(IF(K227="No","Does not balance | ","")&amp;IF(I227="","Not approved | ",IF(UPPER(TRIM(H227))=UPPER(TRIM(I227)),"Self-approved | ",""))&amp;IF(J227="","No support | ","")&amp;IF(WEEKDAY(B227,2)&gt;5,"Weekend posting | ","")&amp;IF(COUNTIF(Settings!$A$14:$A$43,B227)&gt;0,"Holiday posting | ","")&amp;IF(B227&gt;Settings!$C$8,"Posted after close | ","")&amp;IF(OR(B227&lt;Settings!$C$6,B227&gt;Settings!$C$7),"Outside period | ","")&amp;IF(COUNTIF(Settings!$E$14:$E$43,C227&amp;"")&gt;0,"Sensitive account | ","")&amp;IF(AND(MAX(N(E227),N(F227))&gt;=Settings!$C$9,MOD(MAX(N(E227),N(F227)),Settings!$C$10)=0),"Round amount | ","")="","",LEFT(IF(K227="No","Does not balance | ","")&amp;IF(I227="","Not approved | ",IF(UPPER(TRIM(H227))=UPPER(TRIM(I227)),"Self-approved | ",""))&amp;IF(J227="","No support | ","")&amp;IF(WEEKDAY(B227,2)&gt;5,"Weekend posting | ","")&amp;IF(COUNTIF(Settings!$A$14:$A$43,B227)&gt;0,"Holiday posting | ","")&amp;IF(B227&gt;Settings!$C$8,"Posted after close | ","")&amp;IF(OR(B227&lt;Settings!$C$6,B227&gt;Settings!$C$7),"Outside period | ","")&amp;IF(COUNTIF(Settings!$E$14:$E$43,C227&amp;"")&gt;0,"Sensitive account | ","")&amp;IF(AND(MAX(N(E227),N(F227))&gt;=Settings!$C$9,MOD(MAX(N(E227),N(F227)),Settings!$C$10)=0),"Round amount | ",""),LEN(IF(K227="No","Does not balance | ","")&amp;IF(I227="","Not approved | ",IF(UPPER(TRIM(H227))=UPPER(TRIM(I227)),"Self-approved | ",""))&amp;IF(J227="","No support | ","")&amp;IF(WEEKDAY(B227,2)&gt;5,"Weekend posting | ","")&amp;IF(COUNTIF(Settings!$A$14:$A$43,B227)&gt;0,"Holiday posting | ","")&amp;IF(B227&gt;Settings!$C$8,"Posted after close | ","")&amp;IF(OR(B227&lt;Settings!$C$6,B227&gt;Settings!$C$7),"Outside period | ","")&amp;IF(COUNTIF(Settings!$E$14:$E$43,C227&amp;"")&gt;0,"Sensitive account | ","")&amp;IF(AND(MAX(N(E227),N(F227))&gt;=Settings!$C$9,MOD(MAX(N(E227),N(F227)),Settings!$C$10)=0),"Round amount | ",""))-3)))</f>
        <v/>
      </c>
      <c r="M227" s="21" t="str">
        <f aca="false">IF(A227="","",IF(COUNTIF($A$9:A227,A227)=1,MAX($M$8:M226)+1,""))</f>
        <v/>
      </c>
    </row>
    <row r="228" customFormat="false" ht="15" hidden="false" customHeight="false" outlineLevel="0" collapsed="false">
      <c r="A228" s="8"/>
      <c r="B228" s="17"/>
      <c r="C228" s="19"/>
      <c r="D228" s="8"/>
      <c r="E228" s="18"/>
      <c r="F228" s="18"/>
      <c r="G228" s="8"/>
      <c r="H228" s="8"/>
      <c r="I228" s="8"/>
      <c r="J228" s="8"/>
      <c r="K228" s="10" t="str">
        <f aca="false">IF(A228="","",IF(ABS(SUMIFS($E$9:$E$2008,$A$9:$A$2008,A228)-SUMIFS($F$9:$F$2008,$A$9:$A$2008,A228))&lt;0.5,"Yes","No"))</f>
        <v/>
      </c>
      <c r="L228" s="10" t="str">
        <f aca="false">IF(A228="","",IF(IF(K228="No","Does not balance | ","")&amp;IF(I228="","Not approved | ",IF(UPPER(TRIM(H228))=UPPER(TRIM(I228)),"Self-approved | ",""))&amp;IF(J228="","No support | ","")&amp;IF(WEEKDAY(B228,2)&gt;5,"Weekend posting | ","")&amp;IF(COUNTIF(Settings!$A$14:$A$43,B228)&gt;0,"Holiday posting | ","")&amp;IF(B228&gt;Settings!$C$8,"Posted after close | ","")&amp;IF(OR(B228&lt;Settings!$C$6,B228&gt;Settings!$C$7),"Outside period | ","")&amp;IF(COUNTIF(Settings!$E$14:$E$43,C228&amp;"")&gt;0,"Sensitive account | ","")&amp;IF(AND(MAX(N(E228),N(F228))&gt;=Settings!$C$9,MOD(MAX(N(E228),N(F228)),Settings!$C$10)=0),"Round amount | ","")="","",LEFT(IF(K228="No","Does not balance | ","")&amp;IF(I228="","Not approved | ",IF(UPPER(TRIM(H228))=UPPER(TRIM(I228)),"Self-approved | ",""))&amp;IF(J228="","No support | ","")&amp;IF(WEEKDAY(B228,2)&gt;5,"Weekend posting | ","")&amp;IF(COUNTIF(Settings!$A$14:$A$43,B228)&gt;0,"Holiday posting | ","")&amp;IF(B228&gt;Settings!$C$8,"Posted after close | ","")&amp;IF(OR(B228&lt;Settings!$C$6,B228&gt;Settings!$C$7),"Outside period | ","")&amp;IF(COUNTIF(Settings!$E$14:$E$43,C228&amp;"")&gt;0,"Sensitive account | ","")&amp;IF(AND(MAX(N(E228),N(F228))&gt;=Settings!$C$9,MOD(MAX(N(E228),N(F228)),Settings!$C$10)=0),"Round amount | ",""),LEN(IF(K228="No","Does not balance | ","")&amp;IF(I228="","Not approved | ",IF(UPPER(TRIM(H228))=UPPER(TRIM(I228)),"Self-approved | ",""))&amp;IF(J228="","No support | ","")&amp;IF(WEEKDAY(B228,2)&gt;5,"Weekend posting | ","")&amp;IF(COUNTIF(Settings!$A$14:$A$43,B228)&gt;0,"Holiday posting | ","")&amp;IF(B228&gt;Settings!$C$8,"Posted after close | ","")&amp;IF(OR(B228&lt;Settings!$C$6,B228&gt;Settings!$C$7),"Outside period | ","")&amp;IF(COUNTIF(Settings!$E$14:$E$43,C228&amp;"")&gt;0,"Sensitive account | ","")&amp;IF(AND(MAX(N(E228),N(F228))&gt;=Settings!$C$9,MOD(MAX(N(E228),N(F228)),Settings!$C$10)=0),"Round amount | ",""))-3)))</f>
        <v/>
      </c>
      <c r="M228" s="21" t="str">
        <f aca="false">IF(A228="","",IF(COUNTIF($A$9:A228,A228)=1,MAX($M$8:M227)+1,""))</f>
        <v/>
      </c>
    </row>
    <row r="229" customFormat="false" ht="15" hidden="false" customHeight="false" outlineLevel="0" collapsed="false">
      <c r="A229" s="8"/>
      <c r="B229" s="17"/>
      <c r="C229" s="19"/>
      <c r="D229" s="8"/>
      <c r="E229" s="18"/>
      <c r="F229" s="18"/>
      <c r="G229" s="8"/>
      <c r="H229" s="8"/>
      <c r="I229" s="8"/>
      <c r="J229" s="8"/>
      <c r="K229" s="10" t="str">
        <f aca="false">IF(A229="","",IF(ABS(SUMIFS($E$9:$E$2008,$A$9:$A$2008,A229)-SUMIFS($F$9:$F$2008,$A$9:$A$2008,A229))&lt;0.5,"Yes","No"))</f>
        <v/>
      </c>
      <c r="L229" s="10" t="str">
        <f aca="false">IF(A229="","",IF(IF(K229="No","Does not balance | ","")&amp;IF(I229="","Not approved | ",IF(UPPER(TRIM(H229))=UPPER(TRIM(I229)),"Self-approved | ",""))&amp;IF(J229="","No support | ","")&amp;IF(WEEKDAY(B229,2)&gt;5,"Weekend posting | ","")&amp;IF(COUNTIF(Settings!$A$14:$A$43,B229)&gt;0,"Holiday posting | ","")&amp;IF(B229&gt;Settings!$C$8,"Posted after close | ","")&amp;IF(OR(B229&lt;Settings!$C$6,B229&gt;Settings!$C$7),"Outside period | ","")&amp;IF(COUNTIF(Settings!$E$14:$E$43,C229&amp;"")&gt;0,"Sensitive account | ","")&amp;IF(AND(MAX(N(E229),N(F229))&gt;=Settings!$C$9,MOD(MAX(N(E229),N(F229)),Settings!$C$10)=0),"Round amount | ","")="","",LEFT(IF(K229="No","Does not balance | ","")&amp;IF(I229="","Not approved | ",IF(UPPER(TRIM(H229))=UPPER(TRIM(I229)),"Self-approved | ",""))&amp;IF(J229="","No support | ","")&amp;IF(WEEKDAY(B229,2)&gt;5,"Weekend posting | ","")&amp;IF(COUNTIF(Settings!$A$14:$A$43,B229)&gt;0,"Holiday posting | ","")&amp;IF(B229&gt;Settings!$C$8,"Posted after close | ","")&amp;IF(OR(B229&lt;Settings!$C$6,B229&gt;Settings!$C$7),"Outside period | ","")&amp;IF(COUNTIF(Settings!$E$14:$E$43,C229&amp;"")&gt;0,"Sensitive account | ","")&amp;IF(AND(MAX(N(E229),N(F229))&gt;=Settings!$C$9,MOD(MAX(N(E229),N(F229)),Settings!$C$10)=0),"Round amount | ",""),LEN(IF(K229="No","Does not balance | ","")&amp;IF(I229="","Not approved | ",IF(UPPER(TRIM(H229))=UPPER(TRIM(I229)),"Self-approved | ",""))&amp;IF(J229="","No support | ","")&amp;IF(WEEKDAY(B229,2)&gt;5,"Weekend posting | ","")&amp;IF(COUNTIF(Settings!$A$14:$A$43,B229)&gt;0,"Holiday posting | ","")&amp;IF(B229&gt;Settings!$C$8,"Posted after close | ","")&amp;IF(OR(B229&lt;Settings!$C$6,B229&gt;Settings!$C$7),"Outside period | ","")&amp;IF(COUNTIF(Settings!$E$14:$E$43,C229&amp;"")&gt;0,"Sensitive account | ","")&amp;IF(AND(MAX(N(E229),N(F229))&gt;=Settings!$C$9,MOD(MAX(N(E229),N(F229)),Settings!$C$10)=0),"Round amount | ",""))-3)))</f>
        <v/>
      </c>
      <c r="M229" s="21" t="str">
        <f aca="false">IF(A229="","",IF(COUNTIF($A$9:A229,A229)=1,MAX($M$8:M228)+1,""))</f>
        <v/>
      </c>
    </row>
    <row r="230" customFormat="false" ht="15" hidden="false" customHeight="false" outlineLevel="0" collapsed="false">
      <c r="A230" s="8"/>
      <c r="B230" s="17"/>
      <c r="C230" s="19"/>
      <c r="D230" s="8"/>
      <c r="E230" s="18"/>
      <c r="F230" s="18"/>
      <c r="G230" s="8"/>
      <c r="H230" s="8"/>
      <c r="I230" s="8"/>
      <c r="J230" s="8"/>
      <c r="K230" s="10" t="str">
        <f aca="false">IF(A230="","",IF(ABS(SUMIFS($E$9:$E$2008,$A$9:$A$2008,A230)-SUMIFS($F$9:$F$2008,$A$9:$A$2008,A230))&lt;0.5,"Yes","No"))</f>
        <v/>
      </c>
      <c r="L230" s="10" t="str">
        <f aca="false">IF(A230="","",IF(IF(K230="No","Does not balance | ","")&amp;IF(I230="","Not approved | ",IF(UPPER(TRIM(H230))=UPPER(TRIM(I230)),"Self-approved | ",""))&amp;IF(J230="","No support | ","")&amp;IF(WEEKDAY(B230,2)&gt;5,"Weekend posting | ","")&amp;IF(COUNTIF(Settings!$A$14:$A$43,B230)&gt;0,"Holiday posting | ","")&amp;IF(B230&gt;Settings!$C$8,"Posted after close | ","")&amp;IF(OR(B230&lt;Settings!$C$6,B230&gt;Settings!$C$7),"Outside period | ","")&amp;IF(COUNTIF(Settings!$E$14:$E$43,C230&amp;"")&gt;0,"Sensitive account | ","")&amp;IF(AND(MAX(N(E230),N(F230))&gt;=Settings!$C$9,MOD(MAX(N(E230),N(F230)),Settings!$C$10)=0),"Round amount | ","")="","",LEFT(IF(K230="No","Does not balance | ","")&amp;IF(I230="","Not approved | ",IF(UPPER(TRIM(H230))=UPPER(TRIM(I230)),"Self-approved | ",""))&amp;IF(J230="","No support | ","")&amp;IF(WEEKDAY(B230,2)&gt;5,"Weekend posting | ","")&amp;IF(COUNTIF(Settings!$A$14:$A$43,B230)&gt;0,"Holiday posting | ","")&amp;IF(B230&gt;Settings!$C$8,"Posted after close | ","")&amp;IF(OR(B230&lt;Settings!$C$6,B230&gt;Settings!$C$7),"Outside period | ","")&amp;IF(COUNTIF(Settings!$E$14:$E$43,C230&amp;"")&gt;0,"Sensitive account | ","")&amp;IF(AND(MAX(N(E230),N(F230))&gt;=Settings!$C$9,MOD(MAX(N(E230),N(F230)),Settings!$C$10)=0),"Round amount | ",""),LEN(IF(K230="No","Does not balance | ","")&amp;IF(I230="","Not approved | ",IF(UPPER(TRIM(H230))=UPPER(TRIM(I230)),"Self-approved | ",""))&amp;IF(J230="","No support | ","")&amp;IF(WEEKDAY(B230,2)&gt;5,"Weekend posting | ","")&amp;IF(COUNTIF(Settings!$A$14:$A$43,B230)&gt;0,"Holiday posting | ","")&amp;IF(B230&gt;Settings!$C$8,"Posted after close | ","")&amp;IF(OR(B230&lt;Settings!$C$6,B230&gt;Settings!$C$7),"Outside period | ","")&amp;IF(COUNTIF(Settings!$E$14:$E$43,C230&amp;"")&gt;0,"Sensitive account | ","")&amp;IF(AND(MAX(N(E230),N(F230))&gt;=Settings!$C$9,MOD(MAX(N(E230),N(F230)),Settings!$C$10)=0),"Round amount | ",""))-3)))</f>
        <v/>
      </c>
      <c r="M230" s="21" t="str">
        <f aca="false">IF(A230="","",IF(COUNTIF($A$9:A230,A230)=1,MAX($M$8:M229)+1,""))</f>
        <v/>
      </c>
    </row>
    <row r="231" customFormat="false" ht="15" hidden="false" customHeight="false" outlineLevel="0" collapsed="false">
      <c r="A231" s="8"/>
      <c r="B231" s="17"/>
      <c r="C231" s="19"/>
      <c r="D231" s="8"/>
      <c r="E231" s="18"/>
      <c r="F231" s="18"/>
      <c r="G231" s="8"/>
      <c r="H231" s="8"/>
      <c r="I231" s="8"/>
      <c r="J231" s="8"/>
      <c r="K231" s="10" t="str">
        <f aca="false">IF(A231="","",IF(ABS(SUMIFS($E$9:$E$2008,$A$9:$A$2008,A231)-SUMIFS($F$9:$F$2008,$A$9:$A$2008,A231))&lt;0.5,"Yes","No"))</f>
        <v/>
      </c>
      <c r="L231" s="10" t="str">
        <f aca="false">IF(A231="","",IF(IF(K231="No","Does not balance | ","")&amp;IF(I231="","Not approved | ",IF(UPPER(TRIM(H231))=UPPER(TRIM(I231)),"Self-approved | ",""))&amp;IF(J231="","No support | ","")&amp;IF(WEEKDAY(B231,2)&gt;5,"Weekend posting | ","")&amp;IF(COUNTIF(Settings!$A$14:$A$43,B231)&gt;0,"Holiday posting | ","")&amp;IF(B231&gt;Settings!$C$8,"Posted after close | ","")&amp;IF(OR(B231&lt;Settings!$C$6,B231&gt;Settings!$C$7),"Outside period | ","")&amp;IF(COUNTIF(Settings!$E$14:$E$43,C231&amp;"")&gt;0,"Sensitive account | ","")&amp;IF(AND(MAX(N(E231),N(F231))&gt;=Settings!$C$9,MOD(MAX(N(E231),N(F231)),Settings!$C$10)=0),"Round amount | ","")="","",LEFT(IF(K231="No","Does not balance | ","")&amp;IF(I231="","Not approved | ",IF(UPPER(TRIM(H231))=UPPER(TRIM(I231)),"Self-approved | ",""))&amp;IF(J231="","No support | ","")&amp;IF(WEEKDAY(B231,2)&gt;5,"Weekend posting | ","")&amp;IF(COUNTIF(Settings!$A$14:$A$43,B231)&gt;0,"Holiday posting | ","")&amp;IF(B231&gt;Settings!$C$8,"Posted after close | ","")&amp;IF(OR(B231&lt;Settings!$C$6,B231&gt;Settings!$C$7),"Outside period | ","")&amp;IF(COUNTIF(Settings!$E$14:$E$43,C231&amp;"")&gt;0,"Sensitive account | ","")&amp;IF(AND(MAX(N(E231),N(F231))&gt;=Settings!$C$9,MOD(MAX(N(E231),N(F231)),Settings!$C$10)=0),"Round amount | ",""),LEN(IF(K231="No","Does not balance | ","")&amp;IF(I231="","Not approved | ",IF(UPPER(TRIM(H231))=UPPER(TRIM(I231)),"Self-approved | ",""))&amp;IF(J231="","No support | ","")&amp;IF(WEEKDAY(B231,2)&gt;5,"Weekend posting | ","")&amp;IF(COUNTIF(Settings!$A$14:$A$43,B231)&gt;0,"Holiday posting | ","")&amp;IF(B231&gt;Settings!$C$8,"Posted after close | ","")&amp;IF(OR(B231&lt;Settings!$C$6,B231&gt;Settings!$C$7),"Outside period | ","")&amp;IF(COUNTIF(Settings!$E$14:$E$43,C231&amp;"")&gt;0,"Sensitive account | ","")&amp;IF(AND(MAX(N(E231),N(F231))&gt;=Settings!$C$9,MOD(MAX(N(E231),N(F231)),Settings!$C$10)=0),"Round amount | ",""))-3)))</f>
        <v/>
      </c>
      <c r="M231" s="21" t="str">
        <f aca="false">IF(A231="","",IF(COUNTIF($A$9:A231,A231)=1,MAX($M$8:M230)+1,""))</f>
        <v/>
      </c>
    </row>
    <row r="232" customFormat="false" ht="15" hidden="false" customHeight="false" outlineLevel="0" collapsed="false">
      <c r="A232" s="8"/>
      <c r="B232" s="17"/>
      <c r="C232" s="19"/>
      <c r="D232" s="8"/>
      <c r="E232" s="18"/>
      <c r="F232" s="18"/>
      <c r="G232" s="8"/>
      <c r="H232" s="8"/>
      <c r="I232" s="8"/>
      <c r="J232" s="8"/>
      <c r="K232" s="10" t="str">
        <f aca="false">IF(A232="","",IF(ABS(SUMIFS($E$9:$E$2008,$A$9:$A$2008,A232)-SUMIFS($F$9:$F$2008,$A$9:$A$2008,A232))&lt;0.5,"Yes","No"))</f>
        <v/>
      </c>
      <c r="L232" s="10" t="str">
        <f aca="false">IF(A232="","",IF(IF(K232="No","Does not balance | ","")&amp;IF(I232="","Not approved | ",IF(UPPER(TRIM(H232))=UPPER(TRIM(I232)),"Self-approved | ",""))&amp;IF(J232="","No support | ","")&amp;IF(WEEKDAY(B232,2)&gt;5,"Weekend posting | ","")&amp;IF(COUNTIF(Settings!$A$14:$A$43,B232)&gt;0,"Holiday posting | ","")&amp;IF(B232&gt;Settings!$C$8,"Posted after close | ","")&amp;IF(OR(B232&lt;Settings!$C$6,B232&gt;Settings!$C$7),"Outside period | ","")&amp;IF(COUNTIF(Settings!$E$14:$E$43,C232&amp;"")&gt;0,"Sensitive account | ","")&amp;IF(AND(MAX(N(E232),N(F232))&gt;=Settings!$C$9,MOD(MAX(N(E232),N(F232)),Settings!$C$10)=0),"Round amount | ","")="","",LEFT(IF(K232="No","Does not balance | ","")&amp;IF(I232="","Not approved | ",IF(UPPER(TRIM(H232))=UPPER(TRIM(I232)),"Self-approved | ",""))&amp;IF(J232="","No support | ","")&amp;IF(WEEKDAY(B232,2)&gt;5,"Weekend posting | ","")&amp;IF(COUNTIF(Settings!$A$14:$A$43,B232)&gt;0,"Holiday posting | ","")&amp;IF(B232&gt;Settings!$C$8,"Posted after close | ","")&amp;IF(OR(B232&lt;Settings!$C$6,B232&gt;Settings!$C$7),"Outside period | ","")&amp;IF(COUNTIF(Settings!$E$14:$E$43,C232&amp;"")&gt;0,"Sensitive account | ","")&amp;IF(AND(MAX(N(E232),N(F232))&gt;=Settings!$C$9,MOD(MAX(N(E232),N(F232)),Settings!$C$10)=0),"Round amount | ",""),LEN(IF(K232="No","Does not balance | ","")&amp;IF(I232="","Not approved | ",IF(UPPER(TRIM(H232))=UPPER(TRIM(I232)),"Self-approved | ",""))&amp;IF(J232="","No support | ","")&amp;IF(WEEKDAY(B232,2)&gt;5,"Weekend posting | ","")&amp;IF(COUNTIF(Settings!$A$14:$A$43,B232)&gt;0,"Holiday posting | ","")&amp;IF(B232&gt;Settings!$C$8,"Posted after close | ","")&amp;IF(OR(B232&lt;Settings!$C$6,B232&gt;Settings!$C$7),"Outside period | ","")&amp;IF(COUNTIF(Settings!$E$14:$E$43,C232&amp;"")&gt;0,"Sensitive account | ","")&amp;IF(AND(MAX(N(E232),N(F232))&gt;=Settings!$C$9,MOD(MAX(N(E232),N(F232)),Settings!$C$10)=0),"Round amount | ",""))-3)))</f>
        <v/>
      </c>
      <c r="M232" s="21" t="str">
        <f aca="false">IF(A232="","",IF(COUNTIF($A$9:A232,A232)=1,MAX($M$8:M231)+1,""))</f>
        <v/>
      </c>
    </row>
    <row r="233" customFormat="false" ht="15" hidden="false" customHeight="false" outlineLevel="0" collapsed="false">
      <c r="A233" s="8"/>
      <c r="B233" s="17"/>
      <c r="C233" s="19"/>
      <c r="D233" s="8"/>
      <c r="E233" s="18"/>
      <c r="F233" s="18"/>
      <c r="G233" s="8"/>
      <c r="H233" s="8"/>
      <c r="I233" s="8"/>
      <c r="J233" s="8"/>
      <c r="K233" s="10" t="str">
        <f aca="false">IF(A233="","",IF(ABS(SUMIFS($E$9:$E$2008,$A$9:$A$2008,A233)-SUMIFS($F$9:$F$2008,$A$9:$A$2008,A233))&lt;0.5,"Yes","No"))</f>
        <v/>
      </c>
      <c r="L233" s="10" t="str">
        <f aca="false">IF(A233="","",IF(IF(K233="No","Does not balance | ","")&amp;IF(I233="","Not approved | ",IF(UPPER(TRIM(H233))=UPPER(TRIM(I233)),"Self-approved | ",""))&amp;IF(J233="","No support | ","")&amp;IF(WEEKDAY(B233,2)&gt;5,"Weekend posting | ","")&amp;IF(COUNTIF(Settings!$A$14:$A$43,B233)&gt;0,"Holiday posting | ","")&amp;IF(B233&gt;Settings!$C$8,"Posted after close | ","")&amp;IF(OR(B233&lt;Settings!$C$6,B233&gt;Settings!$C$7),"Outside period | ","")&amp;IF(COUNTIF(Settings!$E$14:$E$43,C233&amp;"")&gt;0,"Sensitive account | ","")&amp;IF(AND(MAX(N(E233),N(F233))&gt;=Settings!$C$9,MOD(MAX(N(E233),N(F233)),Settings!$C$10)=0),"Round amount | ","")="","",LEFT(IF(K233="No","Does not balance | ","")&amp;IF(I233="","Not approved | ",IF(UPPER(TRIM(H233))=UPPER(TRIM(I233)),"Self-approved | ",""))&amp;IF(J233="","No support | ","")&amp;IF(WEEKDAY(B233,2)&gt;5,"Weekend posting | ","")&amp;IF(COUNTIF(Settings!$A$14:$A$43,B233)&gt;0,"Holiday posting | ","")&amp;IF(B233&gt;Settings!$C$8,"Posted after close | ","")&amp;IF(OR(B233&lt;Settings!$C$6,B233&gt;Settings!$C$7),"Outside period | ","")&amp;IF(COUNTIF(Settings!$E$14:$E$43,C233&amp;"")&gt;0,"Sensitive account | ","")&amp;IF(AND(MAX(N(E233),N(F233))&gt;=Settings!$C$9,MOD(MAX(N(E233),N(F233)),Settings!$C$10)=0),"Round amount | ",""),LEN(IF(K233="No","Does not balance | ","")&amp;IF(I233="","Not approved | ",IF(UPPER(TRIM(H233))=UPPER(TRIM(I233)),"Self-approved | ",""))&amp;IF(J233="","No support | ","")&amp;IF(WEEKDAY(B233,2)&gt;5,"Weekend posting | ","")&amp;IF(COUNTIF(Settings!$A$14:$A$43,B233)&gt;0,"Holiday posting | ","")&amp;IF(B233&gt;Settings!$C$8,"Posted after close | ","")&amp;IF(OR(B233&lt;Settings!$C$6,B233&gt;Settings!$C$7),"Outside period | ","")&amp;IF(COUNTIF(Settings!$E$14:$E$43,C233&amp;"")&gt;0,"Sensitive account | ","")&amp;IF(AND(MAX(N(E233),N(F233))&gt;=Settings!$C$9,MOD(MAX(N(E233),N(F233)),Settings!$C$10)=0),"Round amount | ",""))-3)))</f>
        <v/>
      </c>
      <c r="M233" s="21" t="str">
        <f aca="false">IF(A233="","",IF(COUNTIF($A$9:A233,A233)=1,MAX($M$8:M232)+1,""))</f>
        <v/>
      </c>
    </row>
    <row r="234" customFormat="false" ht="15" hidden="false" customHeight="false" outlineLevel="0" collapsed="false">
      <c r="A234" s="8"/>
      <c r="B234" s="17"/>
      <c r="C234" s="19"/>
      <c r="D234" s="8"/>
      <c r="E234" s="18"/>
      <c r="F234" s="18"/>
      <c r="G234" s="8"/>
      <c r="H234" s="8"/>
      <c r="I234" s="8"/>
      <c r="J234" s="8"/>
      <c r="K234" s="10" t="str">
        <f aca="false">IF(A234="","",IF(ABS(SUMIFS($E$9:$E$2008,$A$9:$A$2008,A234)-SUMIFS($F$9:$F$2008,$A$9:$A$2008,A234))&lt;0.5,"Yes","No"))</f>
        <v/>
      </c>
      <c r="L234" s="10" t="str">
        <f aca="false">IF(A234="","",IF(IF(K234="No","Does not balance | ","")&amp;IF(I234="","Not approved | ",IF(UPPER(TRIM(H234))=UPPER(TRIM(I234)),"Self-approved | ",""))&amp;IF(J234="","No support | ","")&amp;IF(WEEKDAY(B234,2)&gt;5,"Weekend posting | ","")&amp;IF(COUNTIF(Settings!$A$14:$A$43,B234)&gt;0,"Holiday posting | ","")&amp;IF(B234&gt;Settings!$C$8,"Posted after close | ","")&amp;IF(OR(B234&lt;Settings!$C$6,B234&gt;Settings!$C$7),"Outside period | ","")&amp;IF(COUNTIF(Settings!$E$14:$E$43,C234&amp;"")&gt;0,"Sensitive account | ","")&amp;IF(AND(MAX(N(E234),N(F234))&gt;=Settings!$C$9,MOD(MAX(N(E234),N(F234)),Settings!$C$10)=0),"Round amount | ","")="","",LEFT(IF(K234="No","Does not balance | ","")&amp;IF(I234="","Not approved | ",IF(UPPER(TRIM(H234))=UPPER(TRIM(I234)),"Self-approved | ",""))&amp;IF(J234="","No support | ","")&amp;IF(WEEKDAY(B234,2)&gt;5,"Weekend posting | ","")&amp;IF(COUNTIF(Settings!$A$14:$A$43,B234)&gt;0,"Holiday posting | ","")&amp;IF(B234&gt;Settings!$C$8,"Posted after close | ","")&amp;IF(OR(B234&lt;Settings!$C$6,B234&gt;Settings!$C$7),"Outside period | ","")&amp;IF(COUNTIF(Settings!$E$14:$E$43,C234&amp;"")&gt;0,"Sensitive account | ","")&amp;IF(AND(MAX(N(E234),N(F234))&gt;=Settings!$C$9,MOD(MAX(N(E234),N(F234)),Settings!$C$10)=0),"Round amount | ",""),LEN(IF(K234="No","Does not balance | ","")&amp;IF(I234="","Not approved | ",IF(UPPER(TRIM(H234))=UPPER(TRIM(I234)),"Self-approved | ",""))&amp;IF(J234="","No support | ","")&amp;IF(WEEKDAY(B234,2)&gt;5,"Weekend posting | ","")&amp;IF(COUNTIF(Settings!$A$14:$A$43,B234)&gt;0,"Holiday posting | ","")&amp;IF(B234&gt;Settings!$C$8,"Posted after close | ","")&amp;IF(OR(B234&lt;Settings!$C$6,B234&gt;Settings!$C$7),"Outside period | ","")&amp;IF(COUNTIF(Settings!$E$14:$E$43,C234&amp;"")&gt;0,"Sensitive account | ","")&amp;IF(AND(MAX(N(E234),N(F234))&gt;=Settings!$C$9,MOD(MAX(N(E234),N(F234)),Settings!$C$10)=0),"Round amount | ",""))-3)))</f>
        <v/>
      </c>
      <c r="M234" s="21" t="str">
        <f aca="false">IF(A234="","",IF(COUNTIF($A$9:A234,A234)=1,MAX($M$8:M233)+1,""))</f>
        <v/>
      </c>
    </row>
    <row r="235" customFormat="false" ht="15" hidden="false" customHeight="false" outlineLevel="0" collapsed="false">
      <c r="A235" s="8"/>
      <c r="B235" s="17"/>
      <c r="C235" s="19"/>
      <c r="D235" s="8"/>
      <c r="E235" s="18"/>
      <c r="F235" s="18"/>
      <c r="G235" s="8"/>
      <c r="H235" s="8"/>
      <c r="I235" s="8"/>
      <c r="J235" s="8"/>
      <c r="K235" s="10" t="str">
        <f aca="false">IF(A235="","",IF(ABS(SUMIFS($E$9:$E$2008,$A$9:$A$2008,A235)-SUMIFS($F$9:$F$2008,$A$9:$A$2008,A235))&lt;0.5,"Yes","No"))</f>
        <v/>
      </c>
      <c r="L235" s="10" t="str">
        <f aca="false">IF(A235="","",IF(IF(K235="No","Does not balance | ","")&amp;IF(I235="","Not approved | ",IF(UPPER(TRIM(H235))=UPPER(TRIM(I235)),"Self-approved | ",""))&amp;IF(J235="","No support | ","")&amp;IF(WEEKDAY(B235,2)&gt;5,"Weekend posting | ","")&amp;IF(COUNTIF(Settings!$A$14:$A$43,B235)&gt;0,"Holiday posting | ","")&amp;IF(B235&gt;Settings!$C$8,"Posted after close | ","")&amp;IF(OR(B235&lt;Settings!$C$6,B235&gt;Settings!$C$7),"Outside period | ","")&amp;IF(COUNTIF(Settings!$E$14:$E$43,C235&amp;"")&gt;0,"Sensitive account | ","")&amp;IF(AND(MAX(N(E235),N(F235))&gt;=Settings!$C$9,MOD(MAX(N(E235),N(F235)),Settings!$C$10)=0),"Round amount | ","")="","",LEFT(IF(K235="No","Does not balance | ","")&amp;IF(I235="","Not approved | ",IF(UPPER(TRIM(H235))=UPPER(TRIM(I235)),"Self-approved | ",""))&amp;IF(J235="","No support | ","")&amp;IF(WEEKDAY(B235,2)&gt;5,"Weekend posting | ","")&amp;IF(COUNTIF(Settings!$A$14:$A$43,B235)&gt;0,"Holiday posting | ","")&amp;IF(B235&gt;Settings!$C$8,"Posted after close | ","")&amp;IF(OR(B235&lt;Settings!$C$6,B235&gt;Settings!$C$7),"Outside period | ","")&amp;IF(COUNTIF(Settings!$E$14:$E$43,C235&amp;"")&gt;0,"Sensitive account | ","")&amp;IF(AND(MAX(N(E235),N(F235))&gt;=Settings!$C$9,MOD(MAX(N(E235),N(F235)),Settings!$C$10)=0),"Round amount | ",""),LEN(IF(K235="No","Does not balance | ","")&amp;IF(I235="","Not approved | ",IF(UPPER(TRIM(H235))=UPPER(TRIM(I235)),"Self-approved | ",""))&amp;IF(J235="","No support | ","")&amp;IF(WEEKDAY(B235,2)&gt;5,"Weekend posting | ","")&amp;IF(COUNTIF(Settings!$A$14:$A$43,B235)&gt;0,"Holiday posting | ","")&amp;IF(B235&gt;Settings!$C$8,"Posted after close | ","")&amp;IF(OR(B235&lt;Settings!$C$6,B235&gt;Settings!$C$7),"Outside period | ","")&amp;IF(COUNTIF(Settings!$E$14:$E$43,C235&amp;"")&gt;0,"Sensitive account | ","")&amp;IF(AND(MAX(N(E235),N(F235))&gt;=Settings!$C$9,MOD(MAX(N(E235),N(F235)),Settings!$C$10)=0),"Round amount | ",""))-3)))</f>
        <v/>
      </c>
      <c r="M235" s="21" t="str">
        <f aca="false">IF(A235="","",IF(COUNTIF($A$9:A235,A235)=1,MAX($M$8:M234)+1,""))</f>
        <v/>
      </c>
    </row>
    <row r="236" customFormat="false" ht="15" hidden="false" customHeight="false" outlineLevel="0" collapsed="false">
      <c r="A236" s="8"/>
      <c r="B236" s="17"/>
      <c r="C236" s="19"/>
      <c r="D236" s="8"/>
      <c r="E236" s="18"/>
      <c r="F236" s="18"/>
      <c r="G236" s="8"/>
      <c r="H236" s="8"/>
      <c r="I236" s="8"/>
      <c r="J236" s="8"/>
      <c r="K236" s="10" t="str">
        <f aca="false">IF(A236="","",IF(ABS(SUMIFS($E$9:$E$2008,$A$9:$A$2008,A236)-SUMIFS($F$9:$F$2008,$A$9:$A$2008,A236))&lt;0.5,"Yes","No"))</f>
        <v/>
      </c>
      <c r="L236" s="10" t="str">
        <f aca="false">IF(A236="","",IF(IF(K236="No","Does not balance | ","")&amp;IF(I236="","Not approved | ",IF(UPPER(TRIM(H236))=UPPER(TRIM(I236)),"Self-approved | ",""))&amp;IF(J236="","No support | ","")&amp;IF(WEEKDAY(B236,2)&gt;5,"Weekend posting | ","")&amp;IF(COUNTIF(Settings!$A$14:$A$43,B236)&gt;0,"Holiday posting | ","")&amp;IF(B236&gt;Settings!$C$8,"Posted after close | ","")&amp;IF(OR(B236&lt;Settings!$C$6,B236&gt;Settings!$C$7),"Outside period | ","")&amp;IF(COUNTIF(Settings!$E$14:$E$43,C236&amp;"")&gt;0,"Sensitive account | ","")&amp;IF(AND(MAX(N(E236),N(F236))&gt;=Settings!$C$9,MOD(MAX(N(E236),N(F236)),Settings!$C$10)=0),"Round amount | ","")="","",LEFT(IF(K236="No","Does not balance | ","")&amp;IF(I236="","Not approved | ",IF(UPPER(TRIM(H236))=UPPER(TRIM(I236)),"Self-approved | ",""))&amp;IF(J236="","No support | ","")&amp;IF(WEEKDAY(B236,2)&gt;5,"Weekend posting | ","")&amp;IF(COUNTIF(Settings!$A$14:$A$43,B236)&gt;0,"Holiday posting | ","")&amp;IF(B236&gt;Settings!$C$8,"Posted after close | ","")&amp;IF(OR(B236&lt;Settings!$C$6,B236&gt;Settings!$C$7),"Outside period | ","")&amp;IF(COUNTIF(Settings!$E$14:$E$43,C236&amp;"")&gt;0,"Sensitive account | ","")&amp;IF(AND(MAX(N(E236),N(F236))&gt;=Settings!$C$9,MOD(MAX(N(E236),N(F236)),Settings!$C$10)=0),"Round amount | ",""),LEN(IF(K236="No","Does not balance | ","")&amp;IF(I236="","Not approved | ",IF(UPPER(TRIM(H236))=UPPER(TRIM(I236)),"Self-approved | ",""))&amp;IF(J236="","No support | ","")&amp;IF(WEEKDAY(B236,2)&gt;5,"Weekend posting | ","")&amp;IF(COUNTIF(Settings!$A$14:$A$43,B236)&gt;0,"Holiday posting | ","")&amp;IF(B236&gt;Settings!$C$8,"Posted after close | ","")&amp;IF(OR(B236&lt;Settings!$C$6,B236&gt;Settings!$C$7),"Outside period | ","")&amp;IF(COUNTIF(Settings!$E$14:$E$43,C236&amp;"")&gt;0,"Sensitive account | ","")&amp;IF(AND(MAX(N(E236),N(F236))&gt;=Settings!$C$9,MOD(MAX(N(E236),N(F236)),Settings!$C$10)=0),"Round amount | ",""))-3)))</f>
        <v/>
      </c>
      <c r="M236" s="21" t="str">
        <f aca="false">IF(A236="","",IF(COUNTIF($A$9:A236,A236)=1,MAX($M$8:M235)+1,""))</f>
        <v/>
      </c>
    </row>
    <row r="237" customFormat="false" ht="15" hidden="false" customHeight="false" outlineLevel="0" collapsed="false">
      <c r="A237" s="8"/>
      <c r="B237" s="17"/>
      <c r="C237" s="19"/>
      <c r="D237" s="8"/>
      <c r="E237" s="18"/>
      <c r="F237" s="18"/>
      <c r="G237" s="8"/>
      <c r="H237" s="8"/>
      <c r="I237" s="8"/>
      <c r="J237" s="8"/>
      <c r="K237" s="10" t="str">
        <f aca="false">IF(A237="","",IF(ABS(SUMIFS($E$9:$E$2008,$A$9:$A$2008,A237)-SUMIFS($F$9:$F$2008,$A$9:$A$2008,A237))&lt;0.5,"Yes","No"))</f>
        <v/>
      </c>
      <c r="L237" s="10" t="str">
        <f aca="false">IF(A237="","",IF(IF(K237="No","Does not balance | ","")&amp;IF(I237="","Not approved | ",IF(UPPER(TRIM(H237))=UPPER(TRIM(I237)),"Self-approved | ",""))&amp;IF(J237="","No support | ","")&amp;IF(WEEKDAY(B237,2)&gt;5,"Weekend posting | ","")&amp;IF(COUNTIF(Settings!$A$14:$A$43,B237)&gt;0,"Holiday posting | ","")&amp;IF(B237&gt;Settings!$C$8,"Posted after close | ","")&amp;IF(OR(B237&lt;Settings!$C$6,B237&gt;Settings!$C$7),"Outside period | ","")&amp;IF(COUNTIF(Settings!$E$14:$E$43,C237&amp;"")&gt;0,"Sensitive account | ","")&amp;IF(AND(MAX(N(E237),N(F237))&gt;=Settings!$C$9,MOD(MAX(N(E237),N(F237)),Settings!$C$10)=0),"Round amount | ","")="","",LEFT(IF(K237="No","Does not balance | ","")&amp;IF(I237="","Not approved | ",IF(UPPER(TRIM(H237))=UPPER(TRIM(I237)),"Self-approved | ",""))&amp;IF(J237="","No support | ","")&amp;IF(WEEKDAY(B237,2)&gt;5,"Weekend posting | ","")&amp;IF(COUNTIF(Settings!$A$14:$A$43,B237)&gt;0,"Holiday posting | ","")&amp;IF(B237&gt;Settings!$C$8,"Posted after close | ","")&amp;IF(OR(B237&lt;Settings!$C$6,B237&gt;Settings!$C$7),"Outside period | ","")&amp;IF(COUNTIF(Settings!$E$14:$E$43,C237&amp;"")&gt;0,"Sensitive account | ","")&amp;IF(AND(MAX(N(E237),N(F237))&gt;=Settings!$C$9,MOD(MAX(N(E237),N(F237)),Settings!$C$10)=0),"Round amount | ",""),LEN(IF(K237="No","Does not balance | ","")&amp;IF(I237="","Not approved | ",IF(UPPER(TRIM(H237))=UPPER(TRIM(I237)),"Self-approved | ",""))&amp;IF(J237="","No support | ","")&amp;IF(WEEKDAY(B237,2)&gt;5,"Weekend posting | ","")&amp;IF(COUNTIF(Settings!$A$14:$A$43,B237)&gt;0,"Holiday posting | ","")&amp;IF(B237&gt;Settings!$C$8,"Posted after close | ","")&amp;IF(OR(B237&lt;Settings!$C$6,B237&gt;Settings!$C$7),"Outside period | ","")&amp;IF(COUNTIF(Settings!$E$14:$E$43,C237&amp;"")&gt;0,"Sensitive account | ","")&amp;IF(AND(MAX(N(E237),N(F237))&gt;=Settings!$C$9,MOD(MAX(N(E237),N(F237)),Settings!$C$10)=0),"Round amount | ",""))-3)))</f>
        <v/>
      </c>
      <c r="M237" s="21" t="str">
        <f aca="false">IF(A237="","",IF(COUNTIF($A$9:A237,A237)=1,MAX($M$8:M236)+1,""))</f>
        <v/>
      </c>
    </row>
    <row r="238" customFormat="false" ht="15" hidden="false" customHeight="false" outlineLevel="0" collapsed="false">
      <c r="A238" s="8"/>
      <c r="B238" s="17"/>
      <c r="C238" s="19"/>
      <c r="D238" s="8"/>
      <c r="E238" s="18"/>
      <c r="F238" s="18"/>
      <c r="G238" s="8"/>
      <c r="H238" s="8"/>
      <c r="I238" s="8"/>
      <c r="J238" s="8"/>
      <c r="K238" s="10" t="str">
        <f aca="false">IF(A238="","",IF(ABS(SUMIFS($E$9:$E$2008,$A$9:$A$2008,A238)-SUMIFS($F$9:$F$2008,$A$9:$A$2008,A238))&lt;0.5,"Yes","No"))</f>
        <v/>
      </c>
      <c r="L238" s="10" t="str">
        <f aca="false">IF(A238="","",IF(IF(K238="No","Does not balance | ","")&amp;IF(I238="","Not approved | ",IF(UPPER(TRIM(H238))=UPPER(TRIM(I238)),"Self-approved | ",""))&amp;IF(J238="","No support | ","")&amp;IF(WEEKDAY(B238,2)&gt;5,"Weekend posting | ","")&amp;IF(COUNTIF(Settings!$A$14:$A$43,B238)&gt;0,"Holiday posting | ","")&amp;IF(B238&gt;Settings!$C$8,"Posted after close | ","")&amp;IF(OR(B238&lt;Settings!$C$6,B238&gt;Settings!$C$7),"Outside period | ","")&amp;IF(COUNTIF(Settings!$E$14:$E$43,C238&amp;"")&gt;0,"Sensitive account | ","")&amp;IF(AND(MAX(N(E238),N(F238))&gt;=Settings!$C$9,MOD(MAX(N(E238),N(F238)),Settings!$C$10)=0),"Round amount | ","")="","",LEFT(IF(K238="No","Does not balance | ","")&amp;IF(I238="","Not approved | ",IF(UPPER(TRIM(H238))=UPPER(TRIM(I238)),"Self-approved | ",""))&amp;IF(J238="","No support | ","")&amp;IF(WEEKDAY(B238,2)&gt;5,"Weekend posting | ","")&amp;IF(COUNTIF(Settings!$A$14:$A$43,B238)&gt;0,"Holiday posting | ","")&amp;IF(B238&gt;Settings!$C$8,"Posted after close | ","")&amp;IF(OR(B238&lt;Settings!$C$6,B238&gt;Settings!$C$7),"Outside period | ","")&amp;IF(COUNTIF(Settings!$E$14:$E$43,C238&amp;"")&gt;0,"Sensitive account | ","")&amp;IF(AND(MAX(N(E238),N(F238))&gt;=Settings!$C$9,MOD(MAX(N(E238),N(F238)),Settings!$C$10)=0),"Round amount | ",""),LEN(IF(K238="No","Does not balance | ","")&amp;IF(I238="","Not approved | ",IF(UPPER(TRIM(H238))=UPPER(TRIM(I238)),"Self-approved | ",""))&amp;IF(J238="","No support | ","")&amp;IF(WEEKDAY(B238,2)&gt;5,"Weekend posting | ","")&amp;IF(COUNTIF(Settings!$A$14:$A$43,B238)&gt;0,"Holiday posting | ","")&amp;IF(B238&gt;Settings!$C$8,"Posted after close | ","")&amp;IF(OR(B238&lt;Settings!$C$6,B238&gt;Settings!$C$7),"Outside period | ","")&amp;IF(COUNTIF(Settings!$E$14:$E$43,C238&amp;"")&gt;0,"Sensitive account | ","")&amp;IF(AND(MAX(N(E238),N(F238))&gt;=Settings!$C$9,MOD(MAX(N(E238),N(F238)),Settings!$C$10)=0),"Round amount | ",""))-3)))</f>
        <v/>
      </c>
      <c r="M238" s="21" t="str">
        <f aca="false">IF(A238="","",IF(COUNTIF($A$9:A238,A238)=1,MAX($M$8:M237)+1,""))</f>
        <v/>
      </c>
    </row>
    <row r="239" customFormat="false" ht="15" hidden="false" customHeight="false" outlineLevel="0" collapsed="false">
      <c r="A239" s="8"/>
      <c r="B239" s="17"/>
      <c r="C239" s="19"/>
      <c r="D239" s="8"/>
      <c r="E239" s="18"/>
      <c r="F239" s="18"/>
      <c r="G239" s="8"/>
      <c r="H239" s="8"/>
      <c r="I239" s="8"/>
      <c r="J239" s="8"/>
      <c r="K239" s="10" t="str">
        <f aca="false">IF(A239="","",IF(ABS(SUMIFS($E$9:$E$2008,$A$9:$A$2008,A239)-SUMIFS($F$9:$F$2008,$A$9:$A$2008,A239))&lt;0.5,"Yes","No"))</f>
        <v/>
      </c>
      <c r="L239" s="10" t="str">
        <f aca="false">IF(A239="","",IF(IF(K239="No","Does not balance | ","")&amp;IF(I239="","Not approved | ",IF(UPPER(TRIM(H239))=UPPER(TRIM(I239)),"Self-approved | ",""))&amp;IF(J239="","No support | ","")&amp;IF(WEEKDAY(B239,2)&gt;5,"Weekend posting | ","")&amp;IF(COUNTIF(Settings!$A$14:$A$43,B239)&gt;0,"Holiday posting | ","")&amp;IF(B239&gt;Settings!$C$8,"Posted after close | ","")&amp;IF(OR(B239&lt;Settings!$C$6,B239&gt;Settings!$C$7),"Outside period | ","")&amp;IF(COUNTIF(Settings!$E$14:$E$43,C239&amp;"")&gt;0,"Sensitive account | ","")&amp;IF(AND(MAX(N(E239),N(F239))&gt;=Settings!$C$9,MOD(MAX(N(E239),N(F239)),Settings!$C$10)=0),"Round amount | ","")="","",LEFT(IF(K239="No","Does not balance | ","")&amp;IF(I239="","Not approved | ",IF(UPPER(TRIM(H239))=UPPER(TRIM(I239)),"Self-approved | ",""))&amp;IF(J239="","No support | ","")&amp;IF(WEEKDAY(B239,2)&gt;5,"Weekend posting | ","")&amp;IF(COUNTIF(Settings!$A$14:$A$43,B239)&gt;0,"Holiday posting | ","")&amp;IF(B239&gt;Settings!$C$8,"Posted after close | ","")&amp;IF(OR(B239&lt;Settings!$C$6,B239&gt;Settings!$C$7),"Outside period | ","")&amp;IF(COUNTIF(Settings!$E$14:$E$43,C239&amp;"")&gt;0,"Sensitive account | ","")&amp;IF(AND(MAX(N(E239),N(F239))&gt;=Settings!$C$9,MOD(MAX(N(E239),N(F239)),Settings!$C$10)=0),"Round amount | ",""),LEN(IF(K239="No","Does not balance | ","")&amp;IF(I239="","Not approved | ",IF(UPPER(TRIM(H239))=UPPER(TRIM(I239)),"Self-approved | ",""))&amp;IF(J239="","No support | ","")&amp;IF(WEEKDAY(B239,2)&gt;5,"Weekend posting | ","")&amp;IF(COUNTIF(Settings!$A$14:$A$43,B239)&gt;0,"Holiday posting | ","")&amp;IF(B239&gt;Settings!$C$8,"Posted after close | ","")&amp;IF(OR(B239&lt;Settings!$C$6,B239&gt;Settings!$C$7),"Outside period | ","")&amp;IF(COUNTIF(Settings!$E$14:$E$43,C239&amp;"")&gt;0,"Sensitive account | ","")&amp;IF(AND(MAX(N(E239),N(F239))&gt;=Settings!$C$9,MOD(MAX(N(E239),N(F239)),Settings!$C$10)=0),"Round amount | ",""))-3)))</f>
        <v/>
      </c>
      <c r="M239" s="21" t="str">
        <f aca="false">IF(A239="","",IF(COUNTIF($A$9:A239,A239)=1,MAX($M$8:M238)+1,""))</f>
        <v/>
      </c>
    </row>
    <row r="240" customFormat="false" ht="15" hidden="false" customHeight="false" outlineLevel="0" collapsed="false">
      <c r="A240" s="8"/>
      <c r="B240" s="17"/>
      <c r="C240" s="19"/>
      <c r="D240" s="8"/>
      <c r="E240" s="18"/>
      <c r="F240" s="18"/>
      <c r="G240" s="8"/>
      <c r="H240" s="8"/>
      <c r="I240" s="8"/>
      <c r="J240" s="8"/>
      <c r="K240" s="10" t="str">
        <f aca="false">IF(A240="","",IF(ABS(SUMIFS($E$9:$E$2008,$A$9:$A$2008,A240)-SUMIFS($F$9:$F$2008,$A$9:$A$2008,A240))&lt;0.5,"Yes","No"))</f>
        <v/>
      </c>
      <c r="L240" s="10" t="str">
        <f aca="false">IF(A240="","",IF(IF(K240="No","Does not balance | ","")&amp;IF(I240="","Not approved | ",IF(UPPER(TRIM(H240))=UPPER(TRIM(I240)),"Self-approved | ",""))&amp;IF(J240="","No support | ","")&amp;IF(WEEKDAY(B240,2)&gt;5,"Weekend posting | ","")&amp;IF(COUNTIF(Settings!$A$14:$A$43,B240)&gt;0,"Holiday posting | ","")&amp;IF(B240&gt;Settings!$C$8,"Posted after close | ","")&amp;IF(OR(B240&lt;Settings!$C$6,B240&gt;Settings!$C$7),"Outside period | ","")&amp;IF(COUNTIF(Settings!$E$14:$E$43,C240&amp;"")&gt;0,"Sensitive account | ","")&amp;IF(AND(MAX(N(E240),N(F240))&gt;=Settings!$C$9,MOD(MAX(N(E240),N(F240)),Settings!$C$10)=0),"Round amount | ","")="","",LEFT(IF(K240="No","Does not balance | ","")&amp;IF(I240="","Not approved | ",IF(UPPER(TRIM(H240))=UPPER(TRIM(I240)),"Self-approved | ",""))&amp;IF(J240="","No support | ","")&amp;IF(WEEKDAY(B240,2)&gt;5,"Weekend posting | ","")&amp;IF(COUNTIF(Settings!$A$14:$A$43,B240)&gt;0,"Holiday posting | ","")&amp;IF(B240&gt;Settings!$C$8,"Posted after close | ","")&amp;IF(OR(B240&lt;Settings!$C$6,B240&gt;Settings!$C$7),"Outside period | ","")&amp;IF(COUNTIF(Settings!$E$14:$E$43,C240&amp;"")&gt;0,"Sensitive account | ","")&amp;IF(AND(MAX(N(E240),N(F240))&gt;=Settings!$C$9,MOD(MAX(N(E240),N(F240)),Settings!$C$10)=0),"Round amount | ",""),LEN(IF(K240="No","Does not balance | ","")&amp;IF(I240="","Not approved | ",IF(UPPER(TRIM(H240))=UPPER(TRIM(I240)),"Self-approved | ",""))&amp;IF(J240="","No support | ","")&amp;IF(WEEKDAY(B240,2)&gt;5,"Weekend posting | ","")&amp;IF(COUNTIF(Settings!$A$14:$A$43,B240)&gt;0,"Holiday posting | ","")&amp;IF(B240&gt;Settings!$C$8,"Posted after close | ","")&amp;IF(OR(B240&lt;Settings!$C$6,B240&gt;Settings!$C$7),"Outside period | ","")&amp;IF(COUNTIF(Settings!$E$14:$E$43,C240&amp;"")&gt;0,"Sensitive account | ","")&amp;IF(AND(MAX(N(E240),N(F240))&gt;=Settings!$C$9,MOD(MAX(N(E240),N(F240)),Settings!$C$10)=0),"Round amount | ",""))-3)))</f>
        <v/>
      </c>
      <c r="M240" s="21" t="str">
        <f aca="false">IF(A240="","",IF(COUNTIF($A$9:A240,A240)=1,MAX($M$8:M239)+1,""))</f>
        <v/>
      </c>
    </row>
    <row r="241" customFormat="false" ht="15" hidden="false" customHeight="false" outlineLevel="0" collapsed="false">
      <c r="A241" s="8"/>
      <c r="B241" s="17"/>
      <c r="C241" s="19"/>
      <c r="D241" s="8"/>
      <c r="E241" s="18"/>
      <c r="F241" s="18"/>
      <c r="G241" s="8"/>
      <c r="H241" s="8"/>
      <c r="I241" s="8"/>
      <c r="J241" s="8"/>
      <c r="K241" s="10" t="str">
        <f aca="false">IF(A241="","",IF(ABS(SUMIFS($E$9:$E$2008,$A$9:$A$2008,A241)-SUMIFS($F$9:$F$2008,$A$9:$A$2008,A241))&lt;0.5,"Yes","No"))</f>
        <v/>
      </c>
      <c r="L241" s="10" t="str">
        <f aca="false">IF(A241="","",IF(IF(K241="No","Does not balance | ","")&amp;IF(I241="","Not approved | ",IF(UPPER(TRIM(H241))=UPPER(TRIM(I241)),"Self-approved | ",""))&amp;IF(J241="","No support | ","")&amp;IF(WEEKDAY(B241,2)&gt;5,"Weekend posting | ","")&amp;IF(COUNTIF(Settings!$A$14:$A$43,B241)&gt;0,"Holiday posting | ","")&amp;IF(B241&gt;Settings!$C$8,"Posted after close | ","")&amp;IF(OR(B241&lt;Settings!$C$6,B241&gt;Settings!$C$7),"Outside period | ","")&amp;IF(COUNTIF(Settings!$E$14:$E$43,C241&amp;"")&gt;0,"Sensitive account | ","")&amp;IF(AND(MAX(N(E241),N(F241))&gt;=Settings!$C$9,MOD(MAX(N(E241),N(F241)),Settings!$C$10)=0),"Round amount | ","")="","",LEFT(IF(K241="No","Does not balance | ","")&amp;IF(I241="","Not approved | ",IF(UPPER(TRIM(H241))=UPPER(TRIM(I241)),"Self-approved | ",""))&amp;IF(J241="","No support | ","")&amp;IF(WEEKDAY(B241,2)&gt;5,"Weekend posting | ","")&amp;IF(COUNTIF(Settings!$A$14:$A$43,B241)&gt;0,"Holiday posting | ","")&amp;IF(B241&gt;Settings!$C$8,"Posted after close | ","")&amp;IF(OR(B241&lt;Settings!$C$6,B241&gt;Settings!$C$7),"Outside period | ","")&amp;IF(COUNTIF(Settings!$E$14:$E$43,C241&amp;"")&gt;0,"Sensitive account | ","")&amp;IF(AND(MAX(N(E241),N(F241))&gt;=Settings!$C$9,MOD(MAX(N(E241),N(F241)),Settings!$C$10)=0),"Round amount | ",""),LEN(IF(K241="No","Does not balance | ","")&amp;IF(I241="","Not approved | ",IF(UPPER(TRIM(H241))=UPPER(TRIM(I241)),"Self-approved | ",""))&amp;IF(J241="","No support | ","")&amp;IF(WEEKDAY(B241,2)&gt;5,"Weekend posting | ","")&amp;IF(COUNTIF(Settings!$A$14:$A$43,B241)&gt;0,"Holiday posting | ","")&amp;IF(B241&gt;Settings!$C$8,"Posted after close | ","")&amp;IF(OR(B241&lt;Settings!$C$6,B241&gt;Settings!$C$7),"Outside period | ","")&amp;IF(COUNTIF(Settings!$E$14:$E$43,C241&amp;"")&gt;0,"Sensitive account | ","")&amp;IF(AND(MAX(N(E241),N(F241))&gt;=Settings!$C$9,MOD(MAX(N(E241),N(F241)),Settings!$C$10)=0),"Round amount | ",""))-3)))</f>
        <v/>
      </c>
      <c r="M241" s="21" t="str">
        <f aca="false">IF(A241="","",IF(COUNTIF($A$9:A241,A241)=1,MAX($M$8:M240)+1,""))</f>
        <v/>
      </c>
    </row>
    <row r="242" customFormat="false" ht="15" hidden="false" customHeight="false" outlineLevel="0" collapsed="false">
      <c r="A242" s="8"/>
      <c r="B242" s="17"/>
      <c r="C242" s="19"/>
      <c r="D242" s="8"/>
      <c r="E242" s="18"/>
      <c r="F242" s="18"/>
      <c r="G242" s="8"/>
      <c r="H242" s="8"/>
      <c r="I242" s="8"/>
      <c r="J242" s="8"/>
      <c r="K242" s="10" t="str">
        <f aca="false">IF(A242="","",IF(ABS(SUMIFS($E$9:$E$2008,$A$9:$A$2008,A242)-SUMIFS($F$9:$F$2008,$A$9:$A$2008,A242))&lt;0.5,"Yes","No"))</f>
        <v/>
      </c>
      <c r="L242" s="10" t="str">
        <f aca="false">IF(A242="","",IF(IF(K242="No","Does not balance | ","")&amp;IF(I242="","Not approved | ",IF(UPPER(TRIM(H242))=UPPER(TRIM(I242)),"Self-approved | ",""))&amp;IF(J242="","No support | ","")&amp;IF(WEEKDAY(B242,2)&gt;5,"Weekend posting | ","")&amp;IF(COUNTIF(Settings!$A$14:$A$43,B242)&gt;0,"Holiday posting | ","")&amp;IF(B242&gt;Settings!$C$8,"Posted after close | ","")&amp;IF(OR(B242&lt;Settings!$C$6,B242&gt;Settings!$C$7),"Outside period | ","")&amp;IF(COUNTIF(Settings!$E$14:$E$43,C242&amp;"")&gt;0,"Sensitive account | ","")&amp;IF(AND(MAX(N(E242),N(F242))&gt;=Settings!$C$9,MOD(MAX(N(E242),N(F242)),Settings!$C$10)=0),"Round amount | ","")="","",LEFT(IF(K242="No","Does not balance | ","")&amp;IF(I242="","Not approved | ",IF(UPPER(TRIM(H242))=UPPER(TRIM(I242)),"Self-approved | ",""))&amp;IF(J242="","No support | ","")&amp;IF(WEEKDAY(B242,2)&gt;5,"Weekend posting | ","")&amp;IF(COUNTIF(Settings!$A$14:$A$43,B242)&gt;0,"Holiday posting | ","")&amp;IF(B242&gt;Settings!$C$8,"Posted after close | ","")&amp;IF(OR(B242&lt;Settings!$C$6,B242&gt;Settings!$C$7),"Outside period | ","")&amp;IF(COUNTIF(Settings!$E$14:$E$43,C242&amp;"")&gt;0,"Sensitive account | ","")&amp;IF(AND(MAX(N(E242),N(F242))&gt;=Settings!$C$9,MOD(MAX(N(E242),N(F242)),Settings!$C$10)=0),"Round amount | ",""),LEN(IF(K242="No","Does not balance | ","")&amp;IF(I242="","Not approved | ",IF(UPPER(TRIM(H242))=UPPER(TRIM(I242)),"Self-approved | ",""))&amp;IF(J242="","No support | ","")&amp;IF(WEEKDAY(B242,2)&gt;5,"Weekend posting | ","")&amp;IF(COUNTIF(Settings!$A$14:$A$43,B242)&gt;0,"Holiday posting | ","")&amp;IF(B242&gt;Settings!$C$8,"Posted after close | ","")&amp;IF(OR(B242&lt;Settings!$C$6,B242&gt;Settings!$C$7),"Outside period | ","")&amp;IF(COUNTIF(Settings!$E$14:$E$43,C242&amp;"")&gt;0,"Sensitive account | ","")&amp;IF(AND(MAX(N(E242),N(F242))&gt;=Settings!$C$9,MOD(MAX(N(E242),N(F242)),Settings!$C$10)=0),"Round amount | ",""))-3)))</f>
        <v/>
      </c>
      <c r="M242" s="21" t="str">
        <f aca="false">IF(A242="","",IF(COUNTIF($A$9:A242,A242)=1,MAX($M$8:M241)+1,""))</f>
        <v/>
      </c>
    </row>
    <row r="243" customFormat="false" ht="15" hidden="false" customHeight="false" outlineLevel="0" collapsed="false">
      <c r="A243" s="8"/>
      <c r="B243" s="17"/>
      <c r="C243" s="19"/>
      <c r="D243" s="8"/>
      <c r="E243" s="18"/>
      <c r="F243" s="18"/>
      <c r="G243" s="8"/>
      <c r="H243" s="8"/>
      <c r="I243" s="8"/>
      <c r="J243" s="8"/>
      <c r="K243" s="10" t="str">
        <f aca="false">IF(A243="","",IF(ABS(SUMIFS($E$9:$E$2008,$A$9:$A$2008,A243)-SUMIFS($F$9:$F$2008,$A$9:$A$2008,A243))&lt;0.5,"Yes","No"))</f>
        <v/>
      </c>
      <c r="L243" s="10" t="str">
        <f aca="false">IF(A243="","",IF(IF(K243="No","Does not balance | ","")&amp;IF(I243="","Not approved | ",IF(UPPER(TRIM(H243))=UPPER(TRIM(I243)),"Self-approved | ",""))&amp;IF(J243="","No support | ","")&amp;IF(WEEKDAY(B243,2)&gt;5,"Weekend posting | ","")&amp;IF(COUNTIF(Settings!$A$14:$A$43,B243)&gt;0,"Holiday posting | ","")&amp;IF(B243&gt;Settings!$C$8,"Posted after close | ","")&amp;IF(OR(B243&lt;Settings!$C$6,B243&gt;Settings!$C$7),"Outside period | ","")&amp;IF(COUNTIF(Settings!$E$14:$E$43,C243&amp;"")&gt;0,"Sensitive account | ","")&amp;IF(AND(MAX(N(E243),N(F243))&gt;=Settings!$C$9,MOD(MAX(N(E243),N(F243)),Settings!$C$10)=0),"Round amount | ","")="","",LEFT(IF(K243="No","Does not balance | ","")&amp;IF(I243="","Not approved | ",IF(UPPER(TRIM(H243))=UPPER(TRIM(I243)),"Self-approved | ",""))&amp;IF(J243="","No support | ","")&amp;IF(WEEKDAY(B243,2)&gt;5,"Weekend posting | ","")&amp;IF(COUNTIF(Settings!$A$14:$A$43,B243)&gt;0,"Holiday posting | ","")&amp;IF(B243&gt;Settings!$C$8,"Posted after close | ","")&amp;IF(OR(B243&lt;Settings!$C$6,B243&gt;Settings!$C$7),"Outside period | ","")&amp;IF(COUNTIF(Settings!$E$14:$E$43,C243&amp;"")&gt;0,"Sensitive account | ","")&amp;IF(AND(MAX(N(E243),N(F243))&gt;=Settings!$C$9,MOD(MAX(N(E243),N(F243)),Settings!$C$10)=0),"Round amount | ",""),LEN(IF(K243="No","Does not balance | ","")&amp;IF(I243="","Not approved | ",IF(UPPER(TRIM(H243))=UPPER(TRIM(I243)),"Self-approved | ",""))&amp;IF(J243="","No support | ","")&amp;IF(WEEKDAY(B243,2)&gt;5,"Weekend posting | ","")&amp;IF(COUNTIF(Settings!$A$14:$A$43,B243)&gt;0,"Holiday posting | ","")&amp;IF(B243&gt;Settings!$C$8,"Posted after close | ","")&amp;IF(OR(B243&lt;Settings!$C$6,B243&gt;Settings!$C$7),"Outside period | ","")&amp;IF(COUNTIF(Settings!$E$14:$E$43,C243&amp;"")&gt;0,"Sensitive account | ","")&amp;IF(AND(MAX(N(E243),N(F243))&gt;=Settings!$C$9,MOD(MAX(N(E243),N(F243)),Settings!$C$10)=0),"Round amount | ",""))-3)))</f>
        <v/>
      </c>
      <c r="M243" s="21" t="str">
        <f aca="false">IF(A243="","",IF(COUNTIF($A$9:A243,A243)=1,MAX($M$8:M242)+1,""))</f>
        <v/>
      </c>
    </row>
    <row r="244" customFormat="false" ht="15" hidden="false" customHeight="false" outlineLevel="0" collapsed="false">
      <c r="A244" s="8"/>
      <c r="B244" s="17"/>
      <c r="C244" s="19"/>
      <c r="D244" s="8"/>
      <c r="E244" s="18"/>
      <c r="F244" s="18"/>
      <c r="G244" s="8"/>
      <c r="H244" s="8"/>
      <c r="I244" s="8"/>
      <c r="J244" s="8"/>
      <c r="K244" s="10" t="str">
        <f aca="false">IF(A244="","",IF(ABS(SUMIFS($E$9:$E$2008,$A$9:$A$2008,A244)-SUMIFS($F$9:$F$2008,$A$9:$A$2008,A244))&lt;0.5,"Yes","No"))</f>
        <v/>
      </c>
      <c r="L244" s="10" t="str">
        <f aca="false">IF(A244="","",IF(IF(K244="No","Does not balance | ","")&amp;IF(I244="","Not approved | ",IF(UPPER(TRIM(H244))=UPPER(TRIM(I244)),"Self-approved | ",""))&amp;IF(J244="","No support | ","")&amp;IF(WEEKDAY(B244,2)&gt;5,"Weekend posting | ","")&amp;IF(COUNTIF(Settings!$A$14:$A$43,B244)&gt;0,"Holiday posting | ","")&amp;IF(B244&gt;Settings!$C$8,"Posted after close | ","")&amp;IF(OR(B244&lt;Settings!$C$6,B244&gt;Settings!$C$7),"Outside period | ","")&amp;IF(COUNTIF(Settings!$E$14:$E$43,C244&amp;"")&gt;0,"Sensitive account | ","")&amp;IF(AND(MAX(N(E244),N(F244))&gt;=Settings!$C$9,MOD(MAX(N(E244),N(F244)),Settings!$C$10)=0),"Round amount | ","")="","",LEFT(IF(K244="No","Does not balance | ","")&amp;IF(I244="","Not approved | ",IF(UPPER(TRIM(H244))=UPPER(TRIM(I244)),"Self-approved | ",""))&amp;IF(J244="","No support | ","")&amp;IF(WEEKDAY(B244,2)&gt;5,"Weekend posting | ","")&amp;IF(COUNTIF(Settings!$A$14:$A$43,B244)&gt;0,"Holiday posting | ","")&amp;IF(B244&gt;Settings!$C$8,"Posted after close | ","")&amp;IF(OR(B244&lt;Settings!$C$6,B244&gt;Settings!$C$7),"Outside period | ","")&amp;IF(COUNTIF(Settings!$E$14:$E$43,C244&amp;"")&gt;0,"Sensitive account | ","")&amp;IF(AND(MAX(N(E244),N(F244))&gt;=Settings!$C$9,MOD(MAX(N(E244),N(F244)),Settings!$C$10)=0),"Round amount | ",""),LEN(IF(K244="No","Does not balance | ","")&amp;IF(I244="","Not approved | ",IF(UPPER(TRIM(H244))=UPPER(TRIM(I244)),"Self-approved | ",""))&amp;IF(J244="","No support | ","")&amp;IF(WEEKDAY(B244,2)&gt;5,"Weekend posting | ","")&amp;IF(COUNTIF(Settings!$A$14:$A$43,B244)&gt;0,"Holiday posting | ","")&amp;IF(B244&gt;Settings!$C$8,"Posted after close | ","")&amp;IF(OR(B244&lt;Settings!$C$6,B244&gt;Settings!$C$7),"Outside period | ","")&amp;IF(COUNTIF(Settings!$E$14:$E$43,C244&amp;"")&gt;0,"Sensitive account | ","")&amp;IF(AND(MAX(N(E244),N(F244))&gt;=Settings!$C$9,MOD(MAX(N(E244),N(F244)),Settings!$C$10)=0),"Round amount | ",""))-3)))</f>
        <v/>
      </c>
      <c r="M244" s="21" t="str">
        <f aca="false">IF(A244="","",IF(COUNTIF($A$9:A244,A244)=1,MAX($M$8:M243)+1,""))</f>
        <v/>
      </c>
    </row>
    <row r="245" customFormat="false" ht="15" hidden="false" customHeight="false" outlineLevel="0" collapsed="false">
      <c r="A245" s="8"/>
      <c r="B245" s="17"/>
      <c r="C245" s="19"/>
      <c r="D245" s="8"/>
      <c r="E245" s="18"/>
      <c r="F245" s="18"/>
      <c r="G245" s="8"/>
      <c r="H245" s="8"/>
      <c r="I245" s="8"/>
      <c r="J245" s="8"/>
      <c r="K245" s="10" t="str">
        <f aca="false">IF(A245="","",IF(ABS(SUMIFS($E$9:$E$2008,$A$9:$A$2008,A245)-SUMIFS($F$9:$F$2008,$A$9:$A$2008,A245))&lt;0.5,"Yes","No"))</f>
        <v/>
      </c>
      <c r="L245" s="10" t="str">
        <f aca="false">IF(A245="","",IF(IF(K245="No","Does not balance | ","")&amp;IF(I245="","Not approved | ",IF(UPPER(TRIM(H245))=UPPER(TRIM(I245)),"Self-approved | ",""))&amp;IF(J245="","No support | ","")&amp;IF(WEEKDAY(B245,2)&gt;5,"Weekend posting | ","")&amp;IF(COUNTIF(Settings!$A$14:$A$43,B245)&gt;0,"Holiday posting | ","")&amp;IF(B245&gt;Settings!$C$8,"Posted after close | ","")&amp;IF(OR(B245&lt;Settings!$C$6,B245&gt;Settings!$C$7),"Outside period | ","")&amp;IF(COUNTIF(Settings!$E$14:$E$43,C245&amp;"")&gt;0,"Sensitive account | ","")&amp;IF(AND(MAX(N(E245),N(F245))&gt;=Settings!$C$9,MOD(MAX(N(E245),N(F245)),Settings!$C$10)=0),"Round amount | ","")="","",LEFT(IF(K245="No","Does not balance | ","")&amp;IF(I245="","Not approved | ",IF(UPPER(TRIM(H245))=UPPER(TRIM(I245)),"Self-approved | ",""))&amp;IF(J245="","No support | ","")&amp;IF(WEEKDAY(B245,2)&gt;5,"Weekend posting | ","")&amp;IF(COUNTIF(Settings!$A$14:$A$43,B245)&gt;0,"Holiday posting | ","")&amp;IF(B245&gt;Settings!$C$8,"Posted after close | ","")&amp;IF(OR(B245&lt;Settings!$C$6,B245&gt;Settings!$C$7),"Outside period | ","")&amp;IF(COUNTIF(Settings!$E$14:$E$43,C245&amp;"")&gt;0,"Sensitive account | ","")&amp;IF(AND(MAX(N(E245),N(F245))&gt;=Settings!$C$9,MOD(MAX(N(E245),N(F245)),Settings!$C$10)=0),"Round amount | ",""),LEN(IF(K245="No","Does not balance | ","")&amp;IF(I245="","Not approved | ",IF(UPPER(TRIM(H245))=UPPER(TRIM(I245)),"Self-approved | ",""))&amp;IF(J245="","No support | ","")&amp;IF(WEEKDAY(B245,2)&gt;5,"Weekend posting | ","")&amp;IF(COUNTIF(Settings!$A$14:$A$43,B245)&gt;0,"Holiday posting | ","")&amp;IF(B245&gt;Settings!$C$8,"Posted after close | ","")&amp;IF(OR(B245&lt;Settings!$C$6,B245&gt;Settings!$C$7),"Outside period | ","")&amp;IF(COUNTIF(Settings!$E$14:$E$43,C245&amp;"")&gt;0,"Sensitive account | ","")&amp;IF(AND(MAX(N(E245),N(F245))&gt;=Settings!$C$9,MOD(MAX(N(E245),N(F245)),Settings!$C$10)=0),"Round amount | ",""))-3)))</f>
        <v/>
      </c>
      <c r="M245" s="21" t="str">
        <f aca="false">IF(A245="","",IF(COUNTIF($A$9:A245,A245)=1,MAX($M$8:M244)+1,""))</f>
        <v/>
      </c>
    </row>
    <row r="246" customFormat="false" ht="15" hidden="false" customHeight="false" outlineLevel="0" collapsed="false">
      <c r="A246" s="8"/>
      <c r="B246" s="17"/>
      <c r="C246" s="19"/>
      <c r="D246" s="8"/>
      <c r="E246" s="18"/>
      <c r="F246" s="18"/>
      <c r="G246" s="8"/>
      <c r="H246" s="8"/>
      <c r="I246" s="8"/>
      <c r="J246" s="8"/>
      <c r="K246" s="10" t="str">
        <f aca="false">IF(A246="","",IF(ABS(SUMIFS($E$9:$E$2008,$A$9:$A$2008,A246)-SUMIFS($F$9:$F$2008,$A$9:$A$2008,A246))&lt;0.5,"Yes","No"))</f>
        <v/>
      </c>
      <c r="L246" s="10" t="str">
        <f aca="false">IF(A246="","",IF(IF(K246="No","Does not balance | ","")&amp;IF(I246="","Not approved | ",IF(UPPER(TRIM(H246))=UPPER(TRIM(I246)),"Self-approved | ",""))&amp;IF(J246="","No support | ","")&amp;IF(WEEKDAY(B246,2)&gt;5,"Weekend posting | ","")&amp;IF(COUNTIF(Settings!$A$14:$A$43,B246)&gt;0,"Holiday posting | ","")&amp;IF(B246&gt;Settings!$C$8,"Posted after close | ","")&amp;IF(OR(B246&lt;Settings!$C$6,B246&gt;Settings!$C$7),"Outside period | ","")&amp;IF(COUNTIF(Settings!$E$14:$E$43,C246&amp;"")&gt;0,"Sensitive account | ","")&amp;IF(AND(MAX(N(E246),N(F246))&gt;=Settings!$C$9,MOD(MAX(N(E246),N(F246)),Settings!$C$10)=0),"Round amount | ","")="","",LEFT(IF(K246="No","Does not balance | ","")&amp;IF(I246="","Not approved | ",IF(UPPER(TRIM(H246))=UPPER(TRIM(I246)),"Self-approved | ",""))&amp;IF(J246="","No support | ","")&amp;IF(WEEKDAY(B246,2)&gt;5,"Weekend posting | ","")&amp;IF(COUNTIF(Settings!$A$14:$A$43,B246)&gt;0,"Holiday posting | ","")&amp;IF(B246&gt;Settings!$C$8,"Posted after close | ","")&amp;IF(OR(B246&lt;Settings!$C$6,B246&gt;Settings!$C$7),"Outside period | ","")&amp;IF(COUNTIF(Settings!$E$14:$E$43,C246&amp;"")&gt;0,"Sensitive account | ","")&amp;IF(AND(MAX(N(E246),N(F246))&gt;=Settings!$C$9,MOD(MAX(N(E246),N(F246)),Settings!$C$10)=0),"Round amount | ",""),LEN(IF(K246="No","Does not balance | ","")&amp;IF(I246="","Not approved | ",IF(UPPER(TRIM(H246))=UPPER(TRIM(I246)),"Self-approved | ",""))&amp;IF(J246="","No support | ","")&amp;IF(WEEKDAY(B246,2)&gt;5,"Weekend posting | ","")&amp;IF(COUNTIF(Settings!$A$14:$A$43,B246)&gt;0,"Holiday posting | ","")&amp;IF(B246&gt;Settings!$C$8,"Posted after close | ","")&amp;IF(OR(B246&lt;Settings!$C$6,B246&gt;Settings!$C$7),"Outside period | ","")&amp;IF(COUNTIF(Settings!$E$14:$E$43,C246&amp;"")&gt;0,"Sensitive account | ","")&amp;IF(AND(MAX(N(E246),N(F246))&gt;=Settings!$C$9,MOD(MAX(N(E246),N(F246)),Settings!$C$10)=0),"Round amount | ",""))-3)))</f>
        <v/>
      </c>
      <c r="M246" s="21" t="str">
        <f aca="false">IF(A246="","",IF(COUNTIF($A$9:A246,A246)=1,MAX($M$8:M245)+1,""))</f>
        <v/>
      </c>
    </row>
    <row r="247" customFormat="false" ht="15" hidden="false" customHeight="false" outlineLevel="0" collapsed="false">
      <c r="A247" s="8"/>
      <c r="B247" s="17"/>
      <c r="C247" s="19"/>
      <c r="D247" s="8"/>
      <c r="E247" s="18"/>
      <c r="F247" s="18"/>
      <c r="G247" s="8"/>
      <c r="H247" s="8"/>
      <c r="I247" s="8"/>
      <c r="J247" s="8"/>
      <c r="K247" s="10" t="str">
        <f aca="false">IF(A247="","",IF(ABS(SUMIFS($E$9:$E$2008,$A$9:$A$2008,A247)-SUMIFS($F$9:$F$2008,$A$9:$A$2008,A247))&lt;0.5,"Yes","No"))</f>
        <v/>
      </c>
      <c r="L247" s="10" t="str">
        <f aca="false">IF(A247="","",IF(IF(K247="No","Does not balance | ","")&amp;IF(I247="","Not approved | ",IF(UPPER(TRIM(H247))=UPPER(TRIM(I247)),"Self-approved | ",""))&amp;IF(J247="","No support | ","")&amp;IF(WEEKDAY(B247,2)&gt;5,"Weekend posting | ","")&amp;IF(COUNTIF(Settings!$A$14:$A$43,B247)&gt;0,"Holiday posting | ","")&amp;IF(B247&gt;Settings!$C$8,"Posted after close | ","")&amp;IF(OR(B247&lt;Settings!$C$6,B247&gt;Settings!$C$7),"Outside period | ","")&amp;IF(COUNTIF(Settings!$E$14:$E$43,C247&amp;"")&gt;0,"Sensitive account | ","")&amp;IF(AND(MAX(N(E247),N(F247))&gt;=Settings!$C$9,MOD(MAX(N(E247),N(F247)),Settings!$C$10)=0),"Round amount | ","")="","",LEFT(IF(K247="No","Does not balance | ","")&amp;IF(I247="","Not approved | ",IF(UPPER(TRIM(H247))=UPPER(TRIM(I247)),"Self-approved | ",""))&amp;IF(J247="","No support | ","")&amp;IF(WEEKDAY(B247,2)&gt;5,"Weekend posting | ","")&amp;IF(COUNTIF(Settings!$A$14:$A$43,B247)&gt;0,"Holiday posting | ","")&amp;IF(B247&gt;Settings!$C$8,"Posted after close | ","")&amp;IF(OR(B247&lt;Settings!$C$6,B247&gt;Settings!$C$7),"Outside period | ","")&amp;IF(COUNTIF(Settings!$E$14:$E$43,C247&amp;"")&gt;0,"Sensitive account | ","")&amp;IF(AND(MAX(N(E247),N(F247))&gt;=Settings!$C$9,MOD(MAX(N(E247),N(F247)),Settings!$C$10)=0),"Round amount | ",""),LEN(IF(K247="No","Does not balance | ","")&amp;IF(I247="","Not approved | ",IF(UPPER(TRIM(H247))=UPPER(TRIM(I247)),"Self-approved | ",""))&amp;IF(J247="","No support | ","")&amp;IF(WEEKDAY(B247,2)&gt;5,"Weekend posting | ","")&amp;IF(COUNTIF(Settings!$A$14:$A$43,B247)&gt;0,"Holiday posting | ","")&amp;IF(B247&gt;Settings!$C$8,"Posted after close | ","")&amp;IF(OR(B247&lt;Settings!$C$6,B247&gt;Settings!$C$7),"Outside period | ","")&amp;IF(COUNTIF(Settings!$E$14:$E$43,C247&amp;"")&gt;0,"Sensitive account | ","")&amp;IF(AND(MAX(N(E247),N(F247))&gt;=Settings!$C$9,MOD(MAX(N(E247),N(F247)),Settings!$C$10)=0),"Round amount | ",""))-3)))</f>
        <v/>
      </c>
      <c r="M247" s="21" t="str">
        <f aca="false">IF(A247="","",IF(COUNTIF($A$9:A247,A247)=1,MAX($M$8:M246)+1,""))</f>
        <v/>
      </c>
    </row>
    <row r="248" customFormat="false" ht="15" hidden="false" customHeight="false" outlineLevel="0" collapsed="false">
      <c r="A248" s="8"/>
      <c r="B248" s="17"/>
      <c r="C248" s="19"/>
      <c r="D248" s="8"/>
      <c r="E248" s="18"/>
      <c r="F248" s="18"/>
      <c r="G248" s="8"/>
      <c r="H248" s="8"/>
      <c r="I248" s="8"/>
      <c r="J248" s="8"/>
      <c r="K248" s="10" t="str">
        <f aca="false">IF(A248="","",IF(ABS(SUMIFS($E$9:$E$2008,$A$9:$A$2008,A248)-SUMIFS($F$9:$F$2008,$A$9:$A$2008,A248))&lt;0.5,"Yes","No"))</f>
        <v/>
      </c>
      <c r="L248" s="10" t="str">
        <f aca="false">IF(A248="","",IF(IF(K248="No","Does not balance | ","")&amp;IF(I248="","Not approved | ",IF(UPPER(TRIM(H248))=UPPER(TRIM(I248)),"Self-approved | ",""))&amp;IF(J248="","No support | ","")&amp;IF(WEEKDAY(B248,2)&gt;5,"Weekend posting | ","")&amp;IF(COUNTIF(Settings!$A$14:$A$43,B248)&gt;0,"Holiday posting | ","")&amp;IF(B248&gt;Settings!$C$8,"Posted after close | ","")&amp;IF(OR(B248&lt;Settings!$C$6,B248&gt;Settings!$C$7),"Outside period | ","")&amp;IF(COUNTIF(Settings!$E$14:$E$43,C248&amp;"")&gt;0,"Sensitive account | ","")&amp;IF(AND(MAX(N(E248),N(F248))&gt;=Settings!$C$9,MOD(MAX(N(E248),N(F248)),Settings!$C$10)=0),"Round amount | ","")="","",LEFT(IF(K248="No","Does not balance | ","")&amp;IF(I248="","Not approved | ",IF(UPPER(TRIM(H248))=UPPER(TRIM(I248)),"Self-approved | ",""))&amp;IF(J248="","No support | ","")&amp;IF(WEEKDAY(B248,2)&gt;5,"Weekend posting | ","")&amp;IF(COUNTIF(Settings!$A$14:$A$43,B248)&gt;0,"Holiday posting | ","")&amp;IF(B248&gt;Settings!$C$8,"Posted after close | ","")&amp;IF(OR(B248&lt;Settings!$C$6,B248&gt;Settings!$C$7),"Outside period | ","")&amp;IF(COUNTIF(Settings!$E$14:$E$43,C248&amp;"")&gt;0,"Sensitive account | ","")&amp;IF(AND(MAX(N(E248),N(F248))&gt;=Settings!$C$9,MOD(MAX(N(E248),N(F248)),Settings!$C$10)=0),"Round amount | ",""),LEN(IF(K248="No","Does not balance | ","")&amp;IF(I248="","Not approved | ",IF(UPPER(TRIM(H248))=UPPER(TRIM(I248)),"Self-approved | ",""))&amp;IF(J248="","No support | ","")&amp;IF(WEEKDAY(B248,2)&gt;5,"Weekend posting | ","")&amp;IF(COUNTIF(Settings!$A$14:$A$43,B248)&gt;0,"Holiday posting | ","")&amp;IF(B248&gt;Settings!$C$8,"Posted after close | ","")&amp;IF(OR(B248&lt;Settings!$C$6,B248&gt;Settings!$C$7),"Outside period | ","")&amp;IF(COUNTIF(Settings!$E$14:$E$43,C248&amp;"")&gt;0,"Sensitive account | ","")&amp;IF(AND(MAX(N(E248),N(F248))&gt;=Settings!$C$9,MOD(MAX(N(E248),N(F248)),Settings!$C$10)=0),"Round amount | ",""))-3)))</f>
        <v/>
      </c>
      <c r="M248" s="21" t="str">
        <f aca="false">IF(A248="","",IF(COUNTIF($A$9:A248,A248)=1,MAX($M$8:M247)+1,""))</f>
        <v/>
      </c>
    </row>
    <row r="249" customFormat="false" ht="15" hidden="false" customHeight="false" outlineLevel="0" collapsed="false">
      <c r="A249" s="8"/>
      <c r="B249" s="17"/>
      <c r="C249" s="19"/>
      <c r="D249" s="8"/>
      <c r="E249" s="18"/>
      <c r="F249" s="18"/>
      <c r="G249" s="8"/>
      <c r="H249" s="8"/>
      <c r="I249" s="8"/>
      <c r="J249" s="8"/>
      <c r="K249" s="10" t="str">
        <f aca="false">IF(A249="","",IF(ABS(SUMIFS($E$9:$E$2008,$A$9:$A$2008,A249)-SUMIFS($F$9:$F$2008,$A$9:$A$2008,A249))&lt;0.5,"Yes","No"))</f>
        <v/>
      </c>
      <c r="L249" s="10" t="str">
        <f aca="false">IF(A249="","",IF(IF(K249="No","Does not balance | ","")&amp;IF(I249="","Not approved | ",IF(UPPER(TRIM(H249))=UPPER(TRIM(I249)),"Self-approved | ",""))&amp;IF(J249="","No support | ","")&amp;IF(WEEKDAY(B249,2)&gt;5,"Weekend posting | ","")&amp;IF(COUNTIF(Settings!$A$14:$A$43,B249)&gt;0,"Holiday posting | ","")&amp;IF(B249&gt;Settings!$C$8,"Posted after close | ","")&amp;IF(OR(B249&lt;Settings!$C$6,B249&gt;Settings!$C$7),"Outside period | ","")&amp;IF(COUNTIF(Settings!$E$14:$E$43,C249&amp;"")&gt;0,"Sensitive account | ","")&amp;IF(AND(MAX(N(E249),N(F249))&gt;=Settings!$C$9,MOD(MAX(N(E249),N(F249)),Settings!$C$10)=0),"Round amount | ","")="","",LEFT(IF(K249="No","Does not balance | ","")&amp;IF(I249="","Not approved | ",IF(UPPER(TRIM(H249))=UPPER(TRIM(I249)),"Self-approved | ",""))&amp;IF(J249="","No support | ","")&amp;IF(WEEKDAY(B249,2)&gt;5,"Weekend posting | ","")&amp;IF(COUNTIF(Settings!$A$14:$A$43,B249)&gt;0,"Holiday posting | ","")&amp;IF(B249&gt;Settings!$C$8,"Posted after close | ","")&amp;IF(OR(B249&lt;Settings!$C$6,B249&gt;Settings!$C$7),"Outside period | ","")&amp;IF(COUNTIF(Settings!$E$14:$E$43,C249&amp;"")&gt;0,"Sensitive account | ","")&amp;IF(AND(MAX(N(E249),N(F249))&gt;=Settings!$C$9,MOD(MAX(N(E249),N(F249)),Settings!$C$10)=0),"Round amount | ",""),LEN(IF(K249="No","Does not balance | ","")&amp;IF(I249="","Not approved | ",IF(UPPER(TRIM(H249))=UPPER(TRIM(I249)),"Self-approved | ",""))&amp;IF(J249="","No support | ","")&amp;IF(WEEKDAY(B249,2)&gt;5,"Weekend posting | ","")&amp;IF(COUNTIF(Settings!$A$14:$A$43,B249)&gt;0,"Holiday posting | ","")&amp;IF(B249&gt;Settings!$C$8,"Posted after close | ","")&amp;IF(OR(B249&lt;Settings!$C$6,B249&gt;Settings!$C$7),"Outside period | ","")&amp;IF(COUNTIF(Settings!$E$14:$E$43,C249&amp;"")&gt;0,"Sensitive account | ","")&amp;IF(AND(MAX(N(E249),N(F249))&gt;=Settings!$C$9,MOD(MAX(N(E249),N(F249)),Settings!$C$10)=0),"Round amount | ",""))-3)))</f>
        <v/>
      </c>
      <c r="M249" s="21" t="str">
        <f aca="false">IF(A249="","",IF(COUNTIF($A$9:A249,A249)=1,MAX($M$8:M248)+1,""))</f>
        <v/>
      </c>
    </row>
    <row r="250" customFormat="false" ht="15" hidden="false" customHeight="false" outlineLevel="0" collapsed="false">
      <c r="A250" s="8"/>
      <c r="B250" s="17"/>
      <c r="C250" s="19"/>
      <c r="D250" s="8"/>
      <c r="E250" s="18"/>
      <c r="F250" s="18"/>
      <c r="G250" s="8"/>
      <c r="H250" s="8"/>
      <c r="I250" s="8"/>
      <c r="J250" s="8"/>
      <c r="K250" s="10" t="str">
        <f aca="false">IF(A250="","",IF(ABS(SUMIFS($E$9:$E$2008,$A$9:$A$2008,A250)-SUMIFS($F$9:$F$2008,$A$9:$A$2008,A250))&lt;0.5,"Yes","No"))</f>
        <v/>
      </c>
      <c r="L250" s="10" t="str">
        <f aca="false">IF(A250="","",IF(IF(K250="No","Does not balance | ","")&amp;IF(I250="","Not approved | ",IF(UPPER(TRIM(H250))=UPPER(TRIM(I250)),"Self-approved | ",""))&amp;IF(J250="","No support | ","")&amp;IF(WEEKDAY(B250,2)&gt;5,"Weekend posting | ","")&amp;IF(COUNTIF(Settings!$A$14:$A$43,B250)&gt;0,"Holiday posting | ","")&amp;IF(B250&gt;Settings!$C$8,"Posted after close | ","")&amp;IF(OR(B250&lt;Settings!$C$6,B250&gt;Settings!$C$7),"Outside period | ","")&amp;IF(COUNTIF(Settings!$E$14:$E$43,C250&amp;"")&gt;0,"Sensitive account | ","")&amp;IF(AND(MAX(N(E250),N(F250))&gt;=Settings!$C$9,MOD(MAX(N(E250),N(F250)),Settings!$C$10)=0),"Round amount | ","")="","",LEFT(IF(K250="No","Does not balance | ","")&amp;IF(I250="","Not approved | ",IF(UPPER(TRIM(H250))=UPPER(TRIM(I250)),"Self-approved | ",""))&amp;IF(J250="","No support | ","")&amp;IF(WEEKDAY(B250,2)&gt;5,"Weekend posting | ","")&amp;IF(COUNTIF(Settings!$A$14:$A$43,B250)&gt;0,"Holiday posting | ","")&amp;IF(B250&gt;Settings!$C$8,"Posted after close | ","")&amp;IF(OR(B250&lt;Settings!$C$6,B250&gt;Settings!$C$7),"Outside period | ","")&amp;IF(COUNTIF(Settings!$E$14:$E$43,C250&amp;"")&gt;0,"Sensitive account | ","")&amp;IF(AND(MAX(N(E250),N(F250))&gt;=Settings!$C$9,MOD(MAX(N(E250),N(F250)),Settings!$C$10)=0),"Round amount | ",""),LEN(IF(K250="No","Does not balance | ","")&amp;IF(I250="","Not approved | ",IF(UPPER(TRIM(H250))=UPPER(TRIM(I250)),"Self-approved | ",""))&amp;IF(J250="","No support | ","")&amp;IF(WEEKDAY(B250,2)&gt;5,"Weekend posting | ","")&amp;IF(COUNTIF(Settings!$A$14:$A$43,B250)&gt;0,"Holiday posting | ","")&amp;IF(B250&gt;Settings!$C$8,"Posted after close | ","")&amp;IF(OR(B250&lt;Settings!$C$6,B250&gt;Settings!$C$7),"Outside period | ","")&amp;IF(COUNTIF(Settings!$E$14:$E$43,C250&amp;"")&gt;0,"Sensitive account | ","")&amp;IF(AND(MAX(N(E250),N(F250))&gt;=Settings!$C$9,MOD(MAX(N(E250),N(F250)),Settings!$C$10)=0),"Round amount | ",""))-3)))</f>
        <v/>
      </c>
      <c r="M250" s="21" t="str">
        <f aca="false">IF(A250="","",IF(COUNTIF($A$9:A250,A250)=1,MAX($M$8:M249)+1,""))</f>
        <v/>
      </c>
    </row>
    <row r="251" customFormat="false" ht="15" hidden="false" customHeight="false" outlineLevel="0" collapsed="false">
      <c r="A251" s="8"/>
      <c r="B251" s="17"/>
      <c r="C251" s="19"/>
      <c r="D251" s="8"/>
      <c r="E251" s="18"/>
      <c r="F251" s="18"/>
      <c r="G251" s="8"/>
      <c r="H251" s="8"/>
      <c r="I251" s="8"/>
      <c r="J251" s="8"/>
      <c r="K251" s="10" t="str">
        <f aca="false">IF(A251="","",IF(ABS(SUMIFS($E$9:$E$2008,$A$9:$A$2008,A251)-SUMIFS($F$9:$F$2008,$A$9:$A$2008,A251))&lt;0.5,"Yes","No"))</f>
        <v/>
      </c>
      <c r="L251" s="10" t="str">
        <f aca="false">IF(A251="","",IF(IF(K251="No","Does not balance | ","")&amp;IF(I251="","Not approved | ",IF(UPPER(TRIM(H251))=UPPER(TRIM(I251)),"Self-approved | ",""))&amp;IF(J251="","No support | ","")&amp;IF(WEEKDAY(B251,2)&gt;5,"Weekend posting | ","")&amp;IF(COUNTIF(Settings!$A$14:$A$43,B251)&gt;0,"Holiday posting | ","")&amp;IF(B251&gt;Settings!$C$8,"Posted after close | ","")&amp;IF(OR(B251&lt;Settings!$C$6,B251&gt;Settings!$C$7),"Outside period | ","")&amp;IF(COUNTIF(Settings!$E$14:$E$43,C251&amp;"")&gt;0,"Sensitive account | ","")&amp;IF(AND(MAX(N(E251),N(F251))&gt;=Settings!$C$9,MOD(MAX(N(E251),N(F251)),Settings!$C$10)=0),"Round amount | ","")="","",LEFT(IF(K251="No","Does not balance | ","")&amp;IF(I251="","Not approved | ",IF(UPPER(TRIM(H251))=UPPER(TRIM(I251)),"Self-approved | ",""))&amp;IF(J251="","No support | ","")&amp;IF(WEEKDAY(B251,2)&gt;5,"Weekend posting | ","")&amp;IF(COUNTIF(Settings!$A$14:$A$43,B251)&gt;0,"Holiday posting | ","")&amp;IF(B251&gt;Settings!$C$8,"Posted after close | ","")&amp;IF(OR(B251&lt;Settings!$C$6,B251&gt;Settings!$C$7),"Outside period | ","")&amp;IF(COUNTIF(Settings!$E$14:$E$43,C251&amp;"")&gt;0,"Sensitive account | ","")&amp;IF(AND(MAX(N(E251),N(F251))&gt;=Settings!$C$9,MOD(MAX(N(E251),N(F251)),Settings!$C$10)=0),"Round amount | ",""),LEN(IF(K251="No","Does not balance | ","")&amp;IF(I251="","Not approved | ",IF(UPPER(TRIM(H251))=UPPER(TRIM(I251)),"Self-approved | ",""))&amp;IF(J251="","No support | ","")&amp;IF(WEEKDAY(B251,2)&gt;5,"Weekend posting | ","")&amp;IF(COUNTIF(Settings!$A$14:$A$43,B251)&gt;0,"Holiday posting | ","")&amp;IF(B251&gt;Settings!$C$8,"Posted after close | ","")&amp;IF(OR(B251&lt;Settings!$C$6,B251&gt;Settings!$C$7),"Outside period | ","")&amp;IF(COUNTIF(Settings!$E$14:$E$43,C251&amp;"")&gt;0,"Sensitive account | ","")&amp;IF(AND(MAX(N(E251),N(F251))&gt;=Settings!$C$9,MOD(MAX(N(E251),N(F251)),Settings!$C$10)=0),"Round amount | ",""))-3)))</f>
        <v/>
      </c>
      <c r="M251" s="21" t="str">
        <f aca="false">IF(A251="","",IF(COUNTIF($A$9:A251,A251)=1,MAX($M$8:M250)+1,""))</f>
        <v/>
      </c>
    </row>
    <row r="252" customFormat="false" ht="15" hidden="false" customHeight="false" outlineLevel="0" collapsed="false">
      <c r="A252" s="8"/>
      <c r="B252" s="17"/>
      <c r="C252" s="19"/>
      <c r="D252" s="8"/>
      <c r="E252" s="18"/>
      <c r="F252" s="18"/>
      <c r="G252" s="8"/>
      <c r="H252" s="8"/>
      <c r="I252" s="8"/>
      <c r="J252" s="8"/>
      <c r="K252" s="10" t="str">
        <f aca="false">IF(A252="","",IF(ABS(SUMIFS($E$9:$E$2008,$A$9:$A$2008,A252)-SUMIFS($F$9:$F$2008,$A$9:$A$2008,A252))&lt;0.5,"Yes","No"))</f>
        <v/>
      </c>
      <c r="L252" s="10" t="str">
        <f aca="false">IF(A252="","",IF(IF(K252="No","Does not balance | ","")&amp;IF(I252="","Not approved | ",IF(UPPER(TRIM(H252))=UPPER(TRIM(I252)),"Self-approved | ",""))&amp;IF(J252="","No support | ","")&amp;IF(WEEKDAY(B252,2)&gt;5,"Weekend posting | ","")&amp;IF(COUNTIF(Settings!$A$14:$A$43,B252)&gt;0,"Holiday posting | ","")&amp;IF(B252&gt;Settings!$C$8,"Posted after close | ","")&amp;IF(OR(B252&lt;Settings!$C$6,B252&gt;Settings!$C$7),"Outside period | ","")&amp;IF(COUNTIF(Settings!$E$14:$E$43,C252&amp;"")&gt;0,"Sensitive account | ","")&amp;IF(AND(MAX(N(E252),N(F252))&gt;=Settings!$C$9,MOD(MAX(N(E252),N(F252)),Settings!$C$10)=0),"Round amount | ","")="","",LEFT(IF(K252="No","Does not balance | ","")&amp;IF(I252="","Not approved | ",IF(UPPER(TRIM(H252))=UPPER(TRIM(I252)),"Self-approved | ",""))&amp;IF(J252="","No support | ","")&amp;IF(WEEKDAY(B252,2)&gt;5,"Weekend posting | ","")&amp;IF(COUNTIF(Settings!$A$14:$A$43,B252)&gt;0,"Holiday posting | ","")&amp;IF(B252&gt;Settings!$C$8,"Posted after close | ","")&amp;IF(OR(B252&lt;Settings!$C$6,B252&gt;Settings!$C$7),"Outside period | ","")&amp;IF(COUNTIF(Settings!$E$14:$E$43,C252&amp;"")&gt;0,"Sensitive account | ","")&amp;IF(AND(MAX(N(E252),N(F252))&gt;=Settings!$C$9,MOD(MAX(N(E252),N(F252)),Settings!$C$10)=0),"Round amount | ",""),LEN(IF(K252="No","Does not balance | ","")&amp;IF(I252="","Not approved | ",IF(UPPER(TRIM(H252))=UPPER(TRIM(I252)),"Self-approved | ",""))&amp;IF(J252="","No support | ","")&amp;IF(WEEKDAY(B252,2)&gt;5,"Weekend posting | ","")&amp;IF(COUNTIF(Settings!$A$14:$A$43,B252)&gt;0,"Holiday posting | ","")&amp;IF(B252&gt;Settings!$C$8,"Posted after close | ","")&amp;IF(OR(B252&lt;Settings!$C$6,B252&gt;Settings!$C$7),"Outside period | ","")&amp;IF(COUNTIF(Settings!$E$14:$E$43,C252&amp;"")&gt;0,"Sensitive account | ","")&amp;IF(AND(MAX(N(E252),N(F252))&gt;=Settings!$C$9,MOD(MAX(N(E252),N(F252)),Settings!$C$10)=0),"Round amount | ",""))-3)))</f>
        <v/>
      </c>
      <c r="M252" s="21" t="str">
        <f aca="false">IF(A252="","",IF(COUNTIF($A$9:A252,A252)=1,MAX($M$8:M251)+1,""))</f>
        <v/>
      </c>
    </row>
    <row r="253" customFormat="false" ht="15" hidden="false" customHeight="false" outlineLevel="0" collapsed="false">
      <c r="A253" s="8"/>
      <c r="B253" s="17"/>
      <c r="C253" s="19"/>
      <c r="D253" s="8"/>
      <c r="E253" s="18"/>
      <c r="F253" s="18"/>
      <c r="G253" s="8"/>
      <c r="H253" s="8"/>
      <c r="I253" s="8"/>
      <c r="J253" s="8"/>
      <c r="K253" s="10" t="str">
        <f aca="false">IF(A253="","",IF(ABS(SUMIFS($E$9:$E$2008,$A$9:$A$2008,A253)-SUMIFS($F$9:$F$2008,$A$9:$A$2008,A253))&lt;0.5,"Yes","No"))</f>
        <v/>
      </c>
      <c r="L253" s="10" t="str">
        <f aca="false">IF(A253="","",IF(IF(K253="No","Does not balance | ","")&amp;IF(I253="","Not approved | ",IF(UPPER(TRIM(H253))=UPPER(TRIM(I253)),"Self-approved | ",""))&amp;IF(J253="","No support | ","")&amp;IF(WEEKDAY(B253,2)&gt;5,"Weekend posting | ","")&amp;IF(COUNTIF(Settings!$A$14:$A$43,B253)&gt;0,"Holiday posting | ","")&amp;IF(B253&gt;Settings!$C$8,"Posted after close | ","")&amp;IF(OR(B253&lt;Settings!$C$6,B253&gt;Settings!$C$7),"Outside period | ","")&amp;IF(COUNTIF(Settings!$E$14:$E$43,C253&amp;"")&gt;0,"Sensitive account | ","")&amp;IF(AND(MAX(N(E253),N(F253))&gt;=Settings!$C$9,MOD(MAX(N(E253),N(F253)),Settings!$C$10)=0),"Round amount | ","")="","",LEFT(IF(K253="No","Does not balance | ","")&amp;IF(I253="","Not approved | ",IF(UPPER(TRIM(H253))=UPPER(TRIM(I253)),"Self-approved | ",""))&amp;IF(J253="","No support | ","")&amp;IF(WEEKDAY(B253,2)&gt;5,"Weekend posting | ","")&amp;IF(COUNTIF(Settings!$A$14:$A$43,B253)&gt;0,"Holiday posting | ","")&amp;IF(B253&gt;Settings!$C$8,"Posted after close | ","")&amp;IF(OR(B253&lt;Settings!$C$6,B253&gt;Settings!$C$7),"Outside period | ","")&amp;IF(COUNTIF(Settings!$E$14:$E$43,C253&amp;"")&gt;0,"Sensitive account | ","")&amp;IF(AND(MAX(N(E253),N(F253))&gt;=Settings!$C$9,MOD(MAX(N(E253),N(F253)),Settings!$C$10)=0),"Round amount | ",""),LEN(IF(K253="No","Does not balance | ","")&amp;IF(I253="","Not approved | ",IF(UPPER(TRIM(H253))=UPPER(TRIM(I253)),"Self-approved | ",""))&amp;IF(J253="","No support | ","")&amp;IF(WEEKDAY(B253,2)&gt;5,"Weekend posting | ","")&amp;IF(COUNTIF(Settings!$A$14:$A$43,B253)&gt;0,"Holiday posting | ","")&amp;IF(B253&gt;Settings!$C$8,"Posted after close | ","")&amp;IF(OR(B253&lt;Settings!$C$6,B253&gt;Settings!$C$7),"Outside period | ","")&amp;IF(COUNTIF(Settings!$E$14:$E$43,C253&amp;"")&gt;0,"Sensitive account | ","")&amp;IF(AND(MAX(N(E253),N(F253))&gt;=Settings!$C$9,MOD(MAX(N(E253),N(F253)),Settings!$C$10)=0),"Round amount | ",""))-3)))</f>
        <v/>
      </c>
      <c r="M253" s="21" t="str">
        <f aca="false">IF(A253="","",IF(COUNTIF($A$9:A253,A253)=1,MAX($M$8:M252)+1,""))</f>
        <v/>
      </c>
    </row>
    <row r="254" customFormat="false" ht="15" hidden="false" customHeight="false" outlineLevel="0" collapsed="false">
      <c r="A254" s="8"/>
      <c r="B254" s="17"/>
      <c r="C254" s="19"/>
      <c r="D254" s="8"/>
      <c r="E254" s="18"/>
      <c r="F254" s="18"/>
      <c r="G254" s="8"/>
      <c r="H254" s="8"/>
      <c r="I254" s="8"/>
      <c r="J254" s="8"/>
      <c r="K254" s="10" t="str">
        <f aca="false">IF(A254="","",IF(ABS(SUMIFS($E$9:$E$2008,$A$9:$A$2008,A254)-SUMIFS($F$9:$F$2008,$A$9:$A$2008,A254))&lt;0.5,"Yes","No"))</f>
        <v/>
      </c>
      <c r="L254" s="10" t="str">
        <f aca="false">IF(A254="","",IF(IF(K254="No","Does not balance | ","")&amp;IF(I254="","Not approved | ",IF(UPPER(TRIM(H254))=UPPER(TRIM(I254)),"Self-approved | ",""))&amp;IF(J254="","No support | ","")&amp;IF(WEEKDAY(B254,2)&gt;5,"Weekend posting | ","")&amp;IF(COUNTIF(Settings!$A$14:$A$43,B254)&gt;0,"Holiday posting | ","")&amp;IF(B254&gt;Settings!$C$8,"Posted after close | ","")&amp;IF(OR(B254&lt;Settings!$C$6,B254&gt;Settings!$C$7),"Outside period | ","")&amp;IF(COUNTIF(Settings!$E$14:$E$43,C254&amp;"")&gt;0,"Sensitive account | ","")&amp;IF(AND(MAX(N(E254),N(F254))&gt;=Settings!$C$9,MOD(MAX(N(E254),N(F254)),Settings!$C$10)=0),"Round amount | ","")="","",LEFT(IF(K254="No","Does not balance | ","")&amp;IF(I254="","Not approved | ",IF(UPPER(TRIM(H254))=UPPER(TRIM(I254)),"Self-approved | ",""))&amp;IF(J254="","No support | ","")&amp;IF(WEEKDAY(B254,2)&gt;5,"Weekend posting | ","")&amp;IF(COUNTIF(Settings!$A$14:$A$43,B254)&gt;0,"Holiday posting | ","")&amp;IF(B254&gt;Settings!$C$8,"Posted after close | ","")&amp;IF(OR(B254&lt;Settings!$C$6,B254&gt;Settings!$C$7),"Outside period | ","")&amp;IF(COUNTIF(Settings!$E$14:$E$43,C254&amp;"")&gt;0,"Sensitive account | ","")&amp;IF(AND(MAX(N(E254),N(F254))&gt;=Settings!$C$9,MOD(MAX(N(E254),N(F254)),Settings!$C$10)=0),"Round amount | ",""),LEN(IF(K254="No","Does not balance | ","")&amp;IF(I254="","Not approved | ",IF(UPPER(TRIM(H254))=UPPER(TRIM(I254)),"Self-approved | ",""))&amp;IF(J254="","No support | ","")&amp;IF(WEEKDAY(B254,2)&gt;5,"Weekend posting | ","")&amp;IF(COUNTIF(Settings!$A$14:$A$43,B254)&gt;0,"Holiday posting | ","")&amp;IF(B254&gt;Settings!$C$8,"Posted after close | ","")&amp;IF(OR(B254&lt;Settings!$C$6,B254&gt;Settings!$C$7),"Outside period | ","")&amp;IF(COUNTIF(Settings!$E$14:$E$43,C254&amp;"")&gt;0,"Sensitive account | ","")&amp;IF(AND(MAX(N(E254),N(F254))&gt;=Settings!$C$9,MOD(MAX(N(E254),N(F254)),Settings!$C$10)=0),"Round amount | ",""))-3)))</f>
        <v/>
      </c>
      <c r="M254" s="21" t="str">
        <f aca="false">IF(A254="","",IF(COUNTIF($A$9:A254,A254)=1,MAX($M$8:M253)+1,""))</f>
        <v/>
      </c>
    </row>
    <row r="255" customFormat="false" ht="15" hidden="false" customHeight="false" outlineLevel="0" collapsed="false">
      <c r="A255" s="8"/>
      <c r="B255" s="17"/>
      <c r="C255" s="19"/>
      <c r="D255" s="8"/>
      <c r="E255" s="18"/>
      <c r="F255" s="18"/>
      <c r="G255" s="8"/>
      <c r="H255" s="8"/>
      <c r="I255" s="8"/>
      <c r="J255" s="8"/>
      <c r="K255" s="10" t="str">
        <f aca="false">IF(A255="","",IF(ABS(SUMIFS($E$9:$E$2008,$A$9:$A$2008,A255)-SUMIFS($F$9:$F$2008,$A$9:$A$2008,A255))&lt;0.5,"Yes","No"))</f>
        <v/>
      </c>
      <c r="L255" s="10" t="str">
        <f aca="false">IF(A255="","",IF(IF(K255="No","Does not balance | ","")&amp;IF(I255="","Not approved | ",IF(UPPER(TRIM(H255))=UPPER(TRIM(I255)),"Self-approved | ",""))&amp;IF(J255="","No support | ","")&amp;IF(WEEKDAY(B255,2)&gt;5,"Weekend posting | ","")&amp;IF(COUNTIF(Settings!$A$14:$A$43,B255)&gt;0,"Holiday posting | ","")&amp;IF(B255&gt;Settings!$C$8,"Posted after close | ","")&amp;IF(OR(B255&lt;Settings!$C$6,B255&gt;Settings!$C$7),"Outside period | ","")&amp;IF(COUNTIF(Settings!$E$14:$E$43,C255&amp;"")&gt;0,"Sensitive account | ","")&amp;IF(AND(MAX(N(E255),N(F255))&gt;=Settings!$C$9,MOD(MAX(N(E255),N(F255)),Settings!$C$10)=0),"Round amount | ","")="","",LEFT(IF(K255="No","Does not balance | ","")&amp;IF(I255="","Not approved | ",IF(UPPER(TRIM(H255))=UPPER(TRIM(I255)),"Self-approved | ",""))&amp;IF(J255="","No support | ","")&amp;IF(WEEKDAY(B255,2)&gt;5,"Weekend posting | ","")&amp;IF(COUNTIF(Settings!$A$14:$A$43,B255)&gt;0,"Holiday posting | ","")&amp;IF(B255&gt;Settings!$C$8,"Posted after close | ","")&amp;IF(OR(B255&lt;Settings!$C$6,B255&gt;Settings!$C$7),"Outside period | ","")&amp;IF(COUNTIF(Settings!$E$14:$E$43,C255&amp;"")&gt;0,"Sensitive account | ","")&amp;IF(AND(MAX(N(E255),N(F255))&gt;=Settings!$C$9,MOD(MAX(N(E255),N(F255)),Settings!$C$10)=0),"Round amount | ",""),LEN(IF(K255="No","Does not balance | ","")&amp;IF(I255="","Not approved | ",IF(UPPER(TRIM(H255))=UPPER(TRIM(I255)),"Self-approved | ",""))&amp;IF(J255="","No support | ","")&amp;IF(WEEKDAY(B255,2)&gt;5,"Weekend posting | ","")&amp;IF(COUNTIF(Settings!$A$14:$A$43,B255)&gt;0,"Holiday posting | ","")&amp;IF(B255&gt;Settings!$C$8,"Posted after close | ","")&amp;IF(OR(B255&lt;Settings!$C$6,B255&gt;Settings!$C$7),"Outside period | ","")&amp;IF(COUNTIF(Settings!$E$14:$E$43,C255&amp;"")&gt;0,"Sensitive account | ","")&amp;IF(AND(MAX(N(E255),N(F255))&gt;=Settings!$C$9,MOD(MAX(N(E255),N(F255)),Settings!$C$10)=0),"Round amount | ",""))-3)))</f>
        <v/>
      </c>
      <c r="M255" s="21" t="str">
        <f aca="false">IF(A255="","",IF(COUNTIF($A$9:A255,A255)=1,MAX($M$8:M254)+1,""))</f>
        <v/>
      </c>
    </row>
    <row r="256" customFormat="false" ht="15" hidden="false" customHeight="false" outlineLevel="0" collapsed="false">
      <c r="A256" s="8"/>
      <c r="B256" s="17"/>
      <c r="C256" s="19"/>
      <c r="D256" s="8"/>
      <c r="E256" s="18"/>
      <c r="F256" s="18"/>
      <c r="G256" s="8"/>
      <c r="H256" s="8"/>
      <c r="I256" s="8"/>
      <c r="J256" s="8"/>
      <c r="K256" s="10" t="str">
        <f aca="false">IF(A256="","",IF(ABS(SUMIFS($E$9:$E$2008,$A$9:$A$2008,A256)-SUMIFS($F$9:$F$2008,$A$9:$A$2008,A256))&lt;0.5,"Yes","No"))</f>
        <v/>
      </c>
      <c r="L256" s="10" t="str">
        <f aca="false">IF(A256="","",IF(IF(K256="No","Does not balance | ","")&amp;IF(I256="","Not approved | ",IF(UPPER(TRIM(H256))=UPPER(TRIM(I256)),"Self-approved | ",""))&amp;IF(J256="","No support | ","")&amp;IF(WEEKDAY(B256,2)&gt;5,"Weekend posting | ","")&amp;IF(COUNTIF(Settings!$A$14:$A$43,B256)&gt;0,"Holiday posting | ","")&amp;IF(B256&gt;Settings!$C$8,"Posted after close | ","")&amp;IF(OR(B256&lt;Settings!$C$6,B256&gt;Settings!$C$7),"Outside period | ","")&amp;IF(COUNTIF(Settings!$E$14:$E$43,C256&amp;"")&gt;0,"Sensitive account | ","")&amp;IF(AND(MAX(N(E256),N(F256))&gt;=Settings!$C$9,MOD(MAX(N(E256),N(F256)),Settings!$C$10)=0),"Round amount | ","")="","",LEFT(IF(K256="No","Does not balance | ","")&amp;IF(I256="","Not approved | ",IF(UPPER(TRIM(H256))=UPPER(TRIM(I256)),"Self-approved | ",""))&amp;IF(J256="","No support | ","")&amp;IF(WEEKDAY(B256,2)&gt;5,"Weekend posting | ","")&amp;IF(COUNTIF(Settings!$A$14:$A$43,B256)&gt;0,"Holiday posting | ","")&amp;IF(B256&gt;Settings!$C$8,"Posted after close | ","")&amp;IF(OR(B256&lt;Settings!$C$6,B256&gt;Settings!$C$7),"Outside period | ","")&amp;IF(COUNTIF(Settings!$E$14:$E$43,C256&amp;"")&gt;0,"Sensitive account | ","")&amp;IF(AND(MAX(N(E256),N(F256))&gt;=Settings!$C$9,MOD(MAX(N(E256),N(F256)),Settings!$C$10)=0),"Round amount | ",""),LEN(IF(K256="No","Does not balance | ","")&amp;IF(I256="","Not approved | ",IF(UPPER(TRIM(H256))=UPPER(TRIM(I256)),"Self-approved | ",""))&amp;IF(J256="","No support | ","")&amp;IF(WEEKDAY(B256,2)&gt;5,"Weekend posting | ","")&amp;IF(COUNTIF(Settings!$A$14:$A$43,B256)&gt;0,"Holiday posting | ","")&amp;IF(B256&gt;Settings!$C$8,"Posted after close | ","")&amp;IF(OR(B256&lt;Settings!$C$6,B256&gt;Settings!$C$7),"Outside period | ","")&amp;IF(COUNTIF(Settings!$E$14:$E$43,C256&amp;"")&gt;0,"Sensitive account | ","")&amp;IF(AND(MAX(N(E256),N(F256))&gt;=Settings!$C$9,MOD(MAX(N(E256),N(F256)),Settings!$C$10)=0),"Round amount | ",""))-3)))</f>
        <v/>
      </c>
      <c r="M256" s="21" t="str">
        <f aca="false">IF(A256="","",IF(COUNTIF($A$9:A256,A256)=1,MAX($M$8:M255)+1,""))</f>
        <v/>
      </c>
    </row>
    <row r="257" customFormat="false" ht="15" hidden="false" customHeight="false" outlineLevel="0" collapsed="false">
      <c r="A257" s="8"/>
      <c r="B257" s="17"/>
      <c r="C257" s="19"/>
      <c r="D257" s="8"/>
      <c r="E257" s="18"/>
      <c r="F257" s="18"/>
      <c r="G257" s="8"/>
      <c r="H257" s="8"/>
      <c r="I257" s="8"/>
      <c r="J257" s="8"/>
      <c r="K257" s="10" t="str">
        <f aca="false">IF(A257="","",IF(ABS(SUMIFS($E$9:$E$2008,$A$9:$A$2008,A257)-SUMIFS($F$9:$F$2008,$A$9:$A$2008,A257))&lt;0.5,"Yes","No"))</f>
        <v/>
      </c>
      <c r="L257" s="10" t="str">
        <f aca="false">IF(A257="","",IF(IF(K257="No","Does not balance | ","")&amp;IF(I257="","Not approved | ",IF(UPPER(TRIM(H257))=UPPER(TRIM(I257)),"Self-approved | ",""))&amp;IF(J257="","No support | ","")&amp;IF(WEEKDAY(B257,2)&gt;5,"Weekend posting | ","")&amp;IF(COUNTIF(Settings!$A$14:$A$43,B257)&gt;0,"Holiday posting | ","")&amp;IF(B257&gt;Settings!$C$8,"Posted after close | ","")&amp;IF(OR(B257&lt;Settings!$C$6,B257&gt;Settings!$C$7),"Outside period | ","")&amp;IF(COUNTIF(Settings!$E$14:$E$43,C257&amp;"")&gt;0,"Sensitive account | ","")&amp;IF(AND(MAX(N(E257),N(F257))&gt;=Settings!$C$9,MOD(MAX(N(E257),N(F257)),Settings!$C$10)=0),"Round amount | ","")="","",LEFT(IF(K257="No","Does not balance | ","")&amp;IF(I257="","Not approved | ",IF(UPPER(TRIM(H257))=UPPER(TRIM(I257)),"Self-approved | ",""))&amp;IF(J257="","No support | ","")&amp;IF(WEEKDAY(B257,2)&gt;5,"Weekend posting | ","")&amp;IF(COUNTIF(Settings!$A$14:$A$43,B257)&gt;0,"Holiday posting | ","")&amp;IF(B257&gt;Settings!$C$8,"Posted after close | ","")&amp;IF(OR(B257&lt;Settings!$C$6,B257&gt;Settings!$C$7),"Outside period | ","")&amp;IF(COUNTIF(Settings!$E$14:$E$43,C257&amp;"")&gt;0,"Sensitive account | ","")&amp;IF(AND(MAX(N(E257),N(F257))&gt;=Settings!$C$9,MOD(MAX(N(E257),N(F257)),Settings!$C$10)=0),"Round amount | ",""),LEN(IF(K257="No","Does not balance | ","")&amp;IF(I257="","Not approved | ",IF(UPPER(TRIM(H257))=UPPER(TRIM(I257)),"Self-approved | ",""))&amp;IF(J257="","No support | ","")&amp;IF(WEEKDAY(B257,2)&gt;5,"Weekend posting | ","")&amp;IF(COUNTIF(Settings!$A$14:$A$43,B257)&gt;0,"Holiday posting | ","")&amp;IF(B257&gt;Settings!$C$8,"Posted after close | ","")&amp;IF(OR(B257&lt;Settings!$C$6,B257&gt;Settings!$C$7),"Outside period | ","")&amp;IF(COUNTIF(Settings!$E$14:$E$43,C257&amp;"")&gt;0,"Sensitive account | ","")&amp;IF(AND(MAX(N(E257),N(F257))&gt;=Settings!$C$9,MOD(MAX(N(E257),N(F257)),Settings!$C$10)=0),"Round amount | ",""))-3)))</f>
        <v/>
      </c>
      <c r="M257" s="21" t="str">
        <f aca="false">IF(A257="","",IF(COUNTIF($A$9:A257,A257)=1,MAX($M$8:M256)+1,""))</f>
        <v/>
      </c>
    </row>
    <row r="258" customFormat="false" ht="15" hidden="false" customHeight="false" outlineLevel="0" collapsed="false">
      <c r="A258" s="8"/>
      <c r="B258" s="17"/>
      <c r="C258" s="19"/>
      <c r="D258" s="8"/>
      <c r="E258" s="18"/>
      <c r="F258" s="18"/>
      <c r="G258" s="8"/>
      <c r="H258" s="8"/>
      <c r="I258" s="8"/>
      <c r="J258" s="8"/>
      <c r="K258" s="10" t="str">
        <f aca="false">IF(A258="","",IF(ABS(SUMIFS($E$9:$E$2008,$A$9:$A$2008,A258)-SUMIFS($F$9:$F$2008,$A$9:$A$2008,A258))&lt;0.5,"Yes","No"))</f>
        <v/>
      </c>
      <c r="L258" s="10" t="str">
        <f aca="false">IF(A258="","",IF(IF(K258="No","Does not balance | ","")&amp;IF(I258="","Not approved | ",IF(UPPER(TRIM(H258))=UPPER(TRIM(I258)),"Self-approved | ",""))&amp;IF(J258="","No support | ","")&amp;IF(WEEKDAY(B258,2)&gt;5,"Weekend posting | ","")&amp;IF(COUNTIF(Settings!$A$14:$A$43,B258)&gt;0,"Holiday posting | ","")&amp;IF(B258&gt;Settings!$C$8,"Posted after close | ","")&amp;IF(OR(B258&lt;Settings!$C$6,B258&gt;Settings!$C$7),"Outside period | ","")&amp;IF(COUNTIF(Settings!$E$14:$E$43,C258&amp;"")&gt;0,"Sensitive account | ","")&amp;IF(AND(MAX(N(E258),N(F258))&gt;=Settings!$C$9,MOD(MAX(N(E258),N(F258)),Settings!$C$10)=0),"Round amount | ","")="","",LEFT(IF(K258="No","Does not balance | ","")&amp;IF(I258="","Not approved | ",IF(UPPER(TRIM(H258))=UPPER(TRIM(I258)),"Self-approved | ",""))&amp;IF(J258="","No support | ","")&amp;IF(WEEKDAY(B258,2)&gt;5,"Weekend posting | ","")&amp;IF(COUNTIF(Settings!$A$14:$A$43,B258)&gt;0,"Holiday posting | ","")&amp;IF(B258&gt;Settings!$C$8,"Posted after close | ","")&amp;IF(OR(B258&lt;Settings!$C$6,B258&gt;Settings!$C$7),"Outside period | ","")&amp;IF(COUNTIF(Settings!$E$14:$E$43,C258&amp;"")&gt;0,"Sensitive account | ","")&amp;IF(AND(MAX(N(E258),N(F258))&gt;=Settings!$C$9,MOD(MAX(N(E258),N(F258)),Settings!$C$10)=0),"Round amount | ",""),LEN(IF(K258="No","Does not balance | ","")&amp;IF(I258="","Not approved | ",IF(UPPER(TRIM(H258))=UPPER(TRIM(I258)),"Self-approved | ",""))&amp;IF(J258="","No support | ","")&amp;IF(WEEKDAY(B258,2)&gt;5,"Weekend posting | ","")&amp;IF(COUNTIF(Settings!$A$14:$A$43,B258)&gt;0,"Holiday posting | ","")&amp;IF(B258&gt;Settings!$C$8,"Posted after close | ","")&amp;IF(OR(B258&lt;Settings!$C$6,B258&gt;Settings!$C$7),"Outside period | ","")&amp;IF(COUNTIF(Settings!$E$14:$E$43,C258&amp;"")&gt;0,"Sensitive account | ","")&amp;IF(AND(MAX(N(E258),N(F258))&gt;=Settings!$C$9,MOD(MAX(N(E258),N(F258)),Settings!$C$10)=0),"Round amount | ",""))-3)))</f>
        <v/>
      </c>
      <c r="M258" s="21" t="str">
        <f aca="false">IF(A258="","",IF(COUNTIF($A$9:A258,A258)=1,MAX($M$8:M257)+1,""))</f>
        <v/>
      </c>
    </row>
    <row r="259" customFormat="false" ht="15" hidden="false" customHeight="false" outlineLevel="0" collapsed="false">
      <c r="A259" s="8"/>
      <c r="B259" s="17"/>
      <c r="C259" s="19"/>
      <c r="D259" s="8"/>
      <c r="E259" s="18"/>
      <c r="F259" s="18"/>
      <c r="G259" s="8"/>
      <c r="H259" s="8"/>
      <c r="I259" s="8"/>
      <c r="J259" s="8"/>
      <c r="K259" s="10" t="str">
        <f aca="false">IF(A259="","",IF(ABS(SUMIFS($E$9:$E$2008,$A$9:$A$2008,A259)-SUMIFS($F$9:$F$2008,$A$9:$A$2008,A259))&lt;0.5,"Yes","No"))</f>
        <v/>
      </c>
      <c r="L259" s="10" t="str">
        <f aca="false">IF(A259="","",IF(IF(K259="No","Does not balance | ","")&amp;IF(I259="","Not approved | ",IF(UPPER(TRIM(H259))=UPPER(TRIM(I259)),"Self-approved | ",""))&amp;IF(J259="","No support | ","")&amp;IF(WEEKDAY(B259,2)&gt;5,"Weekend posting | ","")&amp;IF(COUNTIF(Settings!$A$14:$A$43,B259)&gt;0,"Holiday posting | ","")&amp;IF(B259&gt;Settings!$C$8,"Posted after close | ","")&amp;IF(OR(B259&lt;Settings!$C$6,B259&gt;Settings!$C$7),"Outside period | ","")&amp;IF(COUNTIF(Settings!$E$14:$E$43,C259&amp;"")&gt;0,"Sensitive account | ","")&amp;IF(AND(MAX(N(E259),N(F259))&gt;=Settings!$C$9,MOD(MAX(N(E259),N(F259)),Settings!$C$10)=0),"Round amount | ","")="","",LEFT(IF(K259="No","Does not balance | ","")&amp;IF(I259="","Not approved | ",IF(UPPER(TRIM(H259))=UPPER(TRIM(I259)),"Self-approved | ",""))&amp;IF(J259="","No support | ","")&amp;IF(WEEKDAY(B259,2)&gt;5,"Weekend posting | ","")&amp;IF(COUNTIF(Settings!$A$14:$A$43,B259)&gt;0,"Holiday posting | ","")&amp;IF(B259&gt;Settings!$C$8,"Posted after close | ","")&amp;IF(OR(B259&lt;Settings!$C$6,B259&gt;Settings!$C$7),"Outside period | ","")&amp;IF(COUNTIF(Settings!$E$14:$E$43,C259&amp;"")&gt;0,"Sensitive account | ","")&amp;IF(AND(MAX(N(E259),N(F259))&gt;=Settings!$C$9,MOD(MAX(N(E259),N(F259)),Settings!$C$10)=0),"Round amount | ",""),LEN(IF(K259="No","Does not balance | ","")&amp;IF(I259="","Not approved | ",IF(UPPER(TRIM(H259))=UPPER(TRIM(I259)),"Self-approved | ",""))&amp;IF(J259="","No support | ","")&amp;IF(WEEKDAY(B259,2)&gt;5,"Weekend posting | ","")&amp;IF(COUNTIF(Settings!$A$14:$A$43,B259)&gt;0,"Holiday posting | ","")&amp;IF(B259&gt;Settings!$C$8,"Posted after close | ","")&amp;IF(OR(B259&lt;Settings!$C$6,B259&gt;Settings!$C$7),"Outside period | ","")&amp;IF(COUNTIF(Settings!$E$14:$E$43,C259&amp;"")&gt;0,"Sensitive account | ","")&amp;IF(AND(MAX(N(E259),N(F259))&gt;=Settings!$C$9,MOD(MAX(N(E259),N(F259)),Settings!$C$10)=0),"Round amount | ",""))-3)))</f>
        <v/>
      </c>
      <c r="M259" s="21" t="str">
        <f aca="false">IF(A259="","",IF(COUNTIF($A$9:A259,A259)=1,MAX($M$8:M258)+1,""))</f>
        <v/>
      </c>
    </row>
    <row r="260" customFormat="false" ht="15" hidden="false" customHeight="false" outlineLevel="0" collapsed="false">
      <c r="A260" s="8"/>
      <c r="B260" s="17"/>
      <c r="C260" s="19"/>
      <c r="D260" s="8"/>
      <c r="E260" s="18"/>
      <c r="F260" s="18"/>
      <c r="G260" s="8"/>
      <c r="H260" s="8"/>
      <c r="I260" s="8"/>
      <c r="J260" s="8"/>
      <c r="K260" s="10" t="str">
        <f aca="false">IF(A260="","",IF(ABS(SUMIFS($E$9:$E$2008,$A$9:$A$2008,A260)-SUMIFS($F$9:$F$2008,$A$9:$A$2008,A260))&lt;0.5,"Yes","No"))</f>
        <v/>
      </c>
      <c r="L260" s="10" t="str">
        <f aca="false">IF(A260="","",IF(IF(K260="No","Does not balance | ","")&amp;IF(I260="","Not approved | ",IF(UPPER(TRIM(H260))=UPPER(TRIM(I260)),"Self-approved | ",""))&amp;IF(J260="","No support | ","")&amp;IF(WEEKDAY(B260,2)&gt;5,"Weekend posting | ","")&amp;IF(COUNTIF(Settings!$A$14:$A$43,B260)&gt;0,"Holiday posting | ","")&amp;IF(B260&gt;Settings!$C$8,"Posted after close | ","")&amp;IF(OR(B260&lt;Settings!$C$6,B260&gt;Settings!$C$7),"Outside period | ","")&amp;IF(COUNTIF(Settings!$E$14:$E$43,C260&amp;"")&gt;0,"Sensitive account | ","")&amp;IF(AND(MAX(N(E260),N(F260))&gt;=Settings!$C$9,MOD(MAX(N(E260),N(F260)),Settings!$C$10)=0),"Round amount | ","")="","",LEFT(IF(K260="No","Does not balance | ","")&amp;IF(I260="","Not approved | ",IF(UPPER(TRIM(H260))=UPPER(TRIM(I260)),"Self-approved | ",""))&amp;IF(J260="","No support | ","")&amp;IF(WEEKDAY(B260,2)&gt;5,"Weekend posting | ","")&amp;IF(COUNTIF(Settings!$A$14:$A$43,B260)&gt;0,"Holiday posting | ","")&amp;IF(B260&gt;Settings!$C$8,"Posted after close | ","")&amp;IF(OR(B260&lt;Settings!$C$6,B260&gt;Settings!$C$7),"Outside period | ","")&amp;IF(COUNTIF(Settings!$E$14:$E$43,C260&amp;"")&gt;0,"Sensitive account | ","")&amp;IF(AND(MAX(N(E260),N(F260))&gt;=Settings!$C$9,MOD(MAX(N(E260),N(F260)),Settings!$C$10)=0),"Round amount | ",""),LEN(IF(K260="No","Does not balance | ","")&amp;IF(I260="","Not approved | ",IF(UPPER(TRIM(H260))=UPPER(TRIM(I260)),"Self-approved | ",""))&amp;IF(J260="","No support | ","")&amp;IF(WEEKDAY(B260,2)&gt;5,"Weekend posting | ","")&amp;IF(COUNTIF(Settings!$A$14:$A$43,B260)&gt;0,"Holiday posting | ","")&amp;IF(B260&gt;Settings!$C$8,"Posted after close | ","")&amp;IF(OR(B260&lt;Settings!$C$6,B260&gt;Settings!$C$7),"Outside period | ","")&amp;IF(COUNTIF(Settings!$E$14:$E$43,C260&amp;"")&gt;0,"Sensitive account | ","")&amp;IF(AND(MAX(N(E260),N(F260))&gt;=Settings!$C$9,MOD(MAX(N(E260),N(F260)),Settings!$C$10)=0),"Round amount | ",""))-3)))</f>
        <v/>
      </c>
      <c r="M260" s="21" t="str">
        <f aca="false">IF(A260="","",IF(COUNTIF($A$9:A260,A260)=1,MAX($M$8:M259)+1,""))</f>
        <v/>
      </c>
    </row>
    <row r="261" customFormat="false" ht="15" hidden="false" customHeight="false" outlineLevel="0" collapsed="false">
      <c r="A261" s="8"/>
      <c r="B261" s="17"/>
      <c r="C261" s="19"/>
      <c r="D261" s="8"/>
      <c r="E261" s="18"/>
      <c r="F261" s="18"/>
      <c r="G261" s="8"/>
      <c r="H261" s="8"/>
      <c r="I261" s="8"/>
      <c r="J261" s="8"/>
      <c r="K261" s="10" t="str">
        <f aca="false">IF(A261="","",IF(ABS(SUMIFS($E$9:$E$2008,$A$9:$A$2008,A261)-SUMIFS($F$9:$F$2008,$A$9:$A$2008,A261))&lt;0.5,"Yes","No"))</f>
        <v/>
      </c>
      <c r="L261" s="10" t="str">
        <f aca="false">IF(A261="","",IF(IF(K261="No","Does not balance | ","")&amp;IF(I261="","Not approved | ",IF(UPPER(TRIM(H261))=UPPER(TRIM(I261)),"Self-approved | ",""))&amp;IF(J261="","No support | ","")&amp;IF(WEEKDAY(B261,2)&gt;5,"Weekend posting | ","")&amp;IF(COUNTIF(Settings!$A$14:$A$43,B261)&gt;0,"Holiday posting | ","")&amp;IF(B261&gt;Settings!$C$8,"Posted after close | ","")&amp;IF(OR(B261&lt;Settings!$C$6,B261&gt;Settings!$C$7),"Outside period | ","")&amp;IF(COUNTIF(Settings!$E$14:$E$43,C261&amp;"")&gt;0,"Sensitive account | ","")&amp;IF(AND(MAX(N(E261),N(F261))&gt;=Settings!$C$9,MOD(MAX(N(E261),N(F261)),Settings!$C$10)=0),"Round amount | ","")="","",LEFT(IF(K261="No","Does not balance | ","")&amp;IF(I261="","Not approved | ",IF(UPPER(TRIM(H261))=UPPER(TRIM(I261)),"Self-approved | ",""))&amp;IF(J261="","No support | ","")&amp;IF(WEEKDAY(B261,2)&gt;5,"Weekend posting | ","")&amp;IF(COUNTIF(Settings!$A$14:$A$43,B261)&gt;0,"Holiday posting | ","")&amp;IF(B261&gt;Settings!$C$8,"Posted after close | ","")&amp;IF(OR(B261&lt;Settings!$C$6,B261&gt;Settings!$C$7),"Outside period | ","")&amp;IF(COUNTIF(Settings!$E$14:$E$43,C261&amp;"")&gt;0,"Sensitive account | ","")&amp;IF(AND(MAX(N(E261),N(F261))&gt;=Settings!$C$9,MOD(MAX(N(E261),N(F261)),Settings!$C$10)=0),"Round amount | ",""),LEN(IF(K261="No","Does not balance | ","")&amp;IF(I261="","Not approved | ",IF(UPPER(TRIM(H261))=UPPER(TRIM(I261)),"Self-approved | ",""))&amp;IF(J261="","No support | ","")&amp;IF(WEEKDAY(B261,2)&gt;5,"Weekend posting | ","")&amp;IF(COUNTIF(Settings!$A$14:$A$43,B261)&gt;0,"Holiday posting | ","")&amp;IF(B261&gt;Settings!$C$8,"Posted after close | ","")&amp;IF(OR(B261&lt;Settings!$C$6,B261&gt;Settings!$C$7),"Outside period | ","")&amp;IF(COUNTIF(Settings!$E$14:$E$43,C261&amp;"")&gt;0,"Sensitive account | ","")&amp;IF(AND(MAX(N(E261),N(F261))&gt;=Settings!$C$9,MOD(MAX(N(E261),N(F261)),Settings!$C$10)=0),"Round amount | ",""))-3)))</f>
        <v/>
      </c>
      <c r="M261" s="21" t="str">
        <f aca="false">IF(A261="","",IF(COUNTIF($A$9:A261,A261)=1,MAX($M$8:M260)+1,""))</f>
        <v/>
      </c>
    </row>
    <row r="262" customFormat="false" ht="15" hidden="false" customHeight="false" outlineLevel="0" collapsed="false">
      <c r="A262" s="8"/>
      <c r="B262" s="17"/>
      <c r="C262" s="19"/>
      <c r="D262" s="8"/>
      <c r="E262" s="18"/>
      <c r="F262" s="18"/>
      <c r="G262" s="8"/>
      <c r="H262" s="8"/>
      <c r="I262" s="8"/>
      <c r="J262" s="8"/>
      <c r="K262" s="10" t="str">
        <f aca="false">IF(A262="","",IF(ABS(SUMIFS($E$9:$E$2008,$A$9:$A$2008,A262)-SUMIFS($F$9:$F$2008,$A$9:$A$2008,A262))&lt;0.5,"Yes","No"))</f>
        <v/>
      </c>
      <c r="L262" s="10" t="str">
        <f aca="false">IF(A262="","",IF(IF(K262="No","Does not balance | ","")&amp;IF(I262="","Not approved | ",IF(UPPER(TRIM(H262))=UPPER(TRIM(I262)),"Self-approved | ",""))&amp;IF(J262="","No support | ","")&amp;IF(WEEKDAY(B262,2)&gt;5,"Weekend posting | ","")&amp;IF(COUNTIF(Settings!$A$14:$A$43,B262)&gt;0,"Holiday posting | ","")&amp;IF(B262&gt;Settings!$C$8,"Posted after close | ","")&amp;IF(OR(B262&lt;Settings!$C$6,B262&gt;Settings!$C$7),"Outside period | ","")&amp;IF(COUNTIF(Settings!$E$14:$E$43,C262&amp;"")&gt;0,"Sensitive account | ","")&amp;IF(AND(MAX(N(E262),N(F262))&gt;=Settings!$C$9,MOD(MAX(N(E262),N(F262)),Settings!$C$10)=0),"Round amount | ","")="","",LEFT(IF(K262="No","Does not balance | ","")&amp;IF(I262="","Not approved | ",IF(UPPER(TRIM(H262))=UPPER(TRIM(I262)),"Self-approved | ",""))&amp;IF(J262="","No support | ","")&amp;IF(WEEKDAY(B262,2)&gt;5,"Weekend posting | ","")&amp;IF(COUNTIF(Settings!$A$14:$A$43,B262)&gt;0,"Holiday posting | ","")&amp;IF(B262&gt;Settings!$C$8,"Posted after close | ","")&amp;IF(OR(B262&lt;Settings!$C$6,B262&gt;Settings!$C$7),"Outside period | ","")&amp;IF(COUNTIF(Settings!$E$14:$E$43,C262&amp;"")&gt;0,"Sensitive account | ","")&amp;IF(AND(MAX(N(E262),N(F262))&gt;=Settings!$C$9,MOD(MAX(N(E262),N(F262)),Settings!$C$10)=0),"Round amount | ",""),LEN(IF(K262="No","Does not balance | ","")&amp;IF(I262="","Not approved | ",IF(UPPER(TRIM(H262))=UPPER(TRIM(I262)),"Self-approved | ",""))&amp;IF(J262="","No support | ","")&amp;IF(WEEKDAY(B262,2)&gt;5,"Weekend posting | ","")&amp;IF(COUNTIF(Settings!$A$14:$A$43,B262)&gt;0,"Holiday posting | ","")&amp;IF(B262&gt;Settings!$C$8,"Posted after close | ","")&amp;IF(OR(B262&lt;Settings!$C$6,B262&gt;Settings!$C$7),"Outside period | ","")&amp;IF(COUNTIF(Settings!$E$14:$E$43,C262&amp;"")&gt;0,"Sensitive account | ","")&amp;IF(AND(MAX(N(E262),N(F262))&gt;=Settings!$C$9,MOD(MAX(N(E262),N(F262)),Settings!$C$10)=0),"Round amount | ",""))-3)))</f>
        <v/>
      </c>
      <c r="M262" s="21" t="str">
        <f aca="false">IF(A262="","",IF(COUNTIF($A$9:A262,A262)=1,MAX($M$8:M261)+1,""))</f>
        <v/>
      </c>
    </row>
    <row r="263" customFormat="false" ht="15" hidden="false" customHeight="false" outlineLevel="0" collapsed="false">
      <c r="A263" s="8"/>
      <c r="B263" s="17"/>
      <c r="C263" s="19"/>
      <c r="D263" s="8"/>
      <c r="E263" s="18"/>
      <c r="F263" s="18"/>
      <c r="G263" s="8"/>
      <c r="H263" s="8"/>
      <c r="I263" s="8"/>
      <c r="J263" s="8"/>
      <c r="K263" s="10" t="str">
        <f aca="false">IF(A263="","",IF(ABS(SUMIFS($E$9:$E$2008,$A$9:$A$2008,A263)-SUMIFS($F$9:$F$2008,$A$9:$A$2008,A263))&lt;0.5,"Yes","No"))</f>
        <v/>
      </c>
      <c r="L263" s="10" t="str">
        <f aca="false">IF(A263="","",IF(IF(K263="No","Does not balance | ","")&amp;IF(I263="","Not approved | ",IF(UPPER(TRIM(H263))=UPPER(TRIM(I263)),"Self-approved | ",""))&amp;IF(J263="","No support | ","")&amp;IF(WEEKDAY(B263,2)&gt;5,"Weekend posting | ","")&amp;IF(COUNTIF(Settings!$A$14:$A$43,B263)&gt;0,"Holiday posting | ","")&amp;IF(B263&gt;Settings!$C$8,"Posted after close | ","")&amp;IF(OR(B263&lt;Settings!$C$6,B263&gt;Settings!$C$7),"Outside period | ","")&amp;IF(COUNTIF(Settings!$E$14:$E$43,C263&amp;"")&gt;0,"Sensitive account | ","")&amp;IF(AND(MAX(N(E263),N(F263))&gt;=Settings!$C$9,MOD(MAX(N(E263),N(F263)),Settings!$C$10)=0),"Round amount | ","")="","",LEFT(IF(K263="No","Does not balance | ","")&amp;IF(I263="","Not approved | ",IF(UPPER(TRIM(H263))=UPPER(TRIM(I263)),"Self-approved | ",""))&amp;IF(J263="","No support | ","")&amp;IF(WEEKDAY(B263,2)&gt;5,"Weekend posting | ","")&amp;IF(COUNTIF(Settings!$A$14:$A$43,B263)&gt;0,"Holiday posting | ","")&amp;IF(B263&gt;Settings!$C$8,"Posted after close | ","")&amp;IF(OR(B263&lt;Settings!$C$6,B263&gt;Settings!$C$7),"Outside period | ","")&amp;IF(COUNTIF(Settings!$E$14:$E$43,C263&amp;"")&gt;0,"Sensitive account | ","")&amp;IF(AND(MAX(N(E263),N(F263))&gt;=Settings!$C$9,MOD(MAX(N(E263),N(F263)),Settings!$C$10)=0),"Round amount | ",""),LEN(IF(K263="No","Does not balance | ","")&amp;IF(I263="","Not approved | ",IF(UPPER(TRIM(H263))=UPPER(TRIM(I263)),"Self-approved | ",""))&amp;IF(J263="","No support | ","")&amp;IF(WEEKDAY(B263,2)&gt;5,"Weekend posting | ","")&amp;IF(COUNTIF(Settings!$A$14:$A$43,B263)&gt;0,"Holiday posting | ","")&amp;IF(B263&gt;Settings!$C$8,"Posted after close | ","")&amp;IF(OR(B263&lt;Settings!$C$6,B263&gt;Settings!$C$7),"Outside period | ","")&amp;IF(COUNTIF(Settings!$E$14:$E$43,C263&amp;"")&gt;0,"Sensitive account | ","")&amp;IF(AND(MAX(N(E263),N(F263))&gt;=Settings!$C$9,MOD(MAX(N(E263),N(F263)),Settings!$C$10)=0),"Round amount | ",""))-3)))</f>
        <v/>
      </c>
      <c r="M263" s="21" t="str">
        <f aca="false">IF(A263="","",IF(COUNTIF($A$9:A263,A263)=1,MAX($M$8:M262)+1,""))</f>
        <v/>
      </c>
    </row>
    <row r="264" customFormat="false" ht="15" hidden="false" customHeight="false" outlineLevel="0" collapsed="false">
      <c r="A264" s="8"/>
      <c r="B264" s="17"/>
      <c r="C264" s="19"/>
      <c r="D264" s="8"/>
      <c r="E264" s="18"/>
      <c r="F264" s="18"/>
      <c r="G264" s="8"/>
      <c r="H264" s="8"/>
      <c r="I264" s="8"/>
      <c r="J264" s="8"/>
      <c r="K264" s="10" t="str">
        <f aca="false">IF(A264="","",IF(ABS(SUMIFS($E$9:$E$2008,$A$9:$A$2008,A264)-SUMIFS($F$9:$F$2008,$A$9:$A$2008,A264))&lt;0.5,"Yes","No"))</f>
        <v/>
      </c>
      <c r="L264" s="10" t="str">
        <f aca="false">IF(A264="","",IF(IF(K264="No","Does not balance | ","")&amp;IF(I264="","Not approved | ",IF(UPPER(TRIM(H264))=UPPER(TRIM(I264)),"Self-approved | ",""))&amp;IF(J264="","No support | ","")&amp;IF(WEEKDAY(B264,2)&gt;5,"Weekend posting | ","")&amp;IF(COUNTIF(Settings!$A$14:$A$43,B264)&gt;0,"Holiday posting | ","")&amp;IF(B264&gt;Settings!$C$8,"Posted after close | ","")&amp;IF(OR(B264&lt;Settings!$C$6,B264&gt;Settings!$C$7),"Outside period | ","")&amp;IF(COUNTIF(Settings!$E$14:$E$43,C264&amp;"")&gt;0,"Sensitive account | ","")&amp;IF(AND(MAX(N(E264),N(F264))&gt;=Settings!$C$9,MOD(MAX(N(E264),N(F264)),Settings!$C$10)=0),"Round amount | ","")="","",LEFT(IF(K264="No","Does not balance | ","")&amp;IF(I264="","Not approved | ",IF(UPPER(TRIM(H264))=UPPER(TRIM(I264)),"Self-approved | ",""))&amp;IF(J264="","No support | ","")&amp;IF(WEEKDAY(B264,2)&gt;5,"Weekend posting | ","")&amp;IF(COUNTIF(Settings!$A$14:$A$43,B264)&gt;0,"Holiday posting | ","")&amp;IF(B264&gt;Settings!$C$8,"Posted after close | ","")&amp;IF(OR(B264&lt;Settings!$C$6,B264&gt;Settings!$C$7),"Outside period | ","")&amp;IF(COUNTIF(Settings!$E$14:$E$43,C264&amp;"")&gt;0,"Sensitive account | ","")&amp;IF(AND(MAX(N(E264),N(F264))&gt;=Settings!$C$9,MOD(MAX(N(E264),N(F264)),Settings!$C$10)=0),"Round amount | ",""),LEN(IF(K264="No","Does not balance | ","")&amp;IF(I264="","Not approved | ",IF(UPPER(TRIM(H264))=UPPER(TRIM(I264)),"Self-approved | ",""))&amp;IF(J264="","No support | ","")&amp;IF(WEEKDAY(B264,2)&gt;5,"Weekend posting | ","")&amp;IF(COUNTIF(Settings!$A$14:$A$43,B264)&gt;0,"Holiday posting | ","")&amp;IF(B264&gt;Settings!$C$8,"Posted after close | ","")&amp;IF(OR(B264&lt;Settings!$C$6,B264&gt;Settings!$C$7),"Outside period | ","")&amp;IF(COUNTIF(Settings!$E$14:$E$43,C264&amp;"")&gt;0,"Sensitive account | ","")&amp;IF(AND(MAX(N(E264),N(F264))&gt;=Settings!$C$9,MOD(MAX(N(E264),N(F264)),Settings!$C$10)=0),"Round amount | ",""))-3)))</f>
        <v/>
      </c>
      <c r="M264" s="21" t="str">
        <f aca="false">IF(A264="","",IF(COUNTIF($A$9:A264,A264)=1,MAX($M$8:M263)+1,""))</f>
        <v/>
      </c>
    </row>
    <row r="265" customFormat="false" ht="15" hidden="false" customHeight="false" outlineLevel="0" collapsed="false">
      <c r="A265" s="8"/>
      <c r="B265" s="17"/>
      <c r="C265" s="19"/>
      <c r="D265" s="8"/>
      <c r="E265" s="18"/>
      <c r="F265" s="18"/>
      <c r="G265" s="8"/>
      <c r="H265" s="8"/>
      <c r="I265" s="8"/>
      <c r="J265" s="8"/>
      <c r="K265" s="10" t="str">
        <f aca="false">IF(A265="","",IF(ABS(SUMIFS($E$9:$E$2008,$A$9:$A$2008,A265)-SUMIFS($F$9:$F$2008,$A$9:$A$2008,A265))&lt;0.5,"Yes","No"))</f>
        <v/>
      </c>
      <c r="L265" s="10" t="str">
        <f aca="false">IF(A265="","",IF(IF(K265="No","Does not balance | ","")&amp;IF(I265="","Not approved | ",IF(UPPER(TRIM(H265))=UPPER(TRIM(I265)),"Self-approved | ",""))&amp;IF(J265="","No support | ","")&amp;IF(WEEKDAY(B265,2)&gt;5,"Weekend posting | ","")&amp;IF(COUNTIF(Settings!$A$14:$A$43,B265)&gt;0,"Holiday posting | ","")&amp;IF(B265&gt;Settings!$C$8,"Posted after close | ","")&amp;IF(OR(B265&lt;Settings!$C$6,B265&gt;Settings!$C$7),"Outside period | ","")&amp;IF(COUNTIF(Settings!$E$14:$E$43,C265&amp;"")&gt;0,"Sensitive account | ","")&amp;IF(AND(MAX(N(E265),N(F265))&gt;=Settings!$C$9,MOD(MAX(N(E265),N(F265)),Settings!$C$10)=0),"Round amount | ","")="","",LEFT(IF(K265="No","Does not balance | ","")&amp;IF(I265="","Not approved | ",IF(UPPER(TRIM(H265))=UPPER(TRIM(I265)),"Self-approved | ",""))&amp;IF(J265="","No support | ","")&amp;IF(WEEKDAY(B265,2)&gt;5,"Weekend posting | ","")&amp;IF(COUNTIF(Settings!$A$14:$A$43,B265)&gt;0,"Holiday posting | ","")&amp;IF(B265&gt;Settings!$C$8,"Posted after close | ","")&amp;IF(OR(B265&lt;Settings!$C$6,B265&gt;Settings!$C$7),"Outside period | ","")&amp;IF(COUNTIF(Settings!$E$14:$E$43,C265&amp;"")&gt;0,"Sensitive account | ","")&amp;IF(AND(MAX(N(E265),N(F265))&gt;=Settings!$C$9,MOD(MAX(N(E265),N(F265)),Settings!$C$10)=0),"Round amount | ",""),LEN(IF(K265="No","Does not balance | ","")&amp;IF(I265="","Not approved | ",IF(UPPER(TRIM(H265))=UPPER(TRIM(I265)),"Self-approved | ",""))&amp;IF(J265="","No support | ","")&amp;IF(WEEKDAY(B265,2)&gt;5,"Weekend posting | ","")&amp;IF(COUNTIF(Settings!$A$14:$A$43,B265)&gt;0,"Holiday posting | ","")&amp;IF(B265&gt;Settings!$C$8,"Posted after close | ","")&amp;IF(OR(B265&lt;Settings!$C$6,B265&gt;Settings!$C$7),"Outside period | ","")&amp;IF(COUNTIF(Settings!$E$14:$E$43,C265&amp;"")&gt;0,"Sensitive account | ","")&amp;IF(AND(MAX(N(E265),N(F265))&gt;=Settings!$C$9,MOD(MAX(N(E265),N(F265)),Settings!$C$10)=0),"Round amount | ",""))-3)))</f>
        <v/>
      </c>
      <c r="M265" s="21" t="str">
        <f aca="false">IF(A265="","",IF(COUNTIF($A$9:A265,A265)=1,MAX($M$8:M264)+1,""))</f>
        <v/>
      </c>
    </row>
    <row r="266" customFormat="false" ht="15" hidden="false" customHeight="false" outlineLevel="0" collapsed="false">
      <c r="A266" s="8"/>
      <c r="B266" s="17"/>
      <c r="C266" s="19"/>
      <c r="D266" s="8"/>
      <c r="E266" s="18"/>
      <c r="F266" s="18"/>
      <c r="G266" s="8"/>
      <c r="H266" s="8"/>
      <c r="I266" s="8"/>
      <c r="J266" s="8"/>
      <c r="K266" s="10" t="str">
        <f aca="false">IF(A266="","",IF(ABS(SUMIFS($E$9:$E$2008,$A$9:$A$2008,A266)-SUMIFS($F$9:$F$2008,$A$9:$A$2008,A266))&lt;0.5,"Yes","No"))</f>
        <v/>
      </c>
      <c r="L266" s="10" t="str">
        <f aca="false">IF(A266="","",IF(IF(K266="No","Does not balance | ","")&amp;IF(I266="","Not approved | ",IF(UPPER(TRIM(H266))=UPPER(TRIM(I266)),"Self-approved | ",""))&amp;IF(J266="","No support | ","")&amp;IF(WEEKDAY(B266,2)&gt;5,"Weekend posting | ","")&amp;IF(COUNTIF(Settings!$A$14:$A$43,B266)&gt;0,"Holiday posting | ","")&amp;IF(B266&gt;Settings!$C$8,"Posted after close | ","")&amp;IF(OR(B266&lt;Settings!$C$6,B266&gt;Settings!$C$7),"Outside period | ","")&amp;IF(COUNTIF(Settings!$E$14:$E$43,C266&amp;"")&gt;0,"Sensitive account | ","")&amp;IF(AND(MAX(N(E266),N(F266))&gt;=Settings!$C$9,MOD(MAX(N(E266),N(F266)),Settings!$C$10)=0),"Round amount | ","")="","",LEFT(IF(K266="No","Does not balance | ","")&amp;IF(I266="","Not approved | ",IF(UPPER(TRIM(H266))=UPPER(TRIM(I266)),"Self-approved | ",""))&amp;IF(J266="","No support | ","")&amp;IF(WEEKDAY(B266,2)&gt;5,"Weekend posting | ","")&amp;IF(COUNTIF(Settings!$A$14:$A$43,B266)&gt;0,"Holiday posting | ","")&amp;IF(B266&gt;Settings!$C$8,"Posted after close | ","")&amp;IF(OR(B266&lt;Settings!$C$6,B266&gt;Settings!$C$7),"Outside period | ","")&amp;IF(COUNTIF(Settings!$E$14:$E$43,C266&amp;"")&gt;0,"Sensitive account | ","")&amp;IF(AND(MAX(N(E266),N(F266))&gt;=Settings!$C$9,MOD(MAX(N(E266),N(F266)),Settings!$C$10)=0),"Round amount | ",""),LEN(IF(K266="No","Does not balance | ","")&amp;IF(I266="","Not approved | ",IF(UPPER(TRIM(H266))=UPPER(TRIM(I266)),"Self-approved | ",""))&amp;IF(J266="","No support | ","")&amp;IF(WEEKDAY(B266,2)&gt;5,"Weekend posting | ","")&amp;IF(COUNTIF(Settings!$A$14:$A$43,B266)&gt;0,"Holiday posting | ","")&amp;IF(B266&gt;Settings!$C$8,"Posted after close | ","")&amp;IF(OR(B266&lt;Settings!$C$6,B266&gt;Settings!$C$7),"Outside period | ","")&amp;IF(COUNTIF(Settings!$E$14:$E$43,C266&amp;"")&gt;0,"Sensitive account | ","")&amp;IF(AND(MAX(N(E266),N(F266))&gt;=Settings!$C$9,MOD(MAX(N(E266),N(F266)),Settings!$C$10)=0),"Round amount | ",""))-3)))</f>
        <v/>
      </c>
      <c r="M266" s="21" t="str">
        <f aca="false">IF(A266="","",IF(COUNTIF($A$9:A266,A266)=1,MAX($M$8:M265)+1,""))</f>
        <v/>
      </c>
    </row>
    <row r="267" customFormat="false" ht="15" hidden="false" customHeight="false" outlineLevel="0" collapsed="false">
      <c r="A267" s="8"/>
      <c r="B267" s="17"/>
      <c r="C267" s="19"/>
      <c r="D267" s="8"/>
      <c r="E267" s="18"/>
      <c r="F267" s="18"/>
      <c r="G267" s="8"/>
      <c r="H267" s="8"/>
      <c r="I267" s="8"/>
      <c r="J267" s="8"/>
      <c r="K267" s="10" t="str">
        <f aca="false">IF(A267="","",IF(ABS(SUMIFS($E$9:$E$2008,$A$9:$A$2008,A267)-SUMIFS($F$9:$F$2008,$A$9:$A$2008,A267))&lt;0.5,"Yes","No"))</f>
        <v/>
      </c>
      <c r="L267" s="10" t="str">
        <f aca="false">IF(A267="","",IF(IF(K267="No","Does not balance | ","")&amp;IF(I267="","Not approved | ",IF(UPPER(TRIM(H267))=UPPER(TRIM(I267)),"Self-approved | ",""))&amp;IF(J267="","No support | ","")&amp;IF(WEEKDAY(B267,2)&gt;5,"Weekend posting | ","")&amp;IF(COUNTIF(Settings!$A$14:$A$43,B267)&gt;0,"Holiday posting | ","")&amp;IF(B267&gt;Settings!$C$8,"Posted after close | ","")&amp;IF(OR(B267&lt;Settings!$C$6,B267&gt;Settings!$C$7),"Outside period | ","")&amp;IF(COUNTIF(Settings!$E$14:$E$43,C267&amp;"")&gt;0,"Sensitive account | ","")&amp;IF(AND(MAX(N(E267),N(F267))&gt;=Settings!$C$9,MOD(MAX(N(E267),N(F267)),Settings!$C$10)=0),"Round amount | ","")="","",LEFT(IF(K267="No","Does not balance | ","")&amp;IF(I267="","Not approved | ",IF(UPPER(TRIM(H267))=UPPER(TRIM(I267)),"Self-approved | ",""))&amp;IF(J267="","No support | ","")&amp;IF(WEEKDAY(B267,2)&gt;5,"Weekend posting | ","")&amp;IF(COUNTIF(Settings!$A$14:$A$43,B267)&gt;0,"Holiday posting | ","")&amp;IF(B267&gt;Settings!$C$8,"Posted after close | ","")&amp;IF(OR(B267&lt;Settings!$C$6,B267&gt;Settings!$C$7),"Outside period | ","")&amp;IF(COUNTIF(Settings!$E$14:$E$43,C267&amp;"")&gt;0,"Sensitive account | ","")&amp;IF(AND(MAX(N(E267),N(F267))&gt;=Settings!$C$9,MOD(MAX(N(E267),N(F267)),Settings!$C$10)=0),"Round amount | ",""),LEN(IF(K267="No","Does not balance | ","")&amp;IF(I267="","Not approved | ",IF(UPPER(TRIM(H267))=UPPER(TRIM(I267)),"Self-approved | ",""))&amp;IF(J267="","No support | ","")&amp;IF(WEEKDAY(B267,2)&gt;5,"Weekend posting | ","")&amp;IF(COUNTIF(Settings!$A$14:$A$43,B267)&gt;0,"Holiday posting | ","")&amp;IF(B267&gt;Settings!$C$8,"Posted after close | ","")&amp;IF(OR(B267&lt;Settings!$C$6,B267&gt;Settings!$C$7),"Outside period | ","")&amp;IF(COUNTIF(Settings!$E$14:$E$43,C267&amp;"")&gt;0,"Sensitive account | ","")&amp;IF(AND(MAX(N(E267),N(F267))&gt;=Settings!$C$9,MOD(MAX(N(E267),N(F267)),Settings!$C$10)=0),"Round amount | ",""))-3)))</f>
        <v/>
      </c>
      <c r="M267" s="21" t="str">
        <f aca="false">IF(A267="","",IF(COUNTIF($A$9:A267,A267)=1,MAX($M$8:M266)+1,""))</f>
        <v/>
      </c>
    </row>
    <row r="268" customFormat="false" ht="15" hidden="false" customHeight="false" outlineLevel="0" collapsed="false">
      <c r="A268" s="8"/>
      <c r="B268" s="17"/>
      <c r="C268" s="19"/>
      <c r="D268" s="8"/>
      <c r="E268" s="18"/>
      <c r="F268" s="18"/>
      <c r="G268" s="8"/>
      <c r="H268" s="8"/>
      <c r="I268" s="8"/>
      <c r="J268" s="8"/>
      <c r="K268" s="10" t="str">
        <f aca="false">IF(A268="","",IF(ABS(SUMIFS($E$9:$E$2008,$A$9:$A$2008,A268)-SUMIFS($F$9:$F$2008,$A$9:$A$2008,A268))&lt;0.5,"Yes","No"))</f>
        <v/>
      </c>
      <c r="L268" s="10" t="str">
        <f aca="false">IF(A268="","",IF(IF(K268="No","Does not balance | ","")&amp;IF(I268="","Not approved | ",IF(UPPER(TRIM(H268))=UPPER(TRIM(I268)),"Self-approved | ",""))&amp;IF(J268="","No support | ","")&amp;IF(WEEKDAY(B268,2)&gt;5,"Weekend posting | ","")&amp;IF(COUNTIF(Settings!$A$14:$A$43,B268)&gt;0,"Holiday posting | ","")&amp;IF(B268&gt;Settings!$C$8,"Posted after close | ","")&amp;IF(OR(B268&lt;Settings!$C$6,B268&gt;Settings!$C$7),"Outside period | ","")&amp;IF(COUNTIF(Settings!$E$14:$E$43,C268&amp;"")&gt;0,"Sensitive account | ","")&amp;IF(AND(MAX(N(E268),N(F268))&gt;=Settings!$C$9,MOD(MAX(N(E268),N(F268)),Settings!$C$10)=0),"Round amount | ","")="","",LEFT(IF(K268="No","Does not balance | ","")&amp;IF(I268="","Not approved | ",IF(UPPER(TRIM(H268))=UPPER(TRIM(I268)),"Self-approved | ",""))&amp;IF(J268="","No support | ","")&amp;IF(WEEKDAY(B268,2)&gt;5,"Weekend posting | ","")&amp;IF(COUNTIF(Settings!$A$14:$A$43,B268)&gt;0,"Holiday posting | ","")&amp;IF(B268&gt;Settings!$C$8,"Posted after close | ","")&amp;IF(OR(B268&lt;Settings!$C$6,B268&gt;Settings!$C$7),"Outside period | ","")&amp;IF(COUNTIF(Settings!$E$14:$E$43,C268&amp;"")&gt;0,"Sensitive account | ","")&amp;IF(AND(MAX(N(E268),N(F268))&gt;=Settings!$C$9,MOD(MAX(N(E268),N(F268)),Settings!$C$10)=0),"Round amount | ",""),LEN(IF(K268="No","Does not balance | ","")&amp;IF(I268="","Not approved | ",IF(UPPER(TRIM(H268))=UPPER(TRIM(I268)),"Self-approved | ",""))&amp;IF(J268="","No support | ","")&amp;IF(WEEKDAY(B268,2)&gt;5,"Weekend posting | ","")&amp;IF(COUNTIF(Settings!$A$14:$A$43,B268)&gt;0,"Holiday posting | ","")&amp;IF(B268&gt;Settings!$C$8,"Posted after close | ","")&amp;IF(OR(B268&lt;Settings!$C$6,B268&gt;Settings!$C$7),"Outside period | ","")&amp;IF(COUNTIF(Settings!$E$14:$E$43,C268&amp;"")&gt;0,"Sensitive account | ","")&amp;IF(AND(MAX(N(E268),N(F268))&gt;=Settings!$C$9,MOD(MAX(N(E268),N(F268)),Settings!$C$10)=0),"Round amount | ",""))-3)))</f>
        <v/>
      </c>
      <c r="M268" s="21" t="str">
        <f aca="false">IF(A268="","",IF(COUNTIF($A$9:A268,A268)=1,MAX($M$8:M267)+1,""))</f>
        <v/>
      </c>
    </row>
    <row r="269" customFormat="false" ht="15" hidden="false" customHeight="false" outlineLevel="0" collapsed="false">
      <c r="A269" s="8"/>
      <c r="B269" s="17"/>
      <c r="C269" s="19"/>
      <c r="D269" s="8"/>
      <c r="E269" s="18"/>
      <c r="F269" s="18"/>
      <c r="G269" s="8"/>
      <c r="H269" s="8"/>
      <c r="I269" s="8"/>
      <c r="J269" s="8"/>
      <c r="K269" s="10" t="str">
        <f aca="false">IF(A269="","",IF(ABS(SUMIFS($E$9:$E$2008,$A$9:$A$2008,A269)-SUMIFS($F$9:$F$2008,$A$9:$A$2008,A269))&lt;0.5,"Yes","No"))</f>
        <v/>
      </c>
      <c r="L269" s="10" t="str">
        <f aca="false">IF(A269="","",IF(IF(K269="No","Does not balance | ","")&amp;IF(I269="","Not approved | ",IF(UPPER(TRIM(H269))=UPPER(TRIM(I269)),"Self-approved | ",""))&amp;IF(J269="","No support | ","")&amp;IF(WEEKDAY(B269,2)&gt;5,"Weekend posting | ","")&amp;IF(COUNTIF(Settings!$A$14:$A$43,B269)&gt;0,"Holiday posting | ","")&amp;IF(B269&gt;Settings!$C$8,"Posted after close | ","")&amp;IF(OR(B269&lt;Settings!$C$6,B269&gt;Settings!$C$7),"Outside period | ","")&amp;IF(COUNTIF(Settings!$E$14:$E$43,C269&amp;"")&gt;0,"Sensitive account | ","")&amp;IF(AND(MAX(N(E269),N(F269))&gt;=Settings!$C$9,MOD(MAX(N(E269),N(F269)),Settings!$C$10)=0),"Round amount | ","")="","",LEFT(IF(K269="No","Does not balance | ","")&amp;IF(I269="","Not approved | ",IF(UPPER(TRIM(H269))=UPPER(TRIM(I269)),"Self-approved | ",""))&amp;IF(J269="","No support | ","")&amp;IF(WEEKDAY(B269,2)&gt;5,"Weekend posting | ","")&amp;IF(COUNTIF(Settings!$A$14:$A$43,B269)&gt;0,"Holiday posting | ","")&amp;IF(B269&gt;Settings!$C$8,"Posted after close | ","")&amp;IF(OR(B269&lt;Settings!$C$6,B269&gt;Settings!$C$7),"Outside period | ","")&amp;IF(COUNTIF(Settings!$E$14:$E$43,C269&amp;"")&gt;0,"Sensitive account | ","")&amp;IF(AND(MAX(N(E269),N(F269))&gt;=Settings!$C$9,MOD(MAX(N(E269),N(F269)),Settings!$C$10)=0),"Round amount | ",""),LEN(IF(K269="No","Does not balance | ","")&amp;IF(I269="","Not approved | ",IF(UPPER(TRIM(H269))=UPPER(TRIM(I269)),"Self-approved | ",""))&amp;IF(J269="","No support | ","")&amp;IF(WEEKDAY(B269,2)&gt;5,"Weekend posting | ","")&amp;IF(COUNTIF(Settings!$A$14:$A$43,B269)&gt;0,"Holiday posting | ","")&amp;IF(B269&gt;Settings!$C$8,"Posted after close | ","")&amp;IF(OR(B269&lt;Settings!$C$6,B269&gt;Settings!$C$7),"Outside period | ","")&amp;IF(COUNTIF(Settings!$E$14:$E$43,C269&amp;"")&gt;0,"Sensitive account | ","")&amp;IF(AND(MAX(N(E269),N(F269))&gt;=Settings!$C$9,MOD(MAX(N(E269),N(F269)),Settings!$C$10)=0),"Round amount | ",""))-3)))</f>
        <v/>
      </c>
      <c r="M269" s="21" t="str">
        <f aca="false">IF(A269="","",IF(COUNTIF($A$9:A269,A269)=1,MAX($M$8:M268)+1,""))</f>
        <v/>
      </c>
    </row>
    <row r="270" customFormat="false" ht="15" hidden="false" customHeight="false" outlineLevel="0" collapsed="false">
      <c r="A270" s="8"/>
      <c r="B270" s="17"/>
      <c r="C270" s="19"/>
      <c r="D270" s="8"/>
      <c r="E270" s="18"/>
      <c r="F270" s="18"/>
      <c r="G270" s="8"/>
      <c r="H270" s="8"/>
      <c r="I270" s="8"/>
      <c r="J270" s="8"/>
      <c r="K270" s="10" t="str">
        <f aca="false">IF(A270="","",IF(ABS(SUMIFS($E$9:$E$2008,$A$9:$A$2008,A270)-SUMIFS($F$9:$F$2008,$A$9:$A$2008,A270))&lt;0.5,"Yes","No"))</f>
        <v/>
      </c>
      <c r="L270" s="10" t="str">
        <f aca="false">IF(A270="","",IF(IF(K270="No","Does not balance | ","")&amp;IF(I270="","Not approved | ",IF(UPPER(TRIM(H270))=UPPER(TRIM(I270)),"Self-approved | ",""))&amp;IF(J270="","No support | ","")&amp;IF(WEEKDAY(B270,2)&gt;5,"Weekend posting | ","")&amp;IF(COUNTIF(Settings!$A$14:$A$43,B270)&gt;0,"Holiday posting | ","")&amp;IF(B270&gt;Settings!$C$8,"Posted after close | ","")&amp;IF(OR(B270&lt;Settings!$C$6,B270&gt;Settings!$C$7),"Outside period | ","")&amp;IF(COUNTIF(Settings!$E$14:$E$43,C270&amp;"")&gt;0,"Sensitive account | ","")&amp;IF(AND(MAX(N(E270),N(F270))&gt;=Settings!$C$9,MOD(MAX(N(E270),N(F270)),Settings!$C$10)=0),"Round amount | ","")="","",LEFT(IF(K270="No","Does not balance | ","")&amp;IF(I270="","Not approved | ",IF(UPPER(TRIM(H270))=UPPER(TRIM(I270)),"Self-approved | ",""))&amp;IF(J270="","No support | ","")&amp;IF(WEEKDAY(B270,2)&gt;5,"Weekend posting | ","")&amp;IF(COUNTIF(Settings!$A$14:$A$43,B270)&gt;0,"Holiday posting | ","")&amp;IF(B270&gt;Settings!$C$8,"Posted after close | ","")&amp;IF(OR(B270&lt;Settings!$C$6,B270&gt;Settings!$C$7),"Outside period | ","")&amp;IF(COUNTIF(Settings!$E$14:$E$43,C270&amp;"")&gt;0,"Sensitive account | ","")&amp;IF(AND(MAX(N(E270),N(F270))&gt;=Settings!$C$9,MOD(MAX(N(E270),N(F270)),Settings!$C$10)=0),"Round amount | ",""),LEN(IF(K270="No","Does not balance | ","")&amp;IF(I270="","Not approved | ",IF(UPPER(TRIM(H270))=UPPER(TRIM(I270)),"Self-approved | ",""))&amp;IF(J270="","No support | ","")&amp;IF(WEEKDAY(B270,2)&gt;5,"Weekend posting | ","")&amp;IF(COUNTIF(Settings!$A$14:$A$43,B270)&gt;0,"Holiday posting | ","")&amp;IF(B270&gt;Settings!$C$8,"Posted after close | ","")&amp;IF(OR(B270&lt;Settings!$C$6,B270&gt;Settings!$C$7),"Outside period | ","")&amp;IF(COUNTIF(Settings!$E$14:$E$43,C270&amp;"")&gt;0,"Sensitive account | ","")&amp;IF(AND(MAX(N(E270),N(F270))&gt;=Settings!$C$9,MOD(MAX(N(E270),N(F270)),Settings!$C$10)=0),"Round amount | ",""))-3)))</f>
        <v/>
      </c>
      <c r="M270" s="21" t="str">
        <f aca="false">IF(A270="","",IF(COUNTIF($A$9:A270,A270)=1,MAX($M$8:M269)+1,""))</f>
        <v/>
      </c>
    </row>
    <row r="271" customFormat="false" ht="15" hidden="false" customHeight="false" outlineLevel="0" collapsed="false">
      <c r="A271" s="8"/>
      <c r="B271" s="17"/>
      <c r="C271" s="19"/>
      <c r="D271" s="8"/>
      <c r="E271" s="18"/>
      <c r="F271" s="18"/>
      <c r="G271" s="8"/>
      <c r="H271" s="8"/>
      <c r="I271" s="8"/>
      <c r="J271" s="8"/>
      <c r="K271" s="10" t="str">
        <f aca="false">IF(A271="","",IF(ABS(SUMIFS($E$9:$E$2008,$A$9:$A$2008,A271)-SUMIFS($F$9:$F$2008,$A$9:$A$2008,A271))&lt;0.5,"Yes","No"))</f>
        <v/>
      </c>
      <c r="L271" s="10" t="str">
        <f aca="false">IF(A271="","",IF(IF(K271="No","Does not balance | ","")&amp;IF(I271="","Not approved | ",IF(UPPER(TRIM(H271))=UPPER(TRIM(I271)),"Self-approved | ",""))&amp;IF(J271="","No support | ","")&amp;IF(WEEKDAY(B271,2)&gt;5,"Weekend posting | ","")&amp;IF(COUNTIF(Settings!$A$14:$A$43,B271)&gt;0,"Holiday posting | ","")&amp;IF(B271&gt;Settings!$C$8,"Posted after close | ","")&amp;IF(OR(B271&lt;Settings!$C$6,B271&gt;Settings!$C$7),"Outside period | ","")&amp;IF(COUNTIF(Settings!$E$14:$E$43,C271&amp;"")&gt;0,"Sensitive account | ","")&amp;IF(AND(MAX(N(E271),N(F271))&gt;=Settings!$C$9,MOD(MAX(N(E271),N(F271)),Settings!$C$10)=0),"Round amount | ","")="","",LEFT(IF(K271="No","Does not balance | ","")&amp;IF(I271="","Not approved | ",IF(UPPER(TRIM(H271))=UPPER(TRIM(I271)),"Self-approved | ",""))&amp;IF(J271="","No support | ","")&amp;IF(WEEKDAY(B271,2)&gt;5,"Weekend posting | ","")&amp;IF(COUNTIF(Settings!$A$14:$A$43,B271)&gt;0,"Holiday posting | ","")&amp;IF(B271&gt;Settings!$C$8,"Posted after close | ","")&amp;IF(OR(B271&lt;Settings!$C$6,B271&gt;Settings!$C$7),"Outside period | ","")&amp;IF(COUNTIF(Settings!$E$14:$E$43,C271&amp;"")&gt;0,"Sensitive account | ","")&amp;IF(AND(MAX(N(E271),N(F271))&gt;=Settings!$C$9,MOD(MAX(N(E271),N(F271)),Settings!$C$10)=0),"Round amount | ",""),LEN(IF(K271="No","Does not balance | ","")&amp;IF(I271="","Not approved | ",IF(UPPER(TRIM(H271))=UPPER(TRIM(I271)),"Self-approved | ",""))&amp;IF(J271="","No support | ","")&amp;IF(WEEKDAY(B271,2)&gt;5,"Weekend posting | ","")&amp;IF(COUNTIF(Settings!$A$14:$A$43,B271)&gt;0,"Holiday posting | ","")&amp;IF(B271&gt;Settings!$C$8,"Posted after close | ","")&amp;IF(OR(B271&lt;Settings!$C$6,B271&gt;Settings!$C$7),"Outside period | ","")&amp;IF(COUNTIF(Settings!$E$14:$E$43,C271&amp;"")&gt;0,"Sensitive account | ","")&amp;IF(AND(MAX(N(E271),N(F271))&gt;=Settings!$C$9,MOD(MAX(N(E271),N(F271)),Settings!$C$10)=0),"Round amount | ",""))-3)))</f>
        <v/>
      </c>
      <c r="M271" s="21" t="str">
        <f aca="false">IF(A271="","",IF(COUNTIF($A$9:A271,A271)=1,MAX($M$8:M270)+1,""))</f>
        <v/>
      </c>
    </row>
    <row r="272" customFormat="false" ht="15" hidden="false" customHeight="false" outlineLevel="0" collapsed="false">
      <c r="A272" s="8"/>
      <c r="B272" s="17"/>
      <c r="C272" s="19"/>
      <c r="D272" s="8"/>
      <c r="E272" s="18"/>
      <c r="F272" s="18"/>
      <c r="G272" s="8"/>
      <c r="H272" s="8"/>
      <c r="I272" s="8"/>
      <c r="J272" s="8"/>
      <c r="K272" s="10" t="str">
        <f aca="false">IF(A272="","",IF(ABS(SUMIFS($E$9:$E$2008,$A$9:$A$2008,A272)-SUMIFS($F$9:$F$2008,$A$9:$A$2008,A272))&lt;0.5,"Yes","No"))</f>
        <v/>
      </c>
      <c r="L272" s="10" t="str">
        <f aca="false">IF(A272="","",IF(IF(K272="No","Does not balance | ","")&amp;IF(I272="","Not approved | ",IF(UPPER(TRIM(H272))=UPPER(TRIM(I272)),"Self-approved | ",""))&amp;IF(J272="","No support | ","")&amp;IF(WEEKDAY(B272,2)&gt;5,"Weekend posting | ","")&amp;IF(COUNTIF(Settings!$A$14:$A$43,B272)&gt;0,"Holiday posting | ","")&amp;IF(B272&gt;Settings!$C$8,"Posted after close | ","")&amp;IF(OR(B272&lt;Settings!$C$6,B272&gt;Settings!$C$7),"Outside period | ","")&amp;IF(COUNTIF(Settings!$E$14:$E$43,C272&amp;"")&gt;0,"Sensitive account | ","")&amp;IF(AND(MAX(N(E272),N(F272))&gt;=Settings!$C$9,MOD(MAX(N(E272),N(F272)),Settings!$C$10)=0),"Round amount | ","")="","",LEFT(IF(K272="No","Does not balance | ","")&amp;IF(I272="","Not approved | ",IF(UPPER(TRIM(H272))=UPPER(TRIM(I272)),"Self-approved | ",""))&amp;IF(J272="","No support | ","")&amp;IF(WEEKDAY(B272,2)&gt;5,"Weekend posting | ","")&amp;IF(COUNTIF(Settings!$A$14:$A$43,B272)&gt;0,"Holiday posting | ","")&amp;IF(B272&gt;Settings!$C$8,"Posted after close | ","")&amp;IF(OR(B272&lt;Settings!$C$6,B272&gt;Settings!$C$7),"Outside period | ","")&amp;IF(COUNTIF(Settings!$E$14:$E$43,C272&amp;"")&gt;0,"Sensitive account | ","")&amp;IF(AND(MAX(N(E272),N(F272))&gt;=Settings!$C$9,MOD(MAX(N(E272),N(F272)),Settings!$C$10)=0),"Round amount | ",""),LEN(IF(K272="No","Does not balance | ","")&amp;IF(I272="","Not approved | ",IF(UPPER(TRIM(H272))=UPPER(TRIM(I272)),"Self-approved | ",""))&amp;IF(J272="","No support | ","")&amp;IF(WEEKDAY(B272,2)&gt;5,"Weekend posting | ","")&amp;IF(COUNTIF(Settings!$A$14:$A$43,B272)&gt;0,"Holiday posting | ","")&amp;IF(B272&gt;Settings!$C$8,"Posted after close | ","")&amp;IF(OR(B272&lt;Settings!$C$6,B272&gt;Settings!$C$7),"Outside period | ","")&amp;IF(COUNTIF(Settings!$E$14:$E$43,C272&amp;"")&gt;0,"Sensitive account | ","")&amp;IF(AND(MAX(N(E272),N(F272))&gt;=Settings!$C$9,MOD(MAX(N(E272),N(F272)),Settings!$C$10)=0),"Round amount | ",""))-3)))</f>
        <v/>
      </c>
      <c r="M272" s="21" t="str">
        <f aca="false">IF(A272="","",IF(COUNTIF($A$9:A272,A272)=1,MAX($M$8:M271)+1,""))</f>
        <v/>
      </c>
    </row>
    <row r="273" customFormat="false" ht="15" hidden="false" customHeight="false" outlineLevel="0" collapsed="false">
      <c r="A273" s="8"/>
      <c r="B273" s="17"/>
      <c r="C273" s="19"/>
      <c r="D273" s="8"/>
      <c r="E273" s="18"/>
      <c r="F273" s="18"/>
      <c r="G273" s="8"/>
      <c r="H273" s="8"/>
      <c r="I273" s="8"/>
      <c r="J273" s="8"/>
      <c r="K273" s="10" t="str">
        <f aca="false">IF(A273="","",IF(ABS(SUMIFS($E$9:$E$2008,$A$9:$A$2008,A273)-SUMIFS($F$9:$F$2008,$A$9:$A$2008,A273))&lt;0.5,"Yes","No"))</f>
        <v/>
      </c>
      <c r="L273" s="10" t="str">
        <f aca="false">IF(A273="","",IF(IF(K273="No","Does not balance | ","")&amp;IF(I273="","Not approved | ",IF(UPPER(TRIM(H273))=UPPER(TRIM(I273)),"Self-approved | ",""))&amp;IF(J273="","No support | ","")&amp;IF(WEEKDAY(B273,2)&gt;5,"Weekend posting | ","")&amp;IF(COUNTIF(Settings!$A$14:$A$43,B273)&gt;0,"Holiday posting | ","")&amp;IF(B273&gt;Settings!$C$8,"Posted after close | ","")&amp;IF(OR(B273&lt;Settings!$C$6,B273&gt;Settings!$C$7),"Outside period | ","")&amp;IF(COUNTIF(Settings!$E$14:$E$43,C273&amp;"")&gt;0,"Sensitive account | ","")&amp;IF(AND(MAX(N(E273),N(F273))&gt;=Settings!$C$9,MOD(MAX(N(E273),N(F273)),Settings!$C$10)=0),"Round amount | ","")="","",LEFT(IF(K273="No","Does not balance | ","")&amp;IF(I273="","Not approved | ",IF(UPPER(TRIM(H273))=UPPER(TRIM(I273)),"Self-approved | ",""))&amp;IF(J273="","No support | ","")&amp;IF(WEEKDAY(B273,2)&gt;5,"Weekend posting | ","")&amp;IF(COUNTIF(Settings!$A$14:$A$43,B273)&gt;0,"Holiday posting | ","")&amp;IF(B273&gt;Settings!$C$8,"Posted after close | ","")&amp;IF(OR(B273&lt;Settings!$C$6,B273&gt;Settings!$C$7),"Outside period | ","")&amp;IF(COUNTIF(Settings!$E$14:$E$43,C273&amp;"")&gt;0,"Sensitive account | ","")&amp;IF(AND(MAX(N(E273),N(F273))&gt;=Settings!$C$9,MOD(MAX(N(E273),N(F273)),Settings!$C$10)=0),"Round amount | ",""),LEN(IF(K273="No","Does not balance | ","")&amp;IF(I273="","Not approved | ",IF(UPPER(TRIM(H273))=UPPER(TRIM(I273)),"Self-approved | ",""))&amp;IF(J273="","No support | ","")&amp;IF(WEEKDAY(B273,2)&gt;5,"Weekend posting | ","")&amp;IF(COUNTIF(Settings!$A$14:$A$43,B273)&gt;0,"Holiday posting | ","")&amp;IF(B273&gt;Settings!$C$8,"Posted after close | ","")&amp;IF(OR(B273&lt;Settings!$C$6,B273&gt;Settings!$C$7),"Outside period | ","")&amp;IF(COUNTIF(Settings!$E$14:$E$43,C273&amp;"")&gt;0,"Sensitive account | ","")&amp;IF(AND(MAX(N(E273),N(F273))&gt;=Settings!$C$9,MOD(MAX(N(E273),N(F273)),Settings!$C$10)=0),"Round amount | ",""))-3)))</f>
        <v/>
      </c>
      <c r="M273" s="21" t="str">
        <f aca="false">IF(A273="","",IF(COUNTIF($A$9:A273,A273)=1,MAX($M$8:M272)+1,""))</f>
        <v/>
      </c>
    </row>
    <row r="274" customFormat="false" ht="15" hidden="false" customHeight="false" outlineLevel="0" collapsed="false">
      <c r="A274" s="8"/>
      <c r="B274" s="17"/>
      <c r="C274" s="19"/>
      <c r="D274" s="8"/>
      <c r="E274" s="18"/>
      <c r="F274" s="18"/>
      <c r="G274" s="8"/>
      <c r="H274" s="8"/>
      <c r="I274" s="8"/>
      <c r="J274" s="8"/>
      <c r="K274" s="10" t="str">
        <f aca="false">IF(A274="","",IF(ABS(SUMIFS($E$9:$E$2008,$A$9:$A$2008,A274)-SUMIFS($F$9:$F$2008,$A$9:$A$2008,A274))&lt;0.5,"Yes","No"))</f>
        <v/>
      </c>
      <c r="L274" s="10" t="str">
        <f aca="false">IF(A274="","",IF(IF(K274="No","Does not balance | ","")&amp;IF(I274="","Not approved | ",IF(UPPER(TRIM(H274))=UPPER(TRIM(I274)),"Self-approved | ",""))&amp;IF(J274="","No support | ","")&amp;IF(WEEKDAY(B274,2)&gt;5,"Weekend posting | ","")&amp;IF(COUNTIF(Settings!$A$14:$A$43,B274)&gt;0,"Holiday posting | ","")&amp;IF(B274&gt;Settings!$C$8,"Posted after close | ","")&amp;IF(OR(B274&lt;Settings!$C$6,B274&gt;Settings!$C$7),"Outside period | ","")&amp;IF(COUNTIF(Settings!$E$14:$E$43,C274&amp;"")&gt;0,"Sensitive account | ","")&amp;IF(AND(MAX(N(E274),N(F274))&gt;=Settings!$C$9,MOD(MAX(N(E274),N(F274)),Settings!$C$10)=0),"Round amount | ","")="","",LEFT(IF(K274="No","Does not balance | ","")&amp;IF(I274="","Not approved | ",IF(UPPER(TRIM(H274))=UPPER(TRIM(I274)),"Self-approved | ",""))&amp;IF(J274="","No support | ","")&amp;IF(WEEKDAY(B274,2)&gt;5,"Weekend posting | ","")&amp;IF(COUNTIF(Settings!$A$14:$A$43,B274)&gt;0,"Holiday posting | ","")&amp;IF(B274&gt;Settings!$C$8,"Posted after close | ","")&amp;IF(OR(B274&lt;Settings!$C$6,B274&gt;Settings!$C$7),"Outside period | ","")&amp;IF(COUNTIF(Settings!$E$14:$E$43,C274&amp;"")&gt;0,"Sensitive account | ","")&amp;IF(AND(MAX(N(E274),N(F274))&gt;=Settings!$C$9,MOD(MAX(N(E274),N(F274)),Settings!$C$10)=0),"Round amount | ",""),LEN(IF(K274="No","Does not balance | ","")&amp;IF(I274="","Not approved | ",IF(UPPER(TRIM(H274))=UPPER(TRIM(I274)),"Self-approved | ",""))&amp;IF(J274="","No support | ","")&amp;IF(WEEKDAY(B274,2)&gt;5,"Weekend posting | ","")&amp;IF(COUNTIF(Settings!$A$14:$A$43,B274)&gt;0,"Holiday posting | ","")&amp;IF(B274&gt;Settings!$C$8,"Posted after close | ","")&amp;IF(OR(B274&lt;Settings!$C$6,B274&gt;Settings!$C$7),"Outside period | ","")&amp;IF(COUNTIF(Settings!$E$14:$E$43,C274&amp;"")&gt;0,"Sensitive account | ","")&amp;IF(AND(MAX(N(E274),N(F274))&gt;=Settings!$C$9,MOD(MAX(N(E274),N(F274)),Settings!$C$10)=0),"Round amount | ",""))-3)))</f>
        <v/>
      </c>
      <c r="M274" s="21" t="str">
        <f aca="false">IF(A274="","",IF(COUNTIF($A$9:A274,A274)=1,MAX($M$8:M273)+1,""))</f>
        <v/>
      </c>
    </row>
    <row r="275" customFormat="false" ht="15" hidden="false" customHeight="false" outlineLevel="0" collapsed="false">
      <c r="A275" s="8"/>
      <c r="B275" s="17"/>
      <c r="C275" s="19"/>
      <c r="D275" s="8"/>
      <c r="E275" s="18"/>
      <c r="F275" s="18"/>
      <c r="G275" s="8"/>
      <c r="H275" s="8"/>
      <c r="I275" s="8"/>
      <c r="J275" s="8"/>
      <c r="K275" s="10" t="str">
        <f aca="false">IF(A275="","",IF(ABS(SUMIFS($E$9:$E$2008,$A$9:$A$2008,A275)-SUMIFS($F$9:$F$2008,$A$9:$A$2008,A275))&lt;0.5,"Yes","No"))</f>
        <v/>
      </c>
      <c r="L275" s="10" t="str">
        <f aca="false">IF(A275="","",IF(IF(K275="No","Does not balance | ","")&amp;IF(I275="","Not approved | ",IF(UPPER(TRIM(H275))=UPPER(TRIM(I275)),"Self-approved | ",""))&amp;IF(J275="","No support | ","")&amp;IF(WEEKDAY(B275,2)&gt;5,"Weekend posting | ","")&amp;IF(COUNTIF(Settings!$A$14:$A$43,B275)&gt;0,"Holiday posting | ","")&amp;IF(B275&gt;Settings!$C$8,"Posted after close | ","")&amp;IF(OR(B275&lt;Settings!$C$6,B275&gt;Settings!$C$7),"Outside period | ","")&amp;IF(COUNTIF(Settings!$E$14:$E$43,C275&amp;"")&gt;0,"Sensitive account | ","")&amp;IF(AND(MAX(N(E275),N(F275))&gt;=Settings!$C$9,MOD(MAX(N(E275),N(F275)),Settings!$C$10)=0),"Round amount | ","")="","",LEFT(IF(K275="No","Does not balance | ","")&amp;IF(I275="","Not approved | ",IF(UPPER(TRIM(H275))=UPPER(TRIM(I275)),"Self-approved | ",""))&amp;IF(J275="","No support | ","")&amp;IF(WEEKDAY(B275,2)&gt;5,"Weekend posting | ","")&amp;IF(COUNTIF(Settings!$A$14:$A$43,B275)&gt;0,"Holiday posting | ","")&amp;IF(B275&gt;Settings!$C$8,"Posted after close | ","")&amp;IF(OR(B275&lt;Settings!$C$6,B275&gt;Settings!$C$7),"Outside period | ","")&amp;IF(COUNTIF(Settings!$E$14:$E$43,C275&amp;"")&gt;0,"Sensitive account | ","")&amp;IF(AND(MAX(N(E275),N(F275))&gt;=Settings!$C$9,MOD(MAX(N(E275),N(F275)),Settings!$C$10)=0),"Round amount | ",""),LEN(IF(K275="No","Does not balance | ","")&amp;IF(I275="","Not approved | ",IF(UPPER(TRIM(H275))=UPPER(TRIM(I275)),"Self-approved | ",""))&amp;IF(J275="","No support | ","")&amp;IF(WEEKDAY(B275,2)&gt;5,"Weekend posting | ","")&amp;IF(COUNTIF(Settings!$A$14:$A$43,B275)&gt;0,"Holiday posting | ","")&amp;IF(B275&gt;Settings!$C$8,"Posted after close | ","")&amp;IF(OR(B275&lt;Settings!$C$6,B275&gt;Settings!$C$7),"Outside period | ","")&amp;IF(COUNTIF(Settings!$E$14:$E$43,C275&amp;"")&gt;0,"Sensitive account | ","")&amp;IF(AND(MAX(N(E275),N(F275))&gt;=Settings!$C$9,MOD(MAX(N(E275),N(F275)),Settings!$C$10)=0),"Round amount | ",""))-3)))</f>
        <v/>
      </c>
      <c r="M275" s="21" t="str">
        <f aca="false">IF(A275="","",IF(COUNTIF($A$9:A275,A275)=1,MAX($M$8:M274)+1,""))</f>
        <v/>
      </c>
    </row>
    <row r="276" customFormat="false" ht="15" hidden="false" customHeight="false" outlineLevel="0" collapsed="false">
      <c r="A276" s="8"/>
      <c r="B276" s="17"/>
      <c r="C276" s="19"/>
      <c r="D276" s="8"/>
      <c r="E276" s="18"/>
      <c r="F276" s="18"/>
      <c r="G276" s="8"/>
      <c r="H276" s="8"/>
      <c r="I276" s="8"/>
      <c r="J276" s="8"/>
      <c r="K276" s="10" t="str">
        <f aca="false">IF(A276="","",IF(ABS(SUMIFS($E$9:$E$2008,$A$9:$A$2008,A276)-SUMIFS($F$9:$F$2008,$A$9:$A$2008,A276))&lt;0.5,"Yes","No"))</f>
        <v/>
      </c>
      <c r="L276" s="10" t="str">
        <f aca="false">IF(A276="","",IF(IF(K276="No","Does not balance | ","")&amp;IF(I276="","Not approved | ",IF(UPPER(TRIM(H276))=UPPER(TRIM(I276)),"Self-approved | ",""))&amp;IF(J276="","No support | ","")&amp;IF(WEEKDAY(B276,2)&gt;5,"Weekend posting | ","")&amp;IF(COUNTIF(Settings!$A$14:$A$43,B276)&gt;0,"Holiday posting | ","")&amp;IF(B276&gt;Settings!$C$8,"Posted after close | ","")&amp;IF(OR(B276&lt;Settings!$C$6,B276&gt;Settings!$C$7),"Outside period | ","")&amp;IF(COUNTIF(Settings!$E$14:$E$43,C276&amp;"")&gt;0,"Sensitive account | ","")&amp;IF(AND(MAX(N(E276),N(F276))&gt;=Settings!$C$9,MOD(MAX(N(E276),N(F276)),Settings!$C$10)=0),"Round amount | ","")="","",LEFT(IF(K276="No","Does not balance | ","")&amp;IF(I276="","Not approved | ",IF(UPPER(TRIM(H276))=UPPER(TRIM(I276)),"Self-approved | ",""))&amp;IF(J276="","No support | ","")&amp;IF(WEEKDAY(B276,2)&gt;5,"Weekend posting | ","")&amp;IF(COUNTIF(Settings!$A$14:$A$43,B276)&gt;0,"Holiday posting | ","")&amp;IF(B276&gt;Settings!$C$8,"Posted after close | ","")&amp;IF(OR(B276&lt;Settings!$C$6,B276&gt;Settings!$C$7),"Outside period | ","")&amp;IF(COUNTIF(Settings!$E$14:$E$43,C276&amp;"")&gt;0,"Sensitive account | ","")&amp;IF(AND(MAX(N(E276),N(F276))&gt;=Settings!$C$9,MOD(MAX(N(E276),N(F276)),Settings!$C$10)=0),"Round amount | ",""),LEN(IF(K276="No","Does not balance | ","")&amp;IF(I276="","Not approved | ",IF(UPPER(TRIM(H276))=UPPER(TRIM(I276)),"Self-approved | ",""))&amp;IF(J276="","No support | ","")&amp;IF(WEEKDAY(B276,2)&gt;5,"Weekend posting | ","")&amp;IF(COUNTIF(Settings!$A$14:$A$43,B276)&gt;0,"Holiday posting | ","")&amp;IF(B276&gt;Settings!$C$8,"Posted after close | ","")&amp;IF(OR(B276&lt;Settings!$C$6,B276&gt;Settings!$C$7),"Outside period | ","")&amp;IF(COUNTIF(Settings!$E$14:$E$43,C276&amp;"")&gt;0,"Sensitive account | ","")&amp;IF(AND(MAX(N(E276),N(F276))&gt;=Settings!$C$9,MOD(MAX(N(E276),N(F276)),Settings!$C$10)=0),"Round amount | ",""))-3)))</f>
        <v/>
      </c>
      <c r="M276" s="21" t="str">
        <f aca="false">IF(A276="","",IF(COUNTIF($A$9:A276,A276)=1,MAX($M$8:M275)+1,""))</f>
        <v/>
      </c>
    </row>
    <row r="277" customFormat="false" ht="15" hidden="false" customHeight="false" outlineLevel="0" collapsed="false">
      <c r="A277" s="8"/>
      <c r="B277" s="17"/>
      <c r="C277" s="19"/>
      <c r="D277" s="8"/>
      <c r="E277" s="18"/>
      <c r="F277" s="18"/>
      <c r="G277" s="8"/>
      <c r="H277" s="8"/>
      <c r="I277" s="8"/>
      <c r="J277" s="8"/>
      <c r="K277" s="10" t="str">
        <f aca="false">IF(A277="","",IF(ABS(SUMIFS($E$9:$E$2008,$A$9:$A$2008,A277)-SUMIFS($F$9:$F$2008,$A$9:$A$2008,A277))&lt;0.5,"Yes","No"))</f>
        <v/>
      </c>
      <c r="L277" s="10" t="str">
        <f aca="false">IF(A277="","",IF(IF(K277="No","Does not balance | ","")&amp;IF(I277="","Not approved | ",IF(UPPER(TRIM(H277))=UPPER(TRIM(I277)),"Self-approved | ",""))&amp;IF(J277="","No support | ","")&amp;IF(WEEKDAY(B277,2)&gt;5,"Weekend posting | ","")&amp;IF(COUNTIF(Settings!$A$14:$A$43,B277)&gt;0,"Holiday posting | ","")&amp;IF(B277&gt;Settings!$C$8,"Posted after close | ","")&amp;IF(OR(B277&lt;Settings!$C$6,B277&gt;Settings!$C$7),"Outside period | ","")&amp;IF(COUNTIF(Settings!$E$14:$E$43,C277&amp;"")&gt;0,"Sensitive account | ","")&amp;IF(AND(MAX(N(E277),N(F277))&gt;=Settings!$C$9,MOD(MAX(N(E277),N(F277)),Settings!$C$10)=0),"Round amount | ","")="","",LEFT(IF(K277="No","Does not balance | ","")&amp;IF(I277="","Not approved | ",IF(UPPER(TRIM(H277))=UPPER(TRIM(I277)),"Self-approved | ",""))&amp;IF(J277="","No support | ","")&amp;IF(WEEKDAY(B277,2)&gt;5,"Weekend posting | ","")&amp;IF(COUNTIF(Settings!$A$14:$A$43,B277)&gt;0,"Holiday posting | ","")&amp;IF(B277&gt;Settings!$C$8,"Posted after close | ","")&amp;IF(OR(B277&lt;Settings!$C$6,B277&gt;Settings!$C$7),"Outside period | ","")&amp;IF(COUNTIF(Settings!$E$14:$E$43,C277&amp;"")&gt;0,"Sensitive account | ","")&amp;IF(AND(MAX(N(E277),N(F277))&gt;=Settings!$C$9,MOD(MAX(N(E277),N(F277)),Settings!$C$10)=0),"Round amount | ",""),LEN(IF(K277="No","Does not balance | ","")&amp;IF(I277="","Not approved | ",IF(UPPER(TRIM(H277))=UPPER(TRIM(I277)),"Self-approved | ",""))&amp;IF(J277="","No support | ","")&amp;IF(WEEKDAY(B277,2)&gt;5,"Weekend posting | ","")&amp;IF(COUNTIF(Settings!$A$14:$A$43,B277)&gt;0,"Holiday posting | ","")&amp;IF(B277&gt;Settings!$C$8,"Posted after close | ","")&amp;IF(OR(B277&lt;Settings!$C$6,B277&gt;Settings!$C$7),"Outside period | ","")&amp;IF(COUNTIF(Settings!$E$14:$E$43,C277&amp;"")&gt;0,"Sensitive account | ","")&amp;IF(AND(MAX(N(E277),N(F277))&gt;=Settings!$C$9,MOD(MAX(N(E277),N(F277)),Settings!$C$10)=0),"Round amount | ",""))-3)))</f>
        <v/>
      </c>
      <c r="M277" s="21" t="str">
        <f aca="false">IF(A277="","",IF(COUNTIF($A$9:A277,A277)=1,MAX($M$8:M276)+1,""))</f>
        <v/>
      </c>
    </row>
    <row r="278" customFormat="false" ht="15" hidden="false" customHeight="false" outlineLevel="0" collapsed="false">
      <c r="A278" s="8"/>
      <c r="B278" s="17"/>
      <c r="C278" s="19"/>
      <c r="D278" s="8"/>
      <c r="E278" s="18"/>
      <c r="F278" s="18"/>
      <c r="G278" s="8"/>
      <c r="H278" s="8"/>
      <c r="I278" s="8"/>
      <c r="J278" s="8"/>
      <c r="K278" s="10" t="str">
        <f aca="false">IF(A278="","",IF(ABS(SUMIFS($E$9:$E$2008,$A$9:$A$2008,A278)-SUMIFS($F$9:$F$2008,$A$9:$A$2008,A278))&lt;0.5,"Yes","No"))</f>
        <v/>
      </c>
      <c r="L278" s="10" t="str">
        <f aca="false">IF(A278="","",IF(IF(K278="No","Does not balance | ","")&amp;IF(I278="","Not approved | ",IF(UPPER(TRIM(H278))=UPPER(TRIM(I278)),"Self-approved | ",""))&amp;IF(J278="","No support | ","")&amp;IF(WEEKDAY(B278,2)&gt;5,"Weekend posting | ","")&amp;IF(COUNTIF(Settings!$A$14:$A$43,B278)&gt;0,"Holiday posting | ","")&amp;IF(B278&gt;Settings!$C$8,"Posted after close | ","")&amp;IF(OR(B278&lt;Settings!$C$6,B278&gt;Settings!$C$7),"Outside period | ","")&amp;IF(COUNTIF(Settings!$E$14:$E$43,C278&amp;"")&gt;0,"Sensitive account | ","")&amp;IF(AND(MAX(N(E278),N(F278))&gt;=Settings!$C$9,MOD(MAX(N(E278),N(F278)),Settings!$C$10)=0),"Round amount | ","")="","",LEFT(IF(K278="No","Does not balance | ","")&amp;IF(I278="","Not approved | ",IF(UPPER(TRIM(H278))=UPPER(TRIM(I278)),"Self-approved | ",""))&amp;IF(J278="","No support | ","")&amp;IF(WEEKDAY(B278,2)&gt;5,"Weekend posting | ","")&amp;IF(COUNTIF(Settings!$A$14:$A$43,B278)&gt;0,"Holiday posting | ","")&amp;IF(B278&gt;Settings!$C$8,"Posted after close | ","")&amp;IF(OR(B278&lt;Settings!$C$6,B278&gt;Settings!$C$7),"Outside period | ","")&amp;IF(COUNTIF(Settings!$E$14:$E$43,C278&amp;"")&gt;0,"Sensitive account | ","")&amp;IF(AND(MAX(N(E278),N(F278))&gt;=Settings!$C$9,MOD(MAX(N(E278),N(F278)),Settings!$C$10)=0),"Round amount | ",""),LEN(IF(K278="No","Does not balance | ","")&amp;IF(I278="","Not approved | ",IF(UPPER(TRIM(H278))=UPPER(TRIM(I278)),"Self-approved | ",""))&amp;IF(J278="","No support | ","")&amp;IF(WEEKDAY(B278,2)&gt;5,"Weekend posting | ","")&amp;IF(COUNTIF(Settings!$A$14:$A$43,B278)&gt;0,"Holiday posting | ","")&amp;IF(B278&gt;Settings!$C$8,"Posted after close | ","")&amp;IF(OR(B278&lt;Settings!$C$6,B278&gt;Settings!$C$7),"Outside period | ","")&amp;IF(COUNTIF(Settings!$E$14:$E$43,C278&amp;"")&gt;0,"Sensitive account | ","")&amp;IF(AND(MAX(N(E278),N(F278))&gt;=Settings!$C$9,MOD(MAX(N(E278),N(F278)),Settings!$C$10)=0),"Round amount | ",""))-3)))</f>
        <v/>
      </c>
      <c r="M278" s="21" t="str">
        <f aca="false">IF(A278="","",IF(COUNTIF($A$9:A278,A278)=1,MAX($M$8:M277)+1,""))</f>
        <v/>
      </c>
    </row>
    <row r="279" customFormat="false" ht="15" hidden="false" customHeight="false" outlineLevel="0" collapsed="false">
      <c r="A279" s="8"/>
      <c r="B279" s="17"/>
      <c r="C279" s="19"/>
      <c r="D279" s="8"/>
      <c r="E279" s="18"/>
      <c r="F279" s="18"/>
      <c r="G279" s="8"/>
      <c r="H279" s="8"/>
      <c r="I279" s="8"/>
      <c r="J279" s="8"/>
      <c r="K279" s="10" t="str">
        <f aca="false">IF(A279="","",IF(ABS(SUMIFS($E$9:$E$2008,$A$9:$A$2008,A279)-SUMIFS($F$9:$F$2008,$A$9:$A$2008,A279))&lt;0.5,"Yes","No"))</f>
        <v/>
      </c>
      <c r="L279" s="10" t="str">
        <f aca="false">IF(A279="","",IF(IF(K279="No","Does not balance | ","")&amp;IF(I279="","Not approved | ",IF(UPPER(TRIM(H279))=UPPER(TRIM(I279)),"Self-approved | ",""))&amp;IF(J279="","No support | ","")&amp;IF(WEEKDAY(B279,2)&gt;5,"Weekend posting | ","")&amp;IF(COUNTIF(Settings!$A$14:$A$43,B279)&gt;0,"Holiday posting | ","")&amp;IF(B279&gt;Settings!$C$8,"Posted after close | ","")&amp;IF(OR(B279&lt;Settings!$C$6,B279&gt;Settings!$C$7),"Outside period | ","")&amp;IF(COUNTIF(Settings!$E$14:$E$43,C279&amp;"")&gt;0,"Sensitive account | ","")&amp;IF(AND(MAX(N(E279),N(F279))&gt;=Settings!$C$9,MOD(MAX(N(E279),N(F279)),Settings!$C$10)=0),"Round amount | ","")="","",LEFT(IF(K279="No","Does not balance | ","")&amp;IF(I279="","Not approved | ",IF(UPPER(TRIM(H279))=UPPER(TRIM(I279)),"Self-approved | ",""))&amp;IF(J279="","No support | ","")&amp;IF(WEEKDAY(B279,2)&gt;5,"Weekend posting | ","")&amp;IF(COUNTIF(Settings!$A$14:$A$43,B279)&gt;0,"Holiday posting | ","")&amp;IF(B279&gt;Settings!$C$8,"Posted after close | ","")&amp;IF(OR(B279&lt;Settings!$C$6,B279&gt;Settings!$C$7),"Outside period | ","")&amp;IF(COUNTIF(Settings!$E$14:$E$43,C279&amp;"")&gt;0,"Sensitive account | ","")&amp;IF(AND(MAX(N(E279),N(F279))&gt;=Settings!$C$9,MOD(MAX(N(E279),N(F279)),Settings!$C$10)=0),"Round amount | ",""),LEN(IF(K279="No","Does not balance | ","")&amp;IF(I279="","Not approved | ",IF(UPPER(TRIM(H279))=UPPER(TRIM(I279)),"Self-approved | ",""))&amp;IF(J279="","No support | ","")&amp;IF(WEEKDAY(B279,2)&gt;5,"Weekend posting | ","")&amp;IF(COUNTIF(Settings!$A$14:$A$43,B279)&gt;0,"Holiday posting | ","")&amp;IF(B279&gt;Settings!$C$8,"Posted after close | ","")&amp;IF(OR(B279&lt;Settings!$C$6,B279&gt;Settings!$C$7),"Outside period | ","")&amp;IF(COUNTIF(Settings!$E$14:$E$43,C279&amp;"")&gt;0,"Sensitive account | ","")&amp;IF(AND(MAX(N(E279),N(F279))&gt;=Settings!$C$9,MOD(MAX(N(E279),N(F279)),Settings!$C$10)=0),"Round amount | ",""))-3)))</f>
        <v/>
      </c>
      <c r="M279" s="21" t="str">
        <f aca="false">IF(A279="","",IF(COUNTIF($A$9:A279,A279)=1,MAX($M$8:M278)+1,""))</f>
        <v/>
      </c>
    </row>
    <row r="280" customFormat="false" ht="15" hidden="false" customHeight="false" outlineLevel="0" collapsed="false">
      <c r="A280" s="8"/>
      <c r="B280" s="17"/>
      <c r="C280" s="19"/>
      <c r="D280" s="8"/>
      <c r="E280" s="18"/>
      <c r="F280" s="18"/>
      <c r="G280" s="8"/>
      <c r="H280" s="8"/>
      <c r="I280" s="8"/>
      <c r="J280" s="8"/>
      <c r="K280" s="10" t="str">
        <f aca="false">IF(A280="","",IF(ABS(SUMIFS($E$9:$E$2008,$A$9:$A$2008,A280)-SUMIFS($F$9:$F$2008,$A$9:$A$2008,A280))&lt;0.5,"Yes","No"))</f>
        <v/>
      </c>
      <c r="L280" s="10" t="str">
        <f aca="false">IF(A280="","",IF(IF(K280="No","Does not balance | ","")&amp;IF(I280="","Not approved | ",IF(UPPER(TRIM(H280))=UPPER(TRIM(I280)),"Self-approved | ",""))&amp;IF(J280="","No support | ","")&amp;IF(WEEKDAY(B280,2)&gt;5,"Weekend posting | ","")&amp;IF(COUNTIF(Settings!$A$14:$A$43,B280)&gt;0,"Holiday posting | ","")&amp;IF(B280&gt;Settings!$C$8,"Posted after close | ","")&amp;IF(OR(B280&lt;Settings!$C$6,B280&gt;Settings!$C$7),"Outside period | ","")&amp;IF(COUNTIF(Settings!$E$14:$E$43,C280&amp;"")&gt;0,"Sensitive account | ","")&amp;IF(AND(MAX(N(E280),N(F280))&gt;=Settings!$C$9,MOD(MAX(N(E280),N(F280)),Settings!$C$10)=0),"Round amount | ","")="","",LEFT(IF(K280="No","Does not balance | ","")&amp;IF(I280="","Not approved | ",IF(UPPER(TRIM(H280))=UPPER(TRIM(I280)),"Self-approved | ",""))&amp;IF(J280="","No support | ","")&amp;IF(WEEKDAY(B280,2)&gt;5,"Weekend posting | ","")&amp;IF(COUNTIF(Settings!$A$14:$A$43,B280)&gt;0,"Holiday posting | ","")&amp;IF(B280&gt;Settings!$C$8,"Posted after close | ","")&amp;IF(OR(B280&lt;Settings!$C$6,B280&gt;Settings!$C$7),"Outside period | ","")&amp;IF(COUNTIF(Settings!$E$14:$E$43,C280&amp;"")&gt;0,"Sensitive account | ","")&amp;IF(AND(MAX(N(E280),N(F280))&gt;=Settings!$C$9,MOD(MAX(N(E280),N(F280)),Settings!$C$10)=0),"Round amount | ",""),LEN(IF(K280="No","Does not balance | ","")&amp;IF(I280="","Not approved | ",IF(UPPER(TRIM(H280))=UPPER(TRIM(I280)),"Self-approved | ",""))&amp;IF(J280="","No support | ","")&amp;IF(WEEKDAY(B280,2)&gt;5,"Weekend posting | ","")&amp;IF(COUNTIF(Settings!$A$14:$A$43,B280)&gt;0,"Holiday posting | ","")&amp;IF(B280&gt;Settings!$C$8,"Posted after close | ","")&amp;IF(OR(B280&lt;Settings!$C$6,B280&gt;Settings!$C$7),"Outside period | ","")&amp;IF(COUNTIF(Settings!$E$14:$E$43,C280&amp;"")&gt;0,"Sensitive account | ","")&amp;IF(AND(MAX(N(E280),N(F280))&gt;=Settings!$C$9,MOD(MAX(N(E280),N(F280)),Settings!$C$10)=0),"Round amount | ",""))-3)))</f>
        <v/>
      </c>
      <c r="M280" s="21" t="str">
        <f aca="false">IF(A280="","",IF(COUNTIF($A$9:A280,A280)=1,MAX($M$8:M279)+1,""))</f>
        <v/>
      </c>
    </row>
    <row r="281" customFormat="false" ht="15" hidden="false" customHeight="false" outlineLevel="0" collapsed="false">
      <c r="A281" s="8"/>
      <c r="B281" s="17"/>
      <c r="C281" s="19"/>
      <c r="D281" s="8"/>
      <c r="E281" s="18"/>
      <c r="F281" s="18"/>
      <c r="G281" s="8"/>
      <c r="H281" s="8"/>
      <c r="I281" s="8"/>
      <c r="J281" s="8"/>
      <c r="K281" s="10" t="str">
        <f aca="false">IF(A281="","",IF(ABS(SUMIFS($E$9:$E$2008,$A$9:$A$2008,A281)-SUMIFS($F$9:$F$2008,$A$9:$A$2008,A281))&lt;0.5,"Yes","No"))</f>
        <v/>
      </c>
      <c r="L281" s="10" t="str">
        <f aca="false">IF(A281="","",IF(IF(K281="No","Does not balance | ","")&amp;IF(I281="","Not approved | ",IF(UPPER(TRIM(H281))=UPPER(TRIM(I281)),"Self-approved | ",""))&amp;IF(J281="","No support | ","")&amp;IF(WEEKDAY(B281,2)&gt;5,"Weekend posting | ","")&amp;IF(COUNTIF(Settings!$A$14:$A$43,B281)&gt;0,"Holiday posting | ","")&amp;IF(B281&gt;Settings!$C$8,"Posted after close | ","")&amp;IF(OR(B281&lt;Settings!$C$6,B281&gt;Settings!$C$7),"Outside period | ","")&amp;IF(COUNTIF(Settings!$E$14:$E$43,C281&amp;"")&gt;0,"Sensitive account | ","")&amp;IF(AND(MAX(N(E281),N(F281))&gt;=Settings!$C$9,MOD(MAX(N(E281),N(F281)),Settings!$C$10)=0),"Round amount | ","")="","",LEFT(IF(K281="No","Does not balance | ","")&amp;IF(I281="","Not approved | ",IF(UPPER(TRIM(H281))=UPPER(TRIM(I281)),"Self-approved | ",""))&amp;IF(J281="","No support | ","")&amp;IF(WEEKDAY(B281,2)&gt;5,"Weekend posting | ","")&amp;IF(COUNTIF(Settings!$A$14:$A$43,B281)&gt;0,"Holiday posting | ","")&amp;IF(B281&gt;Settings!$C$8,"Posted after close | ","")&amp;IF(OR(B281&lt;Settings!$C$6,B281&gt;Settings!$C$7),"Outside period | ","")&amp;IF(COUNTIF(Settings!$E$14:$E$43,C281&amp;"")&gt;0,"Sensitive account | ","")&amp;IF(AND(MAX(N(E281),N(F281))&gt;=Settings!$C$9,MOD(MAX(N(E281),N(F281)),Settings!$C$10)=0),"Round amount | ",""),LEN(IF(K281="No","Does not balance | ","")&amp;IF(I281="","Not approved | ",IF(UPPER(TRIM(H281))=UPPER(TRIM(I281)),"Self-approved | ",""))&amp;IF(J281="","No support | ","")&amp;IF(WEEKDAY(B281,2)&gt;5,"Weekend posting | ","")&amp;IF(COUNTIF(Settings!$A$14:$A$43,B281)&gt;0,"Holiday posting | ","")&amp;IF(B281&gt;Settings!$C$8,"Posted after close | ","")&amp;IF(OR(B281&lt;Settings!$C$6,B281&gt;Settings!$C$7),"Outside period | ","")&amp;IF(COUNTIF(Settings!$E$14:$E$43,C281&amp;"")&gt;0,"Sensitive account | ","")&amp;IF(AND(MAX(N(E281),N(F281))&gt;=Settings!$C$9,MOD(MAX(N(E281),N(F281)),Settings!$C$10)=0),"Round amount | ",""))-3)))</f>
        <v/>
      </c>
      <c r="M281" s="21" t="str">
        <f aca="false">IF(A281="","",IF(COUNTIF($A$9:A281,A281)=1,MAX($M$8:M280)+1,""))</f>
        <v/>
      </c>
    </row>
    <row r="282" customFormat="false" ht="15" hidden="false" customHeight="false" outlineLevel="0" collapsed="false">
      <c r="A282" s="8"/>
      <c r="B282" s="17"/>
      <c r="C282" s="19"/>
      <c r="D282" s="8"/>
      <c r="E282" s="18"/>
      <c r="F282" s="18"/>
      <c r="G282" s="8"/>
      <c r="H282" s="8"/>
      <c r="I282" s="8"/>
      <c r="J282" s="8"/>
      <c r="K282" s="10" t="str">
        <f aca="false">IF(A282="","",IF(ABS(SUMIFS($E$9:$E$2008,$A$9:$A$2008,A282)-SUMIFS($F$9:$F$2008,$A$9:$A$2008,A282))&lt;0.5,"Yes","No"))</f>
        <v/>
      </c>
      <c r="L282" s="10" t="str">
        <f aca="false">IF(A282="","",IF(IF(K282="No","Does not balance | ","")&amp;IF(I282="","Not approved | ",IF(UPPER(TRIM(H282))=UPPER(TRIM(I282)),"Self-approved | ",""))&amp;IF(J282="","No support | ","")&amp;IF(WEEKDAY(B282,2)&gt;5,"Weekend posting | ","")&amp;IF(COUNTIF(Settings!$A$14:$A$43,B282)&gt;0,"Holiday posting | ","")&amp;IF(B282&gt;Settings!$C$8,"Posted after close | ","")&amp;IF(OR(B282&lt;Settings!$C$6,B282&gt;Settings!$C$7),"Outside period | ","")&amp;IF(COUNTIF(Settings!$E$14:$E$43,C282&amp;"")&gt;0,"Sensitive account | ","")&amp;IF(AND(MAX(N(E282),N(F282))&gt;=Settings!$C$9,MOD(MAX(N(E282),N(F282)),Settings!$C$10)=0),"Round amount | ","")="","",LEFT(IF(K282="No","Does not balance | ","")&amp;IF(I282="","Not approved | ",IF(UPPER(TRIM(H282))=UPPER(TRIM(I282)),"Self-approved | ",""))&amp;IF(J282="","No support | ","")&amp;IF(WEEKDAY(B282,2)&gt;5,"Weekend posting | ","")&amp;IF(COUNTIF(Settings!$A$14:$A$43,B282)&gt;0,"Holiday posting | ","")&amp;IF(B282&gt;Settings!$C$8,"Posted after close | ","")&amp;IF(OR(B282&lt;Settings!$C$6,B282&gt;Settings!$C$7),"Outside period | ","")&amp;IF(COUNTIF(Settings!$E$14:$E$43,C282&amp;"")&gt;0,"Sensitive account | ","")&amp;IF(AND(MAX(N(E282),N(F282))&gt;=Settings!$C$9,MOD(MAX(N(E282),N(F282)),Settings!$C$10)=0),"Round amount | ",""),LEN(IF(K282="No","Does not balance | ","")&amp;IF(I282="","Not approved | ",IF(UPPER(TRIM(H282))=UPPER(TRIM(I282)),"Self-approved | ",""))&amp;IF(J282="","No support | ","")&amp;IF(WEEKDAY(B282,2)&gt;5,"Weekend posting | ","")&amp;IF(COUNTIF(Settings!$A$14:$A$43,B282)&gt;0,"Holiday posting | ","")&amp;IF(B282&gt;Settings!$C$8,"Posted after close | ","")&amp;IF(OR(B282&lt;Settings!$C$6,B282&gt;Settings!$C$7),"Outside period | ","")&amp;IF(COUNTIF(Settings!$E$14:$E$43,C282&amp;"")&gt;0,"Sensitive account | ","")&amp;IF(AND(MAX(N(E282),N(F282))&gt;=Settings!$C$9,MOD(MAX(N(E282),N(F282)),Settings!$C$10)=0),"Round amount | ",""))-3)))</f>
        <v/>
      </c>
      <c r="M282" s="21" t="str">
        <f aca="false">IF(A282="","",IF(COUNTIF($A$9:A282,A282)=1,MAX($M$8:M281)+1,""))</f>
        <v/>
      </c>
    </row>
    <row r="283" customFormat="false" ht="15" hidden="false" customHeight="false" outlineLevel="0" collapsed="false">
      <c r="A283" s="8"/>
      <c r="B283" s="17"/>
      <c r="C283" s="19"/>
      <c r="D283" s="8"/>
      <c r="E283" s="18"/>
      <c r="F283" s="18"/>
      <c r="G283" s="8"/>
      <c r="H283" s="8"/>
      <c r="I283" s="8"/>
      <c r="J283" s="8"/>
      <c r="K283" s="10" t="str">
        <f aca="false">IF(A283="","",IF(ABS(SUMIFS($E$9:$E$2008,$A$9:$A$2008,A283)-SUMIFS($F$9:$F$2008,$A$9:$A$2008,A283))&lt;0.5,"Yes","No"))</f>
        <v/>
      </c>
      <c r="L283" s="10" t="str">
        <f aca="false">IF(A283="","",IF(IF(K283="No","Does not balance | ","")&amp;IF(I283="","Not approved | ",IF(UPPER(TRIM(H283))=UPPER(TRIM(I283)),"Self-approved | ",""))&amp;IF(J283="","No support | ","")&amp;IF(WEEKDAY(B283,2)&gt;5,"Weekend posting | ","")&amp;IF(COUNTIF(Settings!$A$14:$A$43,B283)&gt;0,"Holiday posting | ","")&amp;IF(B283&gt;Settings!$C$8,"Posted after close | ","")&amp;IF(OR(B283&lt;Settings!$C$6,B283&gt;Settings!$C$7),"Outside period | ","")&amp;IF(COUNTIF(Settings!$E$14:$E$43,C283&amp;"")&gt;0,"Sensitive account | ","")&amp;IF(AND(MAX(N(E283),N(F283))&gt;=Settings!$C$9,MOD(MAX(N(E283),N(F283)),Settings!$C$10)=0),"Round amount | ","")="","",LEFT(IF(K283="No","Does not balance | ","")&amp;IF(I283="","Not approved | ",IF(UPPER(TRIM(H283))=UPPER(TRIM(I283)),"Self-approved | ",""))&amp;IF(J283="","No support | ","")&amp;IF(WEEKDAY(B283,2)&gt;5,"Weekend posting | ","")&amp;IF(COUNTIF(Settings!$A$14:$A$43,B283)&gt;0,"Holiday posting | ","")&amp;IF(B283&gt;Settings!$C$8,"Posted after close | ","")&amp;IF(OR(B283&lt;Settings!$C$6,B283&gt;Settings!$C$7),"Outside period | ","")&amp;IF(COUNTIF(Settings!$E$14:$E$43,C283&amp;"")&gt;0,"Sensitive account | ","")&amp;IF(AND(MAX(N(E283),N(F283))&gt;=Settings!$C$9,MOD(MAX(N(E283),N(F283)),Settings!$C$10)=0),"Round amount | ",""),LEN(IF(K283="No","Does not balance | ","")&amp;IF(I283="","Not approved | ",IF(UPPER(TRIM(H283))=UPPER(TRIM(I283)),"Self-approved | ",""))&amp;IF(J283="","No support | ","")&amp;IF(WEEKDAY(B283,2)&gt;5,"Weekend posting | ","")&amp;IF(COUNTIF(Settings!$A$14:$A$43,B283)&gt;0,"Holiday posting | ","")&amp;IF(B283&gt;Settings!$C$8,"Posted after close | ","")&amp;IF(OR(B283&lt;Settings!$C$6,B283&gt;Settings!$C$7),"Outside period | ","")&amp;IF(COUNTIF(Settings!$E$14:$E$43,C283&amp;"")&gt;0,"Sensitive account | ","")&amp;IF(AND(MAX(N(E283),N(F283))&gt;=Settings!$C$9,MOD(MAX(N(E283),N(F283)),Settings!$C$10)=0),"Round amount | ",""))-3)))</f>
        <v/>
      </c>
      <c r="M283" s="21" t="str">
        <f aca="false">IF(A283="","",IF(COUNTIF($A$9:A283,A283)=1,MAX($M$8:M282)+1,""))</f>
        <v/>
      </c>
    </row>
    <row r="284" customFormat="false" ht="15" hidden="false" customHeight="false" outlineLevel="0" collapsed="false">
      <c r="A284" s="8"/>
      <c r="B284" s="17"/>
      <c r="C284" s="19"/>
      <c r="D284" s="8"/>
      <c r="E284" s="18"/>
      <c r="F284" s="18"/>
      <c r="G284" s="8"/>
      <c r="H284" s="8"/>
      <c r="I284" s="8"/>
      <c r="J284" s="8"/>
      <c r="K284" s="10" t="str">
        <f aca="false">IF(A284="","",IF(ABS(SUMIFS($E$9:$E$2008,$A$9:$A$2008,A284)-SUMIFS($F$9:$F$2008,$A$9:$A$2008,A284))&lt;0.5,"Yes","No"))</f>
        <v/>
      </c>
      <c r="L284" s="10" t="str">
        <f aca="false">IF(A284="","",IF(IF(K284="No","Does not balance | ","")&amp;IF(I284="","Not approved | ",IF(UPPER(TRIM(H284))=UPPER(TRIM(I284)),"Self-approved | ",""))&amp;IF(J284="","No support | ","")&amp;IF(WEEKDAY(B284,2)&gt;5,"Weekend posting | ","")&amp;IF(COUNTIF(Settings!$A$14:$A$43,B284)&gt;0,"Holiday posting | ","")&amp;IF(B284&gt;Settings!$C$8,"Posted after close | ","")&amp;IF(OR(B284&lt;Settings!$C$6,B284&gt;Settings!$C$7),"Outside period | ","")&amp;IF(COUNTIF(Settings!$E$14:$E$43,C284&amp;"")&gt;0,"Sensitive account | ","")&amp;IF(AND(MAX(N(E284),N(F284))&gt;=Settings!$C$9,MOD(MAX(N(E284),N(F284)),Settings!$C$10)=0),"Round amount | ","")="","",LEFT(IF(K284="No","Does not balance | ","")&amp;IF(I284="","Not approved | ",IF(UPPER(TRIM(H284))=UPPER(TRIM(I284)),"Self-approved | ",""))&amp;IF(J284="","No support | ","")&amp;IF(WEEKDAY(B284,2)&gt;5,"Weekend posting | ","")&amp;IF(COUNTIF(Settings!$A$14:$A$43,B284)&gt;0,"Holiday posting | ","")&amp;IF(B284&gt;Settings!$C$8,"Posted after close | ","")&amp;IF(OR(B284&lt;Settings!$C$6,B284&gt;Settings!$C$7),"Outside period | ","")&amp;IF(COUNTIF(Settings!$E$14:$E$43,C284&amp;"")&gt;0,"Sensitive account | ","")&amp;IF(AND(MAX(N(E284),N(F284))&gt;=Settings!$C$9,MOD(MAX(N(E284),N(F284)),Settings!$C$10)=0),"Round amount | ",""),LEN(IF(K284="No","Does not balance | ","")&amp;IF(I284="","Not approved | ",IF(UPPER(TRIM(H284))=UPPER(TRIM(I284)),"Self-approved | ",""))&amp;IF(J284="","No support | ","")&amp;IF(WEEKDAY(B284,2)&gt;5,"Weekend posting | ","")&amp;IF(COUNTIF(Settings!$A$14:$A$43,B284)&gt;0,"Holiday posting | ","")&amp;IF(B284&gt;Settings!$C$8,"Posted after close | ","")&amp;IF(OR(B284&lt;Settings!$C$6,B284&gt;Settings!$C$7),"Outside period | ","")&amp;IF(COUNTIF(Settings!$E$14:$E$43,C284&amp;"")&gt;0,"Sensitive account | ","")&amp;IF(AND(MAX(N(E284),N(F284))&gt;=Settings!$C$9,MOD(MAX(N(E284),N(F284)),Settings!$C$10)=0),"Round amount | ",""))-3)))</f>
        <v/>
      </c>
      <c r="M284" s="21" t="str">
        <f aca="false">IF(A284="","",IF(COUNTIF($A$9:A284,A284)=1,MAX($M$8:M283)+1,""))</f>
        <v/>
      </c>
    </row>
    <row r="285" customFormat="false" ht="15" hidden="false" customHeight="false" outlineLevel="0" collapsed="false">
      <c r="A285" s="8"/>
      <c r="B285" s="17"/>
      <c r="C285" s="19"/>
      <c r="D285" s="8"/>
      <c r="E285" s="18"/>
      <c r="F285" s="18"/>
      <c r="G285" s="8"/>
      <c r="H285" s="8"/>
      <c r="I285" s="8"/>
      <c r="J285" s="8"/>
      <c r="K285" s="10" t="str">
        <f aca="false">IF(A285="","",IF(ABS(SUMIFS($E$9:$E$2008,$A$9:$A$2008,A285)-SUMIFS($F$9:$F$2008,$A$9:$A$2008,A285))&lt;0.5,"Yes","No"))</f>
        <v/>
      </c>
      <c r="L285" s="10" t="str">
        <f aca="false">IF(A285="","",IF(IF(K285="No","Does not balance | ","")&amp;IF(I285="","Not approved | ",IF(UPPER(TRIM(H285))=UPPER(TRIM(I285)),"Self-approved | ",""))&amp;IF(J285="","No support | ","")&amp;IF(WEEKDAY(B285,2)&gt;5,"Weekend posting | ","")&amp;IF(COUNTIF(Settings!$A$14:$A$43,B285)&gt;0,"Holiday posting | ","")&amp;IF(B285&gt;Settings!$C$8,"Posted after close | ","")&amp;IF(OR(B285&lt;Settings!$C$6,B285&gt;Settings!$C$7),"Outside period | ","")&amp;IF(COUNTIF(Settings!$E$14:$E$43,C285&amp;"")&gt;0,"Sensitive account | ","")&amp;IF(AND(MAX(N(E285),N(F285))&gt;=Settings!$C$9,MOD(MAX(N(E285),N(F285)),Settings!$C$10)=0),"Round amount | ","")="","",LEFT(IF(K285="No","Does not balance | ","")&amp;IF(I285="","Not approved | ",IF(UPPER(TRIM(H285))=UPPER(TRIM(I285)),"Self-approved | ",""))&amp;IF(J285="","No support | ","")&amp;IF(WEEKDAY(B285,2)&gt;5,"Weekend posting | ","")&amp;IF(COUNTIF(Settings!$A$14:$A$43,B285)&gt;0,"Holiday posting | ","")&amp;IF(B285&gt;Settings!$C$8,"Posted after close | ","")&amp;IF(OR(B285&lt;Settings!$C$6,B285&gt;Settings!$C$7),"Outside period | ","")&amp;IF(COUNTIF(Settings!$E$14:$E$43,C285&amp;"")&gt;0,"Sensitive account | ","")&amp;IF(AND(MAX(N(E285),N(F285))&gt;=Settings!$C$9,MOD(MAX(N(E285),N(F285)),Settings!$C$10)=0),"Round amount | ",""),LEN(IF(K285="No","Does not balance | ","")&amp;IF(I285="","Not approved | ",IF(UPPER(TRIM(H285))=UPPER(TRIM(I285)),"Self-approved | ",""))&amp;IF(J285="","No support | ","")&amp;IF(WEEKDAY(B285,2)&gt;5,"Weekend posting | ","")&amp;IF(COUNTIF(Settings!$A$14:$A$43,B285)&gt;0,"Holiday posting | ","")&amp;IF(B285&gt;Settings!$C$8,"Posted after close | ","")&amp;IF(OR(B285&lt;Settings!$C$6,B285&gt;Settings!$C$7),"Outside period | ","")&amp;IF(COUNTIF(Settings!$E$14:$E$43,C285&amp;"")&gt;0,"Sensitive account | ","")&amp;IF(AND(MAX(N(E285),N(F285))&gt;=Settings!$C$9,MOD(MAX(N(E285),N(F285)),Settings!$C$10)=0),"Round amount | ",""))-3)))</f>
        <v/>
      </c>
      <c r="M285" s="21" t="str">
        <f aca="false">IF(A285="","",IF(COUNTIF($A$9:A285,A285)=1,MAX($M$8:M284)+1,""))</f>
        <v/>
      </c>
    </row>
    <row r="286" customFormat="false" ht="15" hidden="false" customHeight="false" outlineLevel="0" collapsed="false">
      <c r="A286" s="8"/>
      <c r="B286" s="17"/>
      <c r="C286" s="19"/>
      <c r="D286" s="8"/>
      <c r="E286" s="18"/>
      <c r="F286" s="18"/>
      <c r="G286" s="8"/>
      <c r="H286" s="8"/>
      <c r="I286" s="8"/>
      <c r="J286" s="8"/>
      <c r="K286" s="10" t="str">
        <f aca="false">IF(A286="","",IF(ABS(SUMIFS($E$9:$E$2008,$A$9:$A$2008,A286)-SUMIFS($F$9:$F$2008,$A$9:$A$2008,A286))&lt;0.5,"Yes","No"))</f>
        <v/>
      </c>
      <c r="L286" s="10" t="str">
        <f aca="false">IF(A286="","",IF(IF(K286="No","Does not balance | ","")&amp;IF(I286="","Not approved | ",IF(UPPER(TRIM(H286))=UPPER(TRIM(I286)),"Self-approved | ",""))&amp;IF(J286="","No support | ","")&amp;IF(WEEKDAY(B286,2)&gt;5,"Weekend posting | ","")&amp;IF(COUNTIF(Settings!$A$14:$A$43,B286)&gt;0,"Holiday posting | ","")&amp;IF(B286&gt;Settings!$C$8,"Posted after close | ","")&amp;IF(OR(B286&lt;Settings!$C$6,B286&gt;Settings!$C$7),"Outside period | ","")&amp;IF(COUNTIF(Settings!$E$14:$E$43,C286&amp;"")&gt;0,"Sensitive account | ","")&amp;IF(AND(MAX(N(E286),N(F286))&gt;=Settings!$C$9,MOD(MAX(N(E286),N(F286)),Settings!$C$10)=0),"Round amount | ","")="","",LEFT(IF(K286="No","Does not balance | ","")&amp;IF(I286="","Not approved | ",IF(UPPER(TRIM(H286))=UPPER(TRIM(I286)),"Self-approved | ",""))&amp;IF(J286="","No support | ","")&amp;IF(WEEKDAY(B286,2)&gt;5,"Weekend posting | ","")&amp;IF(COUNTIF(Settings!$A$14:$A$43,B286)&gt;0,"Holiday posting | ","")&amp;IF(B286&gt;Settings!$C$8,"Posted after close | ","")&amp;IF(OR(B286&lt;Settings!$C$6,B286&gt;Settings!$C$7),"Outside period | ","")&amp;IF(COUNTIF(Settings!$E$14:$E$43,C286&amp;"")&gt;0,"Sensitive account | ","")&amp;IF(AND(MAX(N(E286),N(F286))&gt;=Settings!$C$9,MOD(MAX(N(E286),N(F286)),Settings!$C$10)=0),"Round amount | ",""),LEN(IF(K286="No","Does not balance | ","")&amp;IF(I286="","Not approved | ",IF(UPPER(TRIM(H286))=UPPER(TRIM(I286)),"Self-approved | ",""))&amp;IF(J286="","No support | ","")&amp;IF(WEEKDAY(B286,2)&gt;5,"Weekend posting | ","")&amp;IF(COUNTIF(Settings!$A$14:$A$43,B286)&gt;0,"Holiday posting | ","")&amp;IF(B286&gt;Settings!$C$8,"Posted after close | ","")&amp;IF(OR(B286&lt;Settings!$C$6,B286&gt;Settings!$C$7),"Outside period | ","")&amp;IF(COUNTIF(Settings!$E$14:$E$43,C286&amp;"")&gt;0,"Sensitive account | ","")&amp;IF(AND(MAX(N(E286),N(F286))&gt;=Settings!$C$9,MOD(MAX(N(E286),N(F286)),Settings!$C$10)=0),"Round amount | ",""))-3)))</f>
        <v/>
      </c>
      <c r="M286" s="21" t="str">
        <f aca="false">IF(A286="","",IF(COUNTIF($A$9:A286,A286)=1,MAX($M$8:M285)+1,""))</f>
        <v/>
      </c>
    </row>
    <row r="287" customFormat="false" ht="15" hidden="false" customHeight="false" outlineLevel="0" collapsed="false">
      <c r="A287" s="8"/>
      <c r="B287" s="17"/>
      <c r="C287" s="19"/>
      <c r="D287" s="8"/>
      <c r="E287" s="18"/>
      <c r="F287" s="18"/>
      <c r="G287" s="8"/>
      <c r="H287" s="8"/>
      <c r="I287" s="8"/>
      <c r="J287" s="8"/>
      <c r="K287" s="10" t="str">
        <f aca="false">IF(A287="","",IF(ABS(SUMIFS($E$9:$E$2008,$A$9:$A$2008,A287)-SUMIFS($F$9:$F$2008,$A$9:$A$2008,A287))&lt;0.5,"Yes","No"))</f>
        <v/>
      </c>
      <c r="L287" s="10" t="str">
        <f aca="false">IF(A287="","",IF(IF(K287="No","Does not balance | ","")&amp;IF(I287="","Not approved | ",IF(UPPER(TRIM(H287))=UPPER(TRIM(I287)),"Self-approved | ",""))&amp;IF(J287="","No support | ","")&amp;IF(WEEKDAY(B287,2)&gt;5,"Weekend posting | ","")&amp;IF(COUNTIF(Settings!$A$14:$A$43,B287)&gt;0,"Holiday posting | ","")&amp;IF(B287&gt;Settings!$C$8,"Posted after close | ","")&amp;IF(OR(B287&lt;Settings!$C$6,B287&gt;Settings!$C$7),"Outside period | ","")&amp;IF(COUNTIF(Settings!$E$14:$E$43,C287&amp;"")&gt;0,"Sensitive account | ","")&amp;IF(AND(MAX(N(E287),N(F287))&gt;=Settings!$C$9,MOD(MAX(N(E287),N(F287)),Settings!$C$10)=0),"Round amount | ","")="","",LEFT(IF(K287="No","Does not balance | ","")&amp;IF(I287="","Not approved | ",IF(UPPER(TRIM(H287))=UPPER(TRIM(I287)),"Self-approved | ",""))&amp;IF(J287="","No support | ","")&amp;IF(WEEKDAY(B287,2)&gt;5,"Weekend posting | ","")&amp;IF(COUNTIF(Settings!$A$14:$A$43,B287)&gt;0,"Holiday posting | ","")&amp;IF(B287&gt;Settings!$C$8,"Posted after close | ","")&amp;IF(OR(B287&lt;Settings!$C$6,B287&gt;Settings!$C$7),"Outside period | ","")&amp;IF(COUNTIF(Settings!$E$14:$E$43,C287&amp;"")&gt;0,"Sensitive account | ","")&amp;IF(AND(MAX(N(E287),N(F287))&gt;=Settings!$C$9,MOD(MAX(N(E287),N(F287)),Settings!$C$10)=0),"Round amount | ",""),LEN(IF(K287="No","Does not balance | ","")&amp;IF(I287="","Not approved | ",IF(UPPER(TRIM(H287))=UPPER(TRIM(I287)),"Self-approved | ",""))&amp;IF(J287="","No support | ","")&amp;IF(WEEKDAY(B287,2)&gt;5,"Weekend posting | ","")&amp;IF(COUNTIF(Settings!$A$14:$A$43,B287)&gt;0,"Holiday posting | ","")&amp;IF(B287&gt;Settings!$C$8,"Posted after close | ","")&amp;IF(OR(B287&lt;Settings!$C$6,B287&gt;Settings!$C$7),"Outside period | ","")&amp;IF(COUNTIF(Settings!$E$14:$E$43,C287&amp;"")&gt;0,"Sensitive account | ","")&amp;IF(AND(MAX(N(E287),N(F287))&gt;=Settings!$C$9,MOD(MAX(N(E287),N(F287)),Settings!$C$10)=0),"Round amount | ",""))-3)))</f>
        <v/>
      </c>
      <c r="M287" s="21" t="str">
        <f aca="false">IF(A287="","",IF(COUNTIF($A$9:A287,A287)=1,MAX($M$8:M286)+1,""))</f>
        <v/>
      </c>
    </row>
    <row r="288" customFormat="false" ht="15" hidden="false" customHeight="false" outlineLevel="0" collapsed="false">
      <c r="A288" s="8"/>
      <c r="B288" s="17"/>
      <c r="C288" s="19"/>
      <c r="D288" s="8"/>
      <c r="E288" s="18"/>
      <c r="F288" s="18"/>
      <c r="G288" s="8"/>
      <c r="H288" s="8"/>
      <c r="I288" s="8"/>
      <c r="J288" s="8"/>
      <c r="K288" s="10" t="str">
        <f aca="false">IF(A288="","",IF(ABS(SUMIFS($E$9:$E$2008,$A$9:$A$2008,A288)-SUMIFS($F$9:$F$2008,$A$9:$A$2008,A288))&lt;0.5,"Yes","No"))</f>
        <v/>
      </c>
      <c r="L288" s="10" t="str">
        <f aca="false">IF(A288="","",IF(IF(K288="No","Does not balance | ","")&amp;IF(I288="","Not approved | ",IF(UPPER(TRIM(H288))=UPPER(TRIM(I288)),"Self-approved | ",""))&amp;IF(J288="","No support | ","")&amp;IF(WEEKDAY(B288,2)&gt;5,"Weekend posting | ","")&amp;IF(COUNTIF(Settings!$A$14:$A$43,B288)&gt;0,"Holiday posting | ","")&amp;IF(B288&gt;Settings!$C$8,"Posted after close | ","")&amp;IF(OR(B288&lt;Settings!$C$6,B288&gt;Settings!$C$7),"Outside period | ","")&amp;IF(COUNTIF(Settings!$E$14:$E$43,C288&amp;"")&gt;0,"Sensitive account | ","")&amp;IF(AND(MAX(N(E288),N(F288))&gt;=Settings!$C$9,MOD(MAX(N(E288),N(F288)),Settings!$C$10)=0),"Round amount | ","")="","",LEFT(IF(K288="No","Does not balance | ","")&amp;IF(I288="","Not approved | ",IF(UPPER(TRIM(H288))=UPPER(TRIM(I288)),"Self-approved | ",""))&amp;IF(J288="","No support | ","")&amp;IF(WEEKDAY(B288,2)&gt;5,"Weekend posting | ","")&amp;IF(COUNTIF(Settings!$A$14:$A$43,B288)&gt;0,"Holiday posting | ","")&amp;IF(B288&gt;Settings!$C$8,"Posted after close | ","")&amp;IF(OR(B288&lt;Settings!$C$6,B288&gt;Settings!$C$7),"Outside period | ","")&amp;IF(COUNTIF(Settings!$E$14:$E$43,C288&amp;"")&gt;0,"Sensitive account | ","")&amp;IF(AND(MAX(N(E288),N(F288))&gt;=Settings!$C$9,MOD(MAX(N(E288),N(F288)),Settings!$C$10)=0),"Round amount | ",""),LEN(IF(K288="No","Does not balance | ","")&amp;IF(I288="","Not approved | ",IF(UPPER(TRIM(H288))=UPPER(TRIM(I288)),"Self-approved | ",""))&amp;IF(J288="","No support | ","")&amp;IF(WEEKDAY(B288,2)&gt;5,"Weekend posting | ","")&amp;IF(COUNTIF(Settings!$A$14:$A$43,B288)&gt;0,"Holiday posting | ","")&amp;IF(B288&gt;Settings!$C$8,"Posted after close | ","")&amp;IF(OR(B288&lt;Settings!$C$6,B288&gt;Settings!$C$7),"Outside period | ","")&amp;IF(COUNTIF(Settings!$E$14:$E$43,C288&amp;"")&gt;0,"Sensitive account | ","")&amp;IF(AND(MAX(N(E288),N(F288))&gt;=Settings!$C$9,MOD(MAX(N(E288),N(F288)),Settings!$C$10)=0),"Round amount | ",""))-3)))</f>
        <v/>
      </c>
      <c r="M288" s="21" t="str">
        <f aca="false">IF(A288="","",IF(COUNTIF($A$9:A288,A288)=1,MAX($M$8:M287)+1,""))</f>
        <v/>
      </c>
    </row>
    <row r="289" customFormat="false" ht="15" hidden="false" customHeight="false" outlineLevel="0" collapsed="false">
      <c r="A289" s="8"/>
      <c r="B289" s="17"/>
      <c r="C289" s="19"/>
      <c r="D289" s="8"/>
      <c r="E289" s="18"/>
      <c r="F289" s="18"/>
      <c r="G289" s="8"/>
      <c r="H289" s="8"/>
      <c r="I289" s="8"/>
      <c r="J289" s="8"/>
      <c r="K289" s="10" t="str">
        <f aca="false">IF(A289="","",IF(ABS(SUMIFS($E$9:$E$2008,$A$9:$A$2008,A289)-SUMIFS($F$9:$F$2008,$A$9:$A$2008,A289))&lt;0.5,"Yes","No"))</f>
        <v/>
      </c>
      <c r="L289" s="10" t="str">
        <f aca="false">IF(A289="","",IF(IF(K289="No","Does not balance | ","")&amp;IF(I289="","Not approved | ",IF(UPPER(TRIM(H289))=UPPER(TRIM(I289)),"Self-approved | ",""))&amp;IF(J289="","No support | ","")&amp;IF(WEEKDAY(B289,2)&gt;5,"Weekend posting | ","")&amp;IF(COUNTIF(Settings!$A$14:$A$43,B289)&gt;0,"Holiday posting | ","")&amp;IF(B289&gt;Settings!$C$8,"Posted after close | ","")&amp;IF(OR(B289&lt;Settings!$C$6,B289&gt;Settings!$C$7),"Outside period | ","")&amp;IF(COUNTIF(Settings!$E$14:$E$43,C289&amp;"")&gt;0,"Sensitive account | ","")&amp;IF(AND(MAX(N(E289),N(F289))&gt;=Settings!$C$9,MOD(MAX(N(E289),N(F289)),Settings!$C$10)=0),"Round amount | ","")="","",LEFT(IF(K289="No","Does not balance | ","")&amp;IF(I289="","Not approved | ",IF(UPPER(TRIM(H289))=UPPER(TRIM(I289)),"Self-approved | ",""))&amp;IF(J289="","No support | ","")&amp;IF(WEEKDAY(B289,2)&gt;5,"Weekend posting | ","")&amp;IF(COUNTIF(Settings!$A$14:$A$43,B289)&gt;0,"Holiday posting | ","")&amp;IF(B289&gt;Settings!$C$8,"Posted after close | ","")&amp;IF(OR(B289&lt;Settings!$C$6,B289&gt;Settings!$C$7),"Outside period | ","")&amp;IF(COUNTIF(Settings!$E$14:$E$43,C289&amp;"")&gt;0,"Sensitive account | ","")&amp;IF(AND(MAX(N(E289),N(F289))&gt;=Settings!$C$9,MOD(MAX(N(E289),N(F289)),Settings!$C$10)=0),"Round amount | ",""),LEN(IF(K289="No","Does not balance | ","")&amp;IF(I289="","Not approved | ",IF(UPPER(TRIM(H289))=UPPER(TRIM(I289)),"Self-approved | ",""))&amp;IF(J289="","No support | ","")&amp;IF(WEEKDAY(B289,2)&gt;5,"Weekend posting | ","")&amp;IF(COUNTIF(Settings!$A$14:$A$43,B289)&gt;0,"Holiday posting | ","")&amp;IF(B289&gt;Settings!$C$8,"Posted after close | ","")&amp;IF(OR(B289&lt;Settings!$C$6,B289&gt;Settings!$C$7),"Outside period | ","")&amp;IF(COUNTIF(Settings!$E$14:$E$43,C289&amp;"")&gt;0,"Sensitive account | ","")&amp;IF(AND(MAX(N(E289),N(F289))&gt;=Settings!$C$9,MOD(MAX(N(E289),N(F289)),Settings!$C$10)=0),"Round amount | ",""))-3)))</f>
        <v/>
      </c>
      <c r="M289" s="21" t="str">
        <f aca="false">IF(A289="","",IF(COUNTIF($A$9:A289,A289)=1,MAX($M$8:M288)+1,""))</f>
        <v/>
      </c>
    </row>
    <row r="290" customFormat="false" ht="15" hidden="false" customHeight="false" outlineLevel="0" collapsed="false">
      <c r="A290" s="8"/>
      <c r="B290" s="17"/>
      <c r="C290" s="19"/>
      <c r="D290" s="8"/>
      <c r="E290" s="18"/>
      <c r="F290" s="18"/>
      <c r="G290" s="8"/>
      <c r="H290" s="8"/>
      <c r="I290" s="8"/>
      <c r="J290" s="8"/>
      <c r="K290" s="10" t="str">
        <f aca="false">IF(A290="","",IF(ABS(SUMIFS($E$9:$E$2008,$A$9:$A$2008,A290)-SUMIFS($F$9:$F$2008,$A$9:$A$2008,A290))&lt;0.5,"Yes","No"))</f>
        <v/>
      </c>
      <c r="L290" s="10" t="str">
        <f aca="false">IF(A290="","",IF(IF(K290="No","Does not balance | ","")&amp;IF(I290="","Not approved | ",IF(UPPER(TRIM(H290))=UPPER(TRIM(I290)),"Self-approved | ",""))&amp;IF(J290="","No support | ","")&amp;IF(WEEKDAY(B290,2)&gt;5,"Weekend posting | ","")&amp;IF(COUNTIF(Settings!$A$14:$A$43,B290)&gt;0,"Holiday posting | ","")&amp;IF(B290&gt;Settings!$C$8,"Posted after close | ","")&amp;IF(OR(B290&lt;Settings!$C$6,B290&gt;Settings!$C$7),"Outside period | ","")&amp;IF(COUNTIF(Settings!$E$14:$E$43,C290&amp;"")&gt;0,"Sensitive account | ","")&amp;IF(AND(MAX(N(E290),N(F290))&gt;=Settings!$C$9,MOD(MAX(N(E290),N(F290)),Settings!$C$10)=0),"Round amount | ","")="","",LEFT(IF(K290="No","Does not balance | ","")&amp;IF(I290="","Not approved | ",IF(UPPER(TRIM(H290))=UPPER(TRIM(I290)),"Self-approved | ",""))&amp;IF(J290="","No support | ","")&amp;IF(WEEKDAY(B290,2)&gt;5,"Weekend posting | ","")&amp;IF(COUNTIF(Settings!$A$14:$A$43,B290)&gt;0,"Holiday posting | ","")&amp;IF(B290&gt;Settings!$C$8,"Posted after close | ","")&amp;IF(OR(B290&lt;Settings!$C$6,B290&gt;Settings!$C$7),"Outside period | ","")&amp;IF(COUNTIF(Settings!$E$14:$E$43,C290&amp;"")&gt;0,"Sensitive account | ","")&amp;IF(AND(MAX(N(E290),N(F290))&gt;=Settings!$C$9,MOD(MAX(N(E290),N(F290)),Settings!$C$10)=0),"Round amount | ",""),LEN(IF(K290="No","Does not balance | ","")&amp;IF(I290="","Not approved | ",IF(UPPER(TRIM(H290))=UPPER(TRIM(I290)),"Self-approved | ",""))&amp;IF(J290="","No support | ","")&amp;IF(WEEKDAY(B290,2)&gt;5,"Weekend posting | ","")&amp;IF(COUNTIF(Settings!$A$14:$A$43,B290)&gt;0,"Holiday posting | ","")&amp;IF(B290&gt;Settings!$C$8,"Posted after close | ","")&amp;IF(OR(B290&lt;Settings!$C$6,B290&gt;Settings!$C$7),"Outside period | ","")&amp;IF(COUNTIF(Settings!$E$14:$E$43,C290&amp;"")&gt;0,"Sensitive account | ","")&amp;IF(AND(MAX(N(E290),N(F290))&gt;=Settings!$C$9,MOD(MAX(N(E290),N(F290)),Settings!$C$10)=0),"Round amount | ",""))-3)))</f>
        <v/>
      </c>
      <c r="M290" s="21" t="str">
        <f aca="false">IF(A290="","",IF(COUNTIF($A$9:A290,A290)=1,MAX($M$8:M289)+1,""))</f>
        <v/>
      </c>
    </row>
    <row r="291" customFormat="false" ht="15" hidden="false" customHeight="false" outlineLevel="0" collapsed="false">
      <c r="A291" s="8"/>
      <c r="B291" s="17"/>
      <c r="C291" s="19"/>
      <c r="D291" s="8"/>
      <c r="E291" s="18"/>
      <c r="F291" s="18"/>
      <c r="G291" s="8"/>
      <c r="H291" s="8"/>
      <c r="I291" s="8"/>
      <c r="J291" s="8"/>
      <c r="K291" s="10" t="str">
        <f aca="false">IF(A291="","",IF(ABS(SUMIFS($E$9:$E$2008,$A$9:$A$2008,A291)-SUMIFS($F$9:$F$2008,$A$9:$A$2008,A291))&lt;0.5,"Yes","No"))</f>
        <v/>
      </c>
      <c r="L291" s="10" t="str">
        <f aca="false">IF(A291="","",IF(IF(K291="No","Does not balance | ","")&amp;IF(I291="","Not approved | ",IF(UPPER(TRIM(H291))=UPPER(TRIM(I291)),"Self-approved | ",""))&amp;IF(J291="","No support | ","")&amp;IF(WEEKDAY(B291,2)&gt;5,"Weekend posting | ","")&amp;IF(COUNTIF(Settings!$A$14:$A$43,B291)&gt;0,"Holiday posting | ","")&amp;IF(B291&gt;Settings!$C$8,"Posted after close | ","")&amp;IF(OR(B291&lt;Settings!$C$6,B291&gt;Settings!$C$7),"Outside period | ","")&amp;IF(COUNTIF(Settings!$E$14:$E$43,C291&amp;"")&gt;0,"Sensitive account | ","")&amp;IF(AND(MAX(N(E291),N(F291))&gt;=Settings!$C$9,MOD(MAX(N(E291),N(F291)),Settings!$C$10)=0),"Round amount | ","")="","",LEFT(IF(K291="No","Does not balance | ","")&amp;IF(I291="","Not approved | ",IF(UPPER(TRIM(H291))=UPPER(TRIM(I291)),"Self-approved | ",""))&amp;IF(J291="","No support | ","")&amp;IF(WEEKDAY(B291,2)&gt;5,"Weekend posting | ","")&amp;IF(COUNTIF(Settings!$A$14:$A$43,B291)&gt;0,"Holiday posting | ","")&amp;IF(B291&gt;Settings!$C$8,"Posted after close | ","")&amp;IF(OR(B291&lt;Settings!$C$6,B291&gt;Settings!$C$7),"Outside period | ","")&amp;IF(COUNTIF(Settings!$E$14:$E$43,C291&amp;"")&gt;0,"Sensitive account | ","")&amp;IF(AND(MAX(N(E291),N(F291))&gt;=Settings!$C$9,MOD(MAX(N(E291),N(F291)),Settings!$C$10)=0),"Round amount | ",""),LEN(IF(K291="No","Does not balance | ","")&amp;IF(I291="","Not approved | ",IF(UPPER(TRIM(H291))=UPPER(TRIM(I291)),"Self-approved | ",""))&amp;IF(J291="","No support | ","")&amp;IF(WEEKDAY(B291,2)&gt;5,"Weekend posting | ","")&amp;IF(COUNTIF(Settings!$A$14:$A$43,B291)&gt;0,"Holiday posting | ","")&amp;IF(B291&gt;Settings!$C$8,"Posted after close | ","")&amp;IF(OR(B291&lt;Settings!$C$6,B291&gt;Settings!$C$7),"Outside period | ","")&amp;IF(COUNTIF(Settings!$E$14:$E$43,C291&amp;"")&gt;0,"Sensitive account | ","")&amp;IF(AND(MAX(N(E291),N(F291))&gt;=Settings!$C$9,MOD(MAX(N(E291),N(F291)),Settings!$C$10)=0),"Round amount | ",""))-3)))</f>
        <v/>
      </c>
      <c r="M291" s="21" t="str">
        <f aca="false">IF(A291="","",IF(COUNTIF($A$9:A291,A291)=1,MAX($M$8:M290)+1,""))</f>
        <v/>
      </c>
    </row>
    <row r="292" customFormat="false" ht="15" hidden="false" customHeight="false" outlineLevel="0" collapsed="false">
      <c r="A292" s="8"/>
      <c r="B292" s="17"/>
      <c r="C292" s="19"/>
      <c r="D292" s="8"/>
      <c r="E292" s="18"/>
      <c r="F292" s="18"/>
      <c r="G292" s="8"/>
      <c r="H292" s="8"/>
      <c r="I292" s="8"/>
      <c r="J292" s="8"/>
      <c r="K292" s="10" t="str">
        <f aca="false">IF(A292="","",IF(ABS(SUMIFS($E$9:$E$2008,$A$9:$A$2008,A292)-SUMIFS($F$9:$F$2008,$A$9:$A$2008,A292))&lt;0.5,"Yes","No"))</f>
        <v/>
      </c>
      <c r="L292" s="10" t="str">
        <f aca="false">IF(A292="","",IF(IF(K292="No","Does not balance | ","")&amp;IF(I292="","Not approved | ",IF(UPPER(TRIM(H292))=UPPER(TRIM(I292)),"Self-approved | ",""))&amp;IF(J292="","No support | ","")&amp;IF(WEEKDAY(B292,2)&gt;5,"Weekend posting | ","")&amp;IF(COUNTIF(Settings!$A$14:$A$43,B292)&gt;0,"Holiday posting | ","")&amp;IF(B292&gt;Settings!$C$8,"Posted after close | ","")&amp;IF(OR(B292&lt;Settings!$C$6,B292&gt;Settings!$C$7),"Outside period | ","")&amp;IF(COUNTIF(Settings!$E$14:$E$43,C292&amp;"")&gt;0,"Sensitive account | ","")&amp;IF(AND(MAX(N(E292),N(F292))&gt;=Settings!$C$9,MOD(MAX(N(E292),N(F292)),Settings!$C$10)=0),"Round amount | ","")="","",LEFT(IF(K292="No","Does not balance | ","")&amp;IF(I292="","Not approved | ",IF(UPPER(TRIM(H292))=UPPER(TRIM(I292)),"Self-approved | ",""))&amp;IF(J292="","No support | ","")&amp;IF(WEEKDAY(B292,2)&gt;5,"Weekend posting | ","")&amp;IF(COUNTIF(Settings!$A$14:$A$43,B292)&gt;0,"Holiday posting | ","")&amp;IF(B292&gt;Settings!$C$8,"Posted after close | ","")&amp;IF(OR(B292&lt;Settings!$C$6,B292&gt;Settings!$C$7),"Outside period | ","")&amp;IF(COUNTIF(Settings!$E$14:$E$43,C292&amp;"")&gt;0,"Sensitive account | ","")&amp;IF(AND(MAX(N(E292),N(F292))&gt;=Settings!$C$9,MOD(MAX(N(E292),N(F292)),Settings!$C$10)=0),"Round amount | ",""),LEN(IF(K292="No","Does not balance | ","")&amp;IF(I292="","Not approved | ",IF(UPPER(TRIM(H292))=UPPER(TRIM(I292)),"Self-approved | ",""))&amp;IF(J292="","No support | ","")&amp;IF(WEEKDAY(B292,2)&gt;5,"Weekend posting | ","")&amp;IF(COUNTIF(Settings!$A$14:$A$43,B292)&gt;0,"Holiday posting | ","")&amp;IF(B292&gt;Settings!$C$8,"Posted after close | ","")&amp;IF(OR(B292&lt;Settings!$C$6,B292&gt;Settings!$C$7),"Outside period | ","")&amp;IF(COUNTIF(Settings!$E$14:$E$43,C292&amp;"")&gt;0,"Sensitive account | ","")&amp;IF(AND(MAX(N(E292),N(F292))&gt;=Settings!$C$9,MOD(MAX(N(E292),N(F292)),Settings!$C$10)=0),"Round amount | ",""))-3)))</f>
        <v/>
      </c>
      <c r="M292" s="21" t="str">
        <f aca="false">IF(A292="","",IF(COUNTIF($A$9:A292,A292)=1,MAX($M$8:M291)+1,""))</f>
        <v/>
      </c>
    </row>
    <row r="293" customFormat="false" ht="15" hidden="false" customHeight="false" outlineLevel="0" collapsed="false">
      <c r="A293" s="8"/>
      <c r="B293" s="17"/>
      <c r="C293" s="19"/>
      <c r="D293" s="8"/>
      <c r="E293" s="18"/>
      <c r="F293" s="18"/>
      <c r="G293" s="8"/>
      <c r="H293" s="8"/>
      <c r="I293" s="8"/>
      <c r="J293" s="8"/>
      <c r="K293" s="10" t="str">
        <f aca="false">IF(A293="","",IF(ABS(SUMIFS($E$9:$E$2008,$A$9:$A$2008,A293)-SUMIFS($F$9:$F$2008,$A$9:$A$2008,A293))&lt;0.5,"Yes","No"))</f>
        <v/>
      </c>
      <c r="L293" s="10" t="str">
        <f aca="false">IF(A293="","",IF(IF(K293="No","Does not balance | ","")&amp;IF(I293="","Not approved | ",IF(UPPER(TRIM(H293))=UPPER(TRIM(I293)),"Self-approved | ",""))&amp;IF(J293="","No support | ","")&amp;IF(WEEKDAY(B293,2)&gt;5,"Weekend posting | ","")&amp;IF(COUNTIF(Settings!$A$14:$A$43,B293)&gt;0,"Holiday posting | ","")&amp;IF(B293&gt;Settings!$C$8,"Posted after close | ","")&amp;IF(OR(B293&lt;Settings!$C$6,B293&gt;Settings!$C$7),"Outside period | ","")&amp;IF(COUNTIF(Settings!$E$14:$E$43,C293&amp;"")&gt;0,"Sensitive account | ","")&amp;IF(AND(MAX(N(E293),N(F293))&gt;=Settings!$C$9,MOD(MAX(N(E293),N(F293)),Settings!$C$10)=0),"Round amount | ","")="","",LEFT(IF(K293="No","Does not balance | ","")&amp;IF(I293="","Not approved | ",IF(UPPER(TRIM(H293))=UPPER(TRIM(I293)),"Self-approved | ",""))&amp;IF(J293="","No support | ","")&amp;IF(WEEKDAY(B293,2)&gt;5,"Weekend posting | ","")&amp;IF(COUNTIF(Settings!$A$14:$A$43,B293)&gt;0,"Holiday posting | ","")&amp;IF(B293&gt;Settings!$C$8,"Posted after close | ","")&amp;IF(OR(B293&lt;Settings!$C$6,B293&gt;Settings!$C$7),"Outside period | ","")&amp;IF(COUNTIF(Settings!$E$14:$E$43,C293&amp;"")&gt;0,"Sensitive account | ","")&amp;IF(AND(MAX(N(E293),N(F293))&gt;=Settings!$C$9,MOD(MAX(N(E293),N(F293)),Settings!$C$10)=0),"Round amount | ",""),LEN(IF(K293="No","Does not balance | ","")&amp;IF(I293="","Not approved | ",IF(UPPER(TRIM(H293))=UPPER(TRIM(I293)),"Self-approved | ",""))&amp;IF(J293="","No support | ","")&amp;IF(WEEKDAY(B293,2)&gt;5,"Weekend posting | ","")&amp;IF(COUNTIF(Settings!$A$14:$A$43,B293)&gt;0,"Holiday posting | ","")&amp;IF(B293&gt;Settings!$C$8,"Posted after close | ","")&amp;IF(OR(B293&lt;Settings!$C$6,B293&gt;Settings!$C$7),"Outside period | ","")&amp;IF(COUNTIF(Settings!$E$14:$E$43,C293&amp;"")&gt;0,"Sensitive account | ","")&amp;IF(AND(MAX(N(E293),N(F293))&gt;=Settings!$C$9,MOD(MAX(N(E293),N(F293)),Settings!$C$10)=0),"Round amount | ",""))-3)))</f>
        <v/>
      </c>
      <c r="M293" s="21" t="str">
        <f aca="false">IF(A293="","",IF(COUNTIF($A$9:A293,A293)=1,MAX($M$8:M292)+1,""))</f>
        <v/>
      </c>
    </row>
    <row r="294" customFormat="false" ht="15" hidden="false" customHeight="false" outlineLevel="0" collapsed="false">
      <c r="A294" s="8"/>
      <c r="B294" s="17"/>
      <c r="C294" s="19"/>
      <c r="D294" s="8"/>
      <c r="E294" s="18"/>
      <c r="F294" s="18"/>
      <c r="G294" s="8"/>
      <c r="H294" s="8"/>
      <c r="I294" s="8"/>
      <c r="J294" s="8"/>
      <c r="K294" s="10" t="str">
        <f aca="false">IF(A294="","",IF(ABS(SUMIFS($E$9:$E$2008,$A$9:$A$2008,A294)-SUMIFS($F$9:$F$2008,$A$9:$A$2008,A294))&lt;0.5,"Yes","No"))</f>
        <v/>
      </c>
      <c r="L294" s="10" t="str">
        <f aca="false">IF(A294="","",IF(IF(K294="No","Does not balance | ","")&amp;IF(I294="","Not approved | ",IF(UPPER(TRIM(H294))=UPPER(TRIM(I294)),"Self-approved | ",""))&amp;IF(J294="","No support | ","")&amp;IF(WEEKDAY(B294,2)&gt;5,"Weekend posting | ","")&amp;IF(COUNTIF(Settings!$A$14:$A$43,B294)&gt;0,"Holiday posting | ","")&amp;IF(B294&gt;Settings!$C$8,"Posted after close | ","")&amp;IF(OR(B294&lt;Settings!$C$6,B294&gt;Settings!$C$7),"Outside period | ","")&amp;IF(COUNTIF(Settings!$E$14:$E$43,C294&amp;"")&gt;0,"Sensitive account | ","")&amp;IF(AND(MAX(N(E294),N(F294))&gt;=Settings!$C$9,MOD(MAX(N(E294),N(F294)),Settings!$C$10)=0),"Round amount | ","")="","",LEFT(IF(K294="No","Does not balance | ","")&amp;IF(I294="","Not approved | ",IF(UPPER(TRIM(H294))=UPPER(TRIM(I294)),"Self-approved | ",""))&amp;IF(J294="","No support | ","")&amp;IF(WEEKDAY(B294,2)&gt;5,"Weekend posting | ","")&amp;IF(COUNTIF(Settings!$A$14:$A$43,B294)&gt;0,"Holiday posting | ","")&amp;IF(B294&gt;Settings!$C$8,"Posted after close | ","")&amp;IF(OR(B294&lt;Settings!$C$6,B294&gt;Settings!$C$7),"Outside period | ","")&amp;IF(COUNTIF(Settings!$E$14:$E$43,C294&amp;"")&gt;0,"Sensitive account | ","")&amp;IF(AND(MAX(N(E294),N(F294))&gt;=Settings!$C$9,MOD(MAX(N(E294),N(F294)),Settings!$C$10)=0),"Round amount | ",""),LEN(IF(K294="No","Does not balance | ","")&amp;IF(I294="","Not approved | ",IF(UPPER(TRIM(H294))=UPPER(TRIM(I294)),"Self-approved | ",""))&amp;IF(J294="","No support | ","")&amp;IF(WEEKDAY(B294,2)&gt;5,"Weekend posting | ","")&amp;IF(COUNTIF(Settings!$A$14:$A$43,B294)&gt;0,"Holiday posting | ","")&amp;IF(B294&gt;Settings!$C$8,"Posted after close | ","")&amp;IF(OR(B294&lt;Settings!$C$6,B294&gt;Settings!$C$7),"Outside period | ","")&amp;IF(COUNTIF(Settings!$E$14:$E$43,C294&amp;"")&gt;0,"Sensitive account | ","")&amp;IF(AND(MAX(N(E294),N(F294))&gt;=Settings!$C$9,MOD(MAX(N(E294),N(F294)),Settings!$C$10)=0),"Round amount | ",""))-3)))</f>
        <v/>
      </c>
      <c r="M294" s="21" t="str">
        <f aca="false">IF(A294="","",IF(COUNTIF($A$9:A294,A294)=1,MAX($M$8:M293)+1,""))</f>
        <v/>
      </c>
    </row>
    <row r="295" customFormat="false" ht="15" hidden="false" customHeight="false" outlineLevel="0" collapsed="false">
      <c r="A295" s="8"/>
      <c r="B295" s="17"/>
      <c r="C295" s="19"/>
      <c r="D295" s="8"/>
      <c r="E295" s="18"/>
      <c r="F295" s="18"/>
      <c r="G295" s="8"/>
      <c r="H295" s="8"/>
      <c r="I295" s="8"/>
      <c r="J295" s="8"/>
      <c r="K295" s="10" t="str">
        <f aca="false">IF(A295="","",IF(ABS(SUMIFS($E$9:$E$2008,$A$9:$A$2008,A295)-SUMIFS($F$9:$F$2008,$A$9:$A$2008,A295))&lt;0.5,"Yes","No"))</f>
        <v/>
      </c>
      <c r="L295" s="10" t="str">
        <f aca="false">IF(A295="","",IF(IF(K295="No","Does not balance | ","")&amp;IF(I295="","Not approved | ",IF(UPPER(TRIM(H295))=UPPER(TRIM(I295)),"Self-approved | ",""))&amp;IF(J295="","No support | ","")&amp;IF(WEEKDAY(B295,2)&gt;5,"Weekend posting | ","")&amp;IF(COUNTIF(Settings!$A$14:$A$43,B295)&gt;0,"Holiday posting | ","")&amp;IF(B295&gt;Settings!$C$8,"Posted after close | ","")&amp;IF(OR(B295&lt;Settings!$C$6,B295&gt;Settings!$C$7),"Outside period | ","")&amp;IF(COUNTIF(Settings!$E$14:$E$43,C295&amp;"")&gt;0,"Sensitive account | ","")&amp;IF(AND(MAX(N(E295),N(F295))&gt;=Settings!$C$9,MOD(MAX(N(E295),N(F295)),Settings!$C$10)=0),"Round amount | ","")="","",LEFT(IF(K295="No","Does not balance | ","")&amp;IF(I295="","Not approved | ",IF(UPPER(TRIM(H295))=UPPER(TRIM(I295)),"Self-approved | ",""))&amp;IF(J295="","No support | ","")&amp;IF(WEEKDAY(B295,2)&gt;5,"Weekend posting | ","")&amp;IF(COUNTIF(Settings!$A$14:$A$43,B295)&gt;0,"Holiday posting | ","")&amp;IF(B295&gt;Settings!$C$8,"Posted after close | ","")&amp;IF(OR(B295&lt;Settings!$C$6,B295&gt;Settings!$C$7),"Outside period | ","")&amp;IF(COUNTIF(Settings!$E$14:$E$43,C295&amp;"")&gt;0,"Sensitive account | ","")&amp;IF(AND(MAX(N(E295),N(F295))&gt;=Settings!$C$9,MOD(MAX(N(E295),N(F295)),Settings!$C$10)=0),"Round amount | ",""),LEN(IF(K295="No","Does not balance | ","")&amp;IF(I295="","Not approved | ",IF(UPPER(TRIM(H295))=UPPER(TRIM(I295)),"Self-approved | ",""))&amp;IF(J295="","No support | ","")&amp;IF(WEEKDAY(B295,2)&gt;5,"Weekend posting | ","")&amp;IF(COUNTIF(Settings!$A$14:$A$43,B295)&gt;0,"Holiday posting | ","")&amp;IF(B295&gt;Settings!$C$8,"Posted after close | ","")&amp;IF(OR(B295&lt;Settings!$C$6,B295&gt;Settings!$C$7),"Outside period | ","")&amp;IF(COUNTIF(Settings!$E$14:$E$43,C295&amp;"")&gt;0,"Sensitive account | ","")&amp;IF(AND(MAX(N(E295),N(F295))&gt;=Settings!$C$9,MOD(MAX(N(E295),N(F295)),Settings!$C$10)=0),"Round amount | ",""))-3)))</f>
        <v/>
      </c>
      <c r="M295" s="21" t="str">
        <f aca="false">IF(A295="","",IF(COUNTIF($A$9:A295,A295)=1,MAX($M$8:M294)+1,""))</f>
        <v/>
      </c>
    </row>
    <row r="296" customFormat="false" ht="15" hidden="false" customHeight="false" outlineLevel="0" collapsed="false">
      <c r="A296" s="8"/>
      <c r="B296" s="17"/>
      <c r="C296" s="19"/>
      <c r="D296" s="8"/>
      <c r="E296" s="18"/>
      <c r="F296" s="18"/>
      <c r="G296" s="8"/>
      <c r="H296" s="8"/>
      <c r="I296" s="8"/>
      <c r="J296" s="8"/>
      <c r="K296" s="10" t="str">
        <f aca="false">IF(A296="","",IF(ABS(SUMIFS($E$9:$E$2008,$A$9:$A$2008,A296)-SUMIFS($F$9:$F$2008,$A$9:$A$2008,A296))&lt;0.5,"Yes","No"))</f>
        <v/>
      </c>
      <c r="L296" s="10" t="str">
        <f aca="false">IF(A296="","",IF(IF(K296="No","Does not balance | ","")&amp;IF(I296="","Not approved | ",IF(UPPER(TRIM(H296))=UPPER(TRIM(I296)),"Self-approved | ",""))&amp;IF(J296="","No support | ","")&amp;IF(WEEKDAY(B296,2)&gt;5,"Weekend posting | ","")&amp;IF(COUNTIF(Settings!$A$14:$A$43,B296)&gt;0,"Holiday posting | ","")&amp;IF(B296&gt;Settings!$C$8,"Posted after close | ","")&amp;IF(OR(B296&lt;Settings!$C$6,B296&gt;Settings!$C$7),"Outside period | ","")&amp;IF(COUNTIF(Settings!$E$14:$E$43,C296&amp;"")&gt;0,"Sensitive account | ","")&amp;IF(AND(MAX(N(E296),N(F296))&gt;=Settings!$C$9,MOD(MAX(N(E296),N(F296)),Settings!$C$10)=0),"Round amount | ","")="","",LEFT(IF(K296="No","Does not balance | ","")&amp;IF(I296="","Not approved | ",IF(UPPER(TRIM(H296))=UPPER(TRIM(I296)),"Self-approved | ",""))&amp;IF(J296="","No support | ","")&amp;IF(WEEKDAY(B296,2)&gt;5,"Weekend posting | ","")&amp;IF(COUNTIF(Settings!$A$14:$A$43,B296)&gt;0,"Holiday posting | ","")&amp;IF(B296&gt;Settings!$C$8,"Posted after close | ","")&amp;IF(OR(B296&lt;Settings!$C$6,B296&gt;Settings!$C$7),"Outside period | ","")&amp;IF(COUNTIF(Settings!$E$14:$E$43,C296&amp;"")&gt;0,"Sensitive account | ","")&amp;IF(AND(MAX(N(E296),N(F296))&gt;=Settings!$C$9,MOD(MAX(N(E296),N(F296)),Settings!$C$10)=0),"Round amount | ",""),LEN(IF(K296="No","Does not balance | ","")&amp;IF(I296="","Not approved | ",IF(UPPER(TRIM(H296))=UPPER(TRIM(I296)),"Self-approved | ",""))&amp;IF(J296="","No support | ","")&amp;IF(WEEKDAY(B296,2)&gt;5,"Weekend posting | ","")&amp;IF(COUNTIF(Settings!$A$14:$A$43,B296)&gt;0,"Holiday posting | ","")&amp;IF(B296&gt;Settings!$C$8,"Posted after close | ","")&amp;IF(OR(B296&lt;Settings!$C$6,B296&gt;Settings!$C$7),"Outside period | ","")&amp;IF(COUNTIF(Settings!$E$14:$E$43,C296&amp;"")&gt;0,"Sensitive account | ","")&amp;IF(AND(MAX(N(E296),N(F296))&gt;=Settings!$C$9,MOD(MAX(N(E296),N(F296)),Settings!$C$10)=0),"Round amount | ",""))-3)))</f>
        <v/>
      </c>
      <c r="M296" s="21" t="str">
        <f aca="false">IF(A296="","",IF(COUNTIF($A$9:A296,A296)=1,MAX($M$8:M295)+1,""))</f>
        <v/>
      </c>
    </row>
    <row r="297" customFormat="false" ht="15" hidden="false" customHeight="false" outlineLevel="0" collapsed="false">
      <c r="A297" s="8"/>
      <c r="B297" s="17"/>
      <c r="C297" s="19"/>
      <c r="D297" s="8"/>
      <c r="E297" s="18"/>
      <c r="F297" s="18"/>
      <c r="G297" s="8"/>
      <c r="H297" s="8"/>
      <c r="I297" s="8"/>
      <c r="J297" s="8"/>
      <c r="K297" s="10" t="str">
        <f aca="false">IF(A297="","",IF(ABS(SUMIFS($E$9:$E$2008,$A$9:$A$2008,A297)-SUMIFS($F$9:$F$2008,$A$9:$A$2008,A297))&lt;0.5,"Yes","No"))</f>
        <v/>
      </c>
      <c r="L297" s="10" t="str">
        <f aca="false">IF(A297="","",IF(IF(K297="No","Does not balance | ","")&amp;IF(I297="","Not approved | ",IF(UPPER(TRIM(H297))=UPPER(TRIM(I297)),"Self-approved | ",""))&amp;IF(J297="","No support | ","")&amp;IF(WEEKDAY(B297,2)&gt;5,"Weekend posting | ","")&amp;IF(COUNTIF(Settings!$A$14:$A$43,B297)&gt;0,"Holiday posting | ","")&amp;IF(B297&gt;Settings!$C$8,"Posted after close | ","")&amp;IF(OR(B297&lt;Settings!$C$6,B297&gt;Settings!$C$7),"Outside period | ","")&amp;IF(COUNTIF(Settings!$E$14:$E$43,C297&amp;"")&gt;0,"Sensitive account | ","")&amp;IF(AND(MAX(N(E297),N(F297))&gt;=Settings!$C$9,MOD(MAX(N(E297),N(F297)),Settings!$C$10)=0),"Round amount | ","")="","",LEFT(IF(K297="No","Does not balance | ","")&amp;IF(I297="","Not approved | ",IF(UPPER(TRIM(H297))=UPPER(TRIM(I297)),"Self-approved | ",""))&amp;IF(J297="","No support | ","")&amp;IF(WEEKDAY(B297,2)&gt;5,"Weekend posting | ","")&amp;IF(COUNTIF(Settings!$A$14:$A$43,B297)&gt;0,"Holiday posting | ","")&amp;IF(B297&gt;Settings!$C$8,"Posted after close | ","")&amp;IF(OR(B297&lt;Settings!$C$6,B297&gt;Settings!$C$7),"Outside period | ","")&amp;IF(COUNTIF(Settings!$E$14:$E$43,C297&amp;"")&gt;0,"Sensitive account | ","")&amp;IF(AND(MAX(N(E297),N(F297))&gt;=Settings!$C$9,MOD(MAX(N(E297),N(F297)),Settings!$C$10)=0),"Round amount | ",""),LEN(IF(K297="No","Does not balance | ","")&amp;IF(I297="","Not approved | ",IF(UPPER(TRIM(H297))=UPPER(TRIM(I297)),"Self-approved | ",""))&amp;IF(J297="","No support | ","")&amp;IF(WEEKDAY(B297,2)&gt;5,"Weekend posting | ","")&amp;IF(COUNTIF(Settings!$A$14:$A$43,B297)&gt;0,"Holiday posting | ","")&amp;IF(B297&gt;Settings!$C$8,"Posted after close | ","")&amp;IF(OR(B297&lt;Settings!$C$6,B297&gt;Settings!$C$7),"Outside period | ","")&amp;IF(COUNTIF(Settings!$E$14:$E$43,C297&amp;"")&gt;0,"Sensitive account | ","")&amp;IF(AND(MAX(N(E297),N(F297))&gt;=Settings!$C$9,MOD(MAX(N(E297),N(F297)),Settings!$C$10)=0),"Round amount | ",""))-3)))</f>
        <v/>
      </c>
      <c r="M297" s="21" t="str">
        <f aca="false">IF(A297="","",IF(COUNTIF($A$9:A297,A297)=1,MAX($M$8:M296)+1,""))</f>
        <v/>
      </c>
    </row>
    <row r="298" customFormat="false" ht="15" hidden="false" customHeight="false" outlineLevel="0" collapsed="false">
      <c r="A298" s="8"/>
      <c r="B298" s="17"/>
      <c r="C298" s="19"/>
      <c r="D298" s="8"/>
      <c r="E298" s="18"/>
      <c r="F298" s="18"/>
      <c r="G298" s="8"/>
      <c r="H298" s="8"/>
      <c r="I298" s="8"/>
      <c r="J298" s="8"/>
      <c r="K298" s="10" t="str">
        <f aca="false">IF(A298="","",IF(ABS(SUMIFS($E$9:$E$2008,$A$9:$A$2008,A298)-SUMIFS($F$9:$F$2008,$A$9:$A$2008,A298))&lt;0.5,"Yes","No"))</f>
        <v/>
      </c>
      <c r="L298" s="10" t="str">
        <f aca="false">IF(A298="","",IF(IF(K298="No","Does not balance | ","")&amp;IF(I298="","Not approved | ",IF(UPPER(TRIM(H298))=UPPER(TRIM(I298)),"Self-approved | ",""))&amp;IF(J298="","No support | ","")&amp;IF(WEEKDAY(B298,2)&gt;5,"Weekend posting | ","")&amp;IF(COUNTIF(Settings!$A$14:$A$43,B298)&gt;0,"Holiday posting | ","")&amp;IF(B298&gt;Settings!$C$8,"Posted after close | ","")&amp;IF(OR(B298&lt;Settings!$C$6,B298&gt;Settings!$C$7),"Outside period | ","")&amp;IF(COUNTIF(Settings!$E$14:$E$43,C298&amp;"")&gt;0,"Sensitive account | ","")&amp;IF(AND(MAX(N(E298),N(F298))&gt;=Settings!$C$9,MOD(MAX(N(E298),N(F298)),Settings!$C$10)=0),"Round amount | ","")="","",LEFT(IF(K298="No","Does not balance | ","")&amp;IF(I298="","Not approved | ",IF(UPPER(TRIM(H298))=UPPER(TRIM(I298)),"Self-approved | ",""))&amp;IF(J298="","No support | ","")&amp;IF(WEEKDAY(B298,2)&gt;5,"Weekend posting | ","")&amp;IF(COUNTIF(Settings!$A$14:$A$43,B298)&gt;0,"Holiday posting | ","")&amp;IF(B298&gt;Settings!$C$8,"Posted after close | ","")&amp;IF(OR(B298&lt;Settings!$C$6,B298&gt;Settings!$C$7),"Outside period | ","")&amp;IF(COUNTIF(Settings!$E$14:$E$43,C298&amp;"")&gt;0,"Sensitive account | ","")&amp;IF(AND(MAX(N(E298),N(F298))&gt;=Settings!$C$9,MOD(MAX(N(E298),N(F298)),Settings!$C$10)=0),"Round amount | ",""),LEN(IF(K298="No","Does not balance | ","")&amp;IF(I298="","Not approved | ",IF(UPPER(TRIM(H298))=UPPER(TRIM(I298)),"Self-approved | ",""))&amp;IF(J298="","No support | ","")&amp;IF(WEEKDAY(B298,2)&gt;5,"Weekend posting | ","")&amp;IF(COUNTIF(Settings!$A$14:$A$43,B298)&gt;0,"Holiday posting | ","")&amp;IF(B298&gt;Settings!$C$8,"Posted after close | ","")&amp;IF(OR(B298&lt;Settings!$C$6,B298&gt;Settings!$C$7),"Outside period | ","")&amp;IF(COUNTIF(Settings!$E$14:$E$43,C298&amp;"")&gt;0,"Sensitive account | ","")&amp;IF(AND(MAX(N(E298),N(F298))&gt;=Settings!$C$9,MOD(MAX(N(E298),N(F298)),Settings!$C$10)=0),"Round amount | ",""))-3)))</f>
        <v/>
      </c>
      <c r="M298" s="21" t="str">
        <f aca="false">IF(A298="","",IF(COUNTIF($A$9:A298,A298)=1,MAX($M$8:M297)+1,""))</f>
        <v/>
      </c>
    </row>
    <row r="299" customFormat="false" ht="15" hidden="false" customHeight="false" outlineLevel="0" collapsed="false">
      <c r="A299" s="8"/>
      <c r="B299" s="17"/>
      <c r="C299" s="19"/>
      <c r="D299" s="8"/>
      <c r="E299" s="18"/>
      <c r="F299" s="18"/>
      <c r="G299" s="8"/>
      <c r="H299" s="8"/>
      <c r="I299" s="8"/>
      <c r="J299" s="8"/>
      <c r="K299" s="10" t="str">
        <f aca="false">IF(A299="","",IF(ABS(SUMIFS($E$9:$E$2008,$A$9:$A$2008,A299)-SUMIFS($F$9:$F$2008,$A$9:$A$2008,A299))&lt;0.5,"Yes","No"))</f>
        <v/>
      </c>
      <c r="L299" s="10" t="str">
        <f aca="false">IF(A299="","",IF(IF(K299="No","Does not balance | ","")&amp;IF(I299="","Not approved | ",IF(UPPER(TRIM(H299))=UPPER(TRIM(I299)),"Self-approved | ",""))&amp;IF(J299="","No support | ","")&amp;IF(WEEKDAY(B299,2)&gt;5,"Weekend posting | ","")&amp;IF(COUNTIF(Settings!$A$14:$A$43,B299)&gt;0,"Holiday posting | ","")&amp;IF(B299&gt;Settings!$C$8,"Posted after close | ","")&amp;IF(OR(B299&lt;Settings!$C$6,B299&gt;Settings!$C$7),"Outside period | ","")&amp;IF(COUNTIF(Settings!$E$14:$E$43,C299&amp;"")&gt;0,"Sensitive account | ","")&amp;IF(AND(MAX(N(E299),N(F299))&gt;=Settings!$C$9,MOD(MAX(N(E299),N(F299)),Settings!$C$10)=0),"Round amount | ","")="","",LEFT(IF(K299="No","Does not balance | ","")&amp;IF(I299="","Not approved | ",IF(UPPER(TRIM(H299))=UPPER(TRIM(I299)),"Self-approved | ",""))&amp;IF(J299="","No support | ","")&amp;IF(WEEKDAY(B299,2)&gt;5,"Weekend posting | ","")&amp;IF(COUNTIF(Settings!$A$14:$A$43,B299)&gt;0,"Holiday posting | ","")&amp;IF(B299&gt;Settings!$C$8,"Posted after close | ","")&amp;IF(OR(B299&lt;Settings!$C$6,B299&gt;Settings!$C$7),"Outside period | ","")&amp;IF(COUNTIF(Settings!$E$14:$E$43,C299&amp;"")&gt;0,"Sensitive account | ","")&amp;IF(AND(MAX(N(E299),N(F299))&gt;=Settings!$C$9,MOD(MAX(N(E299),N(F299)),Settings!$C$10)=0),"Round amount | ",""),LEN(IF(K299="No","Does not balance | ","")&amp;IF(I299="","Not approved | ",IF(UPPER(TRIM(H299))=UPPER(TRIM(I299)),"Self-approved | ",""))&amp;IF(J299="","No support | ","")&amp;IF(WEEKDAY(B299,2)&gt;5,"Weekend posting | ","")&amp;IF(COUNTIF(Settings!$A$14:$A$43,B299)&gt;0,"Holiday posting | ","")&amp;IF(B299&gt;Settings!$C$8,"Posted after close | ","")&amp;IF(OR(B299&lt;Settings!$C$6,B299&gt;Settings!$C$7),"Outside period | ","")&amp;IF(COUNTIF(Settings!$E$14:$E$43,C299&amp;"")&gt;0,"Sensitive account | ","")&amp;IF(AND(MAX(N(E299),N(F299))&gt;=Settings!$C$9,MOD(MAX(N(E299),N(F299)),Settings!$C$10)=0),"Round amount | ",""))-3)))</f>
        <v/>
      </c>
      <c r="M299" s="21" t="str">
        <f aca="false">IF(A299="","",IF(COUNTIF($A$9:A299,A299)=1,MAX($M$8:M298)+1,""))</f>
        <v/>
      </c>
    </row>
    <row r="300" customFormat="false" ht="15" hidden="false" customHeight="false" outlineLevel="0" collapsed="false">
      <c r="A300" s="8"/>
      <c r="B300" s="17"/>
      <c r="C300" s="19"/>
      <c r="D300" s="8"/>
      <c r="E300" s="18"/>
      <c r="F300" s="18"/>
      <c r="G300" s="8"/>
      <c r="H300" s="8"/>
      <c r="I300" s="8"/>
      <c r="J300" s="8"/>
      <c r="K300" s="10" t="str">
        <f aca="false">IF(A300="","",IF(ABS(SUMIFS($E$9:$E$2008,$A$9:$A$2008,A300)-SUMIFS($F$9:$F$2008,$A$9:$A$2008,A300))&lt;0.5,"Yes","No"))</f>
        <v/>
      </c>
      <c r="L300" s="10" t="str">
        <f aca="false">IF(A300="","",IF(IF(K300="No","Does not balance | ","")&amp;IF(I300="","Not approved | ",IF(UPPER(TRIM(H300))=UPPER(TRIM(I300)),"Self-approved | ",""))&amp;IF(J300="","No support | ","")&amp;IF(WEEKDAY(B300,2)&gt;5,"Weekend posting | ","")&amp;IF(COUNTIF(Settings!$A$14:$A$43,B300)&gt;0,"Holiday posting | ","")&amp;IF(B300&gt;Settings!$C$8,"Posted after close | ","")&amp;IF(OR(B300&lt;Settings!$C$6,B300&gt;Settings!$C$7),"Outside period | ","")&amp;IF(COUNTIF(Settings!$E$14:$E$43,C300&amp;"")&gt;0,"Sensitive account | ","")&amp;IF(AND(MAX(N(E300),N(F300))&gt;=Settings!$C$9,MOD(MAX(N(E300),N(F300)),Settings!$C$10)=0),"Round amount | ","")="","",LEFT(IF(K300="No","Does not balance | ","")&amp;IF(I300="","Not approved | ",IF(UPPER(TRIM(H300))=UPPER(TRIM(I300)),"Self-approved | ",""))&amp;IF(J300="","No support | ","")&amp;IF(WEEKDAY(B300,2)&gt;5,"Weekend posting | ","")&amp;IF(COUNTIF(Settings!$A$14:$A$43,B300)&gt;0,"Holiday posting | ","")&amp;IF(B300&gt;Settings!$C$8,"Posted after close | ","")&amp;IF(OR(B300&lt;Settings!$C$6,B300&gt;Settings!$C$7),"Outside period | ","")&amp;IF(COUNTIF(Settings!$E$14:$E$43,C300&amp;"")&gt;0,"Sensitive account | ","")&amp;IF(AND(MAX(N(E300),N(F300))&gt;=Settings!$C$9,MOD(MAX(N(E300),N(F300)),Settings!$C$10)=0),"Round amount | ",""),LEN(IF(K300="No","Does not balance | ","")&amp;IF(I300="","Not approved | ",IF(UPPER(TRIM(H300))=UPPER(TRIM(I300)),"Self-approved | ",""))&amp;IF(J300="","No support | ","")&amp;IF(WEEKDAY(B300,2)&gt;5,"Weekend posting | ","")&amp;IF(COUNTIF(Settings!$A$14:$A$43,B300)&gt;0,"Holiday posting | ","")&amp;IF(B300&gt;Settings!$C$8,"Posted after close | ","")&amp;IF(OR(B300&lt;Settings!$C$6,B300&gt;Settings!$C$7),"Outside period | ","")&amp;IF(COUNTIF(Settings!$E$14:$E$43,C300&amp;"")&gt;0,"Sensitive account | ","")&amp;IF(AND(MAX(N(E300),N(F300))&gt;=Settings!$C$9,MOD(MAX(N(E300),N(F300)),Settings!$C$10)=0),"Round amount | ",""))-3)))</f>
        <v/>
      </c>
      <c r="M300" s="21" t="str">
        <f aca="false">IF(A300="","",IF(COUNTIF($A$9:A300,A300)=1,MAX($M$8:M299)+1,""))</f>
        <v/>
      </c>
    </row>
    <row r="301" customFormat="false" ht="15" hidden="false" customHeight="false" outlineLevel="0" collapsed="false">
      <c r="A301" s="8"/>
      <c r="B301" s="17"/>
      <c r="C301" s="19"/>
      <c r="D301" s="8"/>
      <c r="E301" s="18"/>
      <c r="F301" s="18"/>
      <c r="G301" s="8"/>
      <c r="H301" s="8"/>
      <c r="I301" s="8"/>
      <c r="J301" s="8"/>
      <c r="K301" s="10" t="str">
        <f aca="false">IF(A301="","",IF(ABS(SUMIFS($E$9:$E$2008,$A$9:$A$2008,A301)-SUMIFS($F$9:$F$2008,$A$9:$A$2008,A301))&lt;0.5,"Yes","No"))</f>
        <v/>
      </c>
      <c r="L301" s="10" t="str">
        <f aca="false">IF(A301="","",IF(IF(K301="No","Does not balance | ","")&amp;IF(I301="","Not approved | ",IF(UPPER(TRIM(H301))=UPPER(TRIM(I301)),"Self-approved | ",""))&amp;IF(J301="","No support | ","")&amp;IF(WEEKDAY(B301,2)&gt;5,"Weekend posting | ","")&amp;IF(COUNTIF(Settings!$A$14:$A$43,B301)&gt;0,"Holiday posting | ","")&amp;IF(B301&gt;Settings!$C$8,"Posted after close | ","")&amp;IF(OR(B301&lt;Settings!$C$6,B301&gt;Settings!$C$7),"Outside period | ","")&amp;IF(COUNTIF(Settings!$E$14:$E$43,C301&amp;"")&gt;0,"Sensitive account | ","")&amp;IF(AND(MAX(N(E301),N(F301))&gt;=Settings!$C$9,MOD(MAX(N(E301),N(F301)),Settings!$C$10)=0),"Round amount | ","")="","",LEFT(IF(K301="No","Does not balance | ","")&amp;IF(I301="","Not approved | ",IF(UPPER(TRIM(H301))=UPPER(TRIM(I301)),"Self-approved | ",""))&amp;IF(J301="","No support | ","")&amp;IF(WEEKDAY(B301,2)&gt;5,"Weekend posting | ","")&amp;IF(COUNTIF(Settings!$A$14:$A$43,B301)&gt;0,"Holiday posting | ","")&amp;IF(B301&gt;Settings!$C$8,"Posted after close | ","")&amp;IF(OR(B301&lt;Settings!$C$6,B301&gt;Settings!$C$7),"Outside period | ","")&amp;IF(COUNTIF(Settings!$E$14:$E$43,C301&amp;"")&gt;0,"Sensitive account | ","")&amp;IF(AND(MAX(N(E301),N(F301))&gt;=Settings!$C$9,MOD(MAX(N(E301),N(F301)),Settings!$C$10)=0),"Round amount | ",""),LEN(IF(K301="No","Does not balance | ","")&amp;IF(I301="","Not approved | ",IF(UPPER(TRIM(H301))=UPPER(TRIM(I301)),"Self-approved | ",""))&amp;IF(J301="","No support | ","")&amp;IF(WEEKDAY(B301,2)&gt;5,"Weekend posting | ","")&amp;IF(COUNTIF(Settings!$A$14:$A$43,B301)&gt;0,"Holiday posting | ","")&amp;IF(B301&gt;Settings!$C$8,"Posted after close | ","")&amp;IF(OR(B301&lt;Settings!$C$6,B301&gt;Settings!$C$7),"Outside period | ","")&amp;IF(COUNTIF(Settings!$E$14:$E$43,C301&amp;"")&gt;0,"Sensitive account | ","")&amp;IF(AND(MAX(N(E301),N(F301))&gt;=Settings!$C$9,MOD(MAX(N(E301),N(F301)),Settings!$C$10)=0),"Round amount | ",""))-3)))</f>
        <v/>
      </c>
      <c r="M301" s="21" t="str">
        <f aca="false">IF(A301="","",IF(COUNTIF($A$9:A301,A301)=1,MAX($M$8:M300)+1,""))</f>
        <v/>
      </c>
    </row>
    <row r="302" customFormat="false" ht="15" hidden="false" customHeight="false" outlineLevel="0" collapsed="false">
      <c r="A302" s="8"/>
      <c r="B302" s="17"/>
      <c r="C302" s="19"/>
      <c r="D302" s="8"/>
      <c r="E302" s="18"/>
      <c r="F302" s="18"/>
      <c r="G302" s="8"/>
      <c r="H302" s="8"/>
      <c r="I302" s="8"/>
      <c r="J302" s="8"/>
      <c r="K302" s="10" t="str">
        <f aca="false">IF(A302="","",IF(ABS(SUMIFS($E$9:$E$2008,$A$9:$A$2008,A302)-SUMIFS($F$9:$F$2008,$A$9:$A$2008,A302))&lt;0.5,"Yes","No"))</f>
        <v/>
      </c>
      <c r="L302" s="10" t="str">
        <f aca="false">IF(A302="","",IF(IF(K302="No","Does not balance | ","")&amp;IF(I302="","Not approved | ",IF(UPPER(TRIM(H302))=UPPER(TRIM(I302)),"Self-approved | ",""))&amp;IF(J302="","No support | ","")&amp;IF(WEEKDAY(B302,2)&gt;5,"Weekend posting | ","")&amp;IF(COUNTIF(Settings!$A$14:$A$43,B302)&gt;0,"Holiday posting | ","")&amp;IF(B302&gt;Settings!$C$8,"Posted after close | ","")&amp;IF(OR(B302&lt;Settings!$C$6,B302&gt;Settings!$C$7),"Outside period | ","")&amp;IF(COUNTIF(Settings!$E$14:$E$43,C302&amp;"")&gt;0,"Sensitive account | ","")&amp;IF(AND(MAX(N(E302),N(F302))&gt;=Settings!$C$9,MOD(MAX(N(E302),N(F302)),Settings!$C$10)=0),"Round amount | ","")="","",LEFT(IF(K302="No","Does not balance | ","")&amp;IF(I302="","Not approved | ",IF(UPPER(TRIM(H302))=UPPER(TRIM(I302)),"Self-approved | ",""))&amp;IF(J302="","No support | ","")&amp;IF(WEEKDAY(B302,2)&gt;5,"Weekend posting | ","")&amp;IF(COUNTIF(Settings!$A$14:$A$43,B302)&gt;0,"Holiday posting | ","")&amp;IF(B302&gt;Settings!$C$8,"Posted after close | ","")&amp;IF(OR(B302&lt;Settings!$C$6,B302&gt;Settings!$C$7),"Outside period | ","")&amp;IF(COUNTIF(Settings!$E$14:$E$43,C302&amp;"")&gt;0,"Sensitive account | ","")&amp;IF(AND(MAX(N(E302),N(F302))&gt;=Settings!$C$9,MOD(MAX(N(E302),N(F302)),Settings!$C$10)=0),"Round amount | ",""),LEN(IF(K302="No","Does not balance | ","")&amp;IF(I302="","Not approved | ",IF(UPPER(TRIM(H302))=UPPER(TRIM(I302)),"Self-approved | ",""))&amp;IF(J302="","No support | ","")&amp;IF(WEEKDAY(B302,2)&gt;5,"Weekend posting | ","")&amp;IF(COUNTIF(Settings!$A$14:$A$43,B302)&gt;0,"Holiday posting | ","")&amp;IF(B302&gt;Settings!$C$8,"Posted after close | ","")&amp;IF(OR(B302&lt;Settings!$C$6,B302&gt;Settings!$C$7),"Outside period | ","")&amp;IF(COUNTIF(Settings!$E$14:$E$43,C302&amp;"")&gt;0,"Sensitive account | ","")&amp;IF(AND(MAX(N(E302),N(F302))&gt;=Settings!$C$9,MOD(MAX(N(E302),N(F302)),Settings!$C$10)=0),"Round amount | ",""))-3)))</f>
        <v/>
      </c>
      <c r="M302" s="21" t="str">
        <f aca="false">IF(A302="","",IF(COUNTIF($A$9:A302,A302)=1,MAX($M$8:M301)+1,""))</f>
        <v/>
      </c>
    </row>
    <row r="303" customFormat="false" ht="15" hidden="false" customHeight="false" outlineLevel="0" collapsed="false">
      <c r="A303" s="8"/>
      <c r="B303" s="17"/>
      <c r="C303" s="19"/>
      <c r="D303" s="8"/>
      <c r="E303" s="18"/>
      <c r="F303" s="18"/>
      <c r="G303" s="8"/>
      <c r="H303" s="8"/>
      <c r="I303" s="8"/>
      <c r="J303" s="8"/>
      <c r="K303" s="10" t="str">
        <f aca="false">IF(A303="","",IF(ABS(SUMIFS($E$9:$E$2008,$A$9:$A$2008,A303)-SUMIFS($F$9:$F$2008,$A$9:$A$2008,A303))&lt;0.5,"Yes","No"))</f>
        <v/>
      </c>
      <c r="L303" s="10" t="str">
        <f aca="false">IF(A303="","",IF(IF(K303="No","Does not balance | ","")&amp;IF(I303="","Not approved | ",IF(UPPER(TRIM(H303))=UPPER(TRIM(I303)),"Self-approved | ",""))&amp;IF(J303="","No support | ","")&amp;IF(WEEKDAY(B303,2)&gt;5,"Weekend posting | ","")&amp;IF(COUNTIF(Settings!$A$14:$A$43,B303)&gt;0,"Holiday posting | ","")&amp;IF(B303&gt;Settings!$C$8,"Posted after close | ","")&amp;IF(OR(B303&lt;Settings!$C$6,B303&gt;Settings!$C$7),"Outside period | ","")&amp;IF(COUNTIF(Settings!$E$14:$E$43,C303&amp;"")&gt;0,"Sensitive account | ","")&amp;IF(AND(MAX(N(E303),N(F303))&gt;=Settings!$C$9,MOD(MAX(N(E303),N(F303)),Settings!$C$10)=0),"Round amount | ","")="","",LEFT(IF(K303="No","Does not balance | ","")&amp;IF(I303="","Not approved | ",IF(UPPER(TRIM(H303))=UPPER(TRIM(I303)),"Self-approved | ",""))&amp;IF(J303="","No support | ","")&amp;IF(WEEKDAY(B303,2)&gt;5,"Weekend posting | ","")&amp;IF(COUNTIF(Settings!$A$14:$A$43,B303)&gt;0,"Holiday posting | ","")&amp;IF(B303&gt;Settings!$C$8,"Posted after close | ","")&amp;IF(OR(B303&lt;Settings!$C$6,B303&gt;Settings!$C$7),"Outside period | ","")&amp;IF(COUNTIF(Settings!$E$14:$E$43,C303&amp;"")&gt;0,"Sensitive account | ","")&amp;IF(AND(MAX(N(E303),N(F303))&gt;=Settings!$C$9,MOD(MAX(N(E303),N(F303)),Settings!$C$10)=0),"Round amount | ",""),LEN(IF(K303="No","Does not balance | ","")&amp;IF(I303="","Not approved | ",IF(UPPER(TRIM(H303))=UPPER(TRIM(I303)),"Self-approved | ",""))&amp;IF(J303="","No support | ","")&amp;IF(WEEKDAY(B303,2)&gt;5,"Weekend posting | ","")&amp;IF(COUNTIF(Settings!$A$14:$A$43,B303)&gt;0,"Holiday posting | ","")&amp;IF(B303&gt;Settings!$C$8,"Posted after close | ","")&amp;IF(OR(B303&lt;Settings!$C$6,B303&gt;Settings!$C$7),"Outside period | ","")&amp;IF(COUNTIF(Settings!$E$14:$E$43,C303&amp;"")&gt;0,"Sensitive account | ","")&amp;IF(AND(MAX(N(E303),N(F303))&gt;=Settings!$C$9,MOD(MAX(N(E303),N(F303)),Settings!$C$10)=0),"Round amount | ",""))-3)))</f>
        <v/>
      </c>
      <c r="M303" s="21" t="str">
        <f aca="false">IF(A303="","",IF(COUNTIF($A$9:A303,A303)=1,MAX($M$8:M302)+1,""))</f>
        <v/>
      </c>
    </row>
    <row r="304" customFormat="false" ht="15" hidden="false" customHeight="false" outlineLevel="0" collapsed="false">
      <c r="A304" s="8"/>
      <c r="B304" s="17"/>
      <c r="C304" s="19"/>
      <c r="D304" s="8"/>
      <c r="E304" s="18"/>
      <c r="F304" s="18"/>
      <c r="G304" s="8"/>
      <c r="H304" s="8"/>
      <c r="I304" s="8"/>
      <c r="J304" s="8"/>
      <c r="K304" s="10" t="str">
        <f aca="false">IF(A304="","",IF(ABS(SUMIFS($E$9:$E$2008,$A$9:$A$2008,A304)-SUMIFS($F$9:$F$2008,$A$9:$A$2008,A304))&lt;0.5,"Yes","No"))</f>
        <v/>
      </c>
      <c r="L304" s="10" t="str">
        <f aca="false">IF(A304="","",IF(IF(K304="No","Does not balance | ","")&amp;IF(I304="","Not approved | ",IF(UPPER(TRIM(H304))=UPPER(TRIM(I304)),"Self-approved | ",""))&amp;IF(J304="","No support | ","")&amp;IF(WEEKDAY(B304,2)&gt;5,"Weekend posting | ","")&amp;IF(COUNTIF(Settings!$A$14:$A$43,B304)&gt;0,"Holiday posting | ","")&amp;IF(B304&gt;Settings!$C$8,"Posted after close | ","")&amp;IF(OR(B304&lt;Settings!$C$6,B304&gt;Settings!$C$7),"Outside period | ","")&amp;IF(COUNTIF(Settings!$E$14:$E$43,C304&amp;"")&gt;0,"Sensitive account | ","")&amp;IF(AND(MAX(N(E304),N(F304))&gt;=Settings!$C$9,MOD(MAX(N(E304),N(F304)),Settings!$C$10)=0),"Round amount | ","")="","",LEFT(IF(K304="No","Does not balance | ","")&amp;IF(I304="","Not approved | ",IF(UPPER(TRIM(H304))=UPPER(TRIM(I304)),"Self-approved | ",""))&amp;IF(J304="","No support | ","")&amp;IF(WEEKDAY(B304,2)&gt;5,"Weekend posting | ","")&amp;IF(COUNTIF(Settings!$A$14:$A$43,B304)&gt;0,"Holiday posting | ","")&amp;IF(B304&gt;Settings!$C$8,"Posted after close | ","")&amp;IF(OR(B304&lt;Settings!$C$6,B304&gt;Settings!$C$7),"Outside period | ","")&amp;IF(COUNTIF(Settings!$E$14:$E$43,C304&amp;"")&gt;0,"Sensitive account | ","")&amp;IF(AND(MAX(N(E304),N(F304))&gt;=Settings!$C$9,MOD(MAX(N(E304),N(F304)),Settings!$C$10)=0),"Round amount | ",""),LEN(IF(K304="No","Does not balance | ","")&amp;IF(I304="","Not approved | ",IF(UPPER(TRIM(H304))=UPPER(TRIM(I304)),"Self-approved | ",""))&amp;IF(J304="","No support | ","")&amp;IF(WEEKDAY(B304,2)&gt;5,"Weekend posting | ","")&amp;IF(COUNTIF(Settings!$A$14:$A$43,B304)&gt;0,"Holiday posting | ","")&amp;IF(B304&gt;Settings!$C$8,"Posted after close | ","")&amp;IF(OR(B304&lt;Settings!$C$6,B304&gt;Settings!$C$7),"Outside period | ","")&amp;IF(COUNTIF(Settings!$E$14:$E$43,C304&amp;"")&gt;0,"Sensitive account | ","")&amp;IF(AND(MAX(N(E304),N(F304))&gt;=Settings!$C$9,MOD(MAX(N(E304),N(F304)),Settings!$C$10)=0),"Round amount | ",""))-3)))</f>
        <v/>
      </c>
      <c r="M304" s="21" t="str">
        <f aca="false">IF(A304="","",IF(COUNTIF($A$9:A304,A304)=1,MAX($M$8:M303)+1,""))</f>
        <v/>
      </c>
    </row>
    <row r="305" customFormat="false" ht="15" hidden="false" customHeight="false" outlineLevel="0" collapsed="false">
      <c r="A305" s="8"/>
      <c r="B305" s="17"/>
      <c r="C305" s="19"/>
      <c r="D305" s="8"/>
      <c r="E305" s="18"/>
      <c r="F305" s="18"/>
      <c r="G305" s="8"/>
      <c r="H305" s="8"/>
      <c r="I305" s="8"/>
      <c r="J305" s="8"/>
      <c r="K305" s="10" t="str">
        <f aca="false">IF(A305="","",IF(ABS(SUMIFS($E$9:$E$2008,$A$9:$A$2008,A305)-SUMIFS($F$9:$F$2008,$A$9:$A$2008,A305))&lt;0.5,"Yes","No"))</f>
        <v/>
      </c>
      <c r="L305" s="10" t="str">
        <f aca="false">IF(A305="","",IF(IF(K305="No","Does not balance | ","")&amp;IF(I305="","Not approved | ",IF(UPPER(TRIM(H305))=UPPER(TRIM(I305)),"Self-approved | ",""))&amp;IF(J305="","No support | ","")&amp;IF(WEEKDAY(B305,2)&gt;5,"Weekend posting | ","")&amp;IF(COUNTIF(Settings!$A$14:$A$43,B305)&gt;0,"Holiday posting | ","")&amp;IF(B305&gt;Settings!$C$8,"Posted after close | ","")&amp;IF(OR(B305&lt;Settings!$C$6,B305&gt;Settings!$C$7),"Outside period | ","")&amp;IF(COUNTIF(Settings!$E$14:$E$43,C305&amp;"")&gt;0,"Sensitive account | ","")&amp;IF(AND(MAX(N(E305),N(F305))&gt;=Settings!$C$9,MOD(MAX(N(E305),N(F305)),Settings!$C$10)=0),"Round amount | ","")="","",LEFT(IF(K305="No","Does not balance | ","")&amp;IF(I305="","Not approved | ",IF(UPPER(TRIM(H305))=UPPER(TRIM(I305)),"Self-approved | ",""))&amp;IF(J305="","No support | ","")&amp;IF(WEEKDAY(B305,2)&gt;5,"Weekend posting | ","")&amp;IF(COUNTIF(Settings!$A$14:$A$43,B305)&gt;0,"Holiday posting | ","")&amp;IF(B305&gt;Settings!$C$8,"Posted after close | ","")&amp;IF(OR(B305&lt;Settings!$C$6,B305&gt;Settings!$C$7),"Outside period | ","")&amp;IF(COUNTIF(Settings!$E$14:$E$43,C305&amp;"")&gt;0,"Sensitive account | ","")&amp;IF(AND(MAX(N(E305),N(F305))&gt;=Settings!$C$9,MOD(MAX(N(E305),N(F305)),Settings!$C$10)=0),"Round amount | ",""),LEN(IF(K305="No","Does not balance | ","")&amp;IF(I305="","Not approved | ",IF(UPPER(TRIM(H305))=UPPER(TRIM(I305)),"Self-approved | ",""))&amp;IF(J305="","No support | ","")&amp;IF(WEEKDAY(B305,2)&gt;5,"Weekend posting | ","")&amp;IF(COUNTIF(Settings!$A$14:$A$43,B305)&gt;0,"Holiday posting | ","")&amp;IF(B305&gt;Settings!$C$8,"Posted after close | ","")&amp;IF(OR(B305&lt;Settings!$C$6,B305&gt;Settings!$C$7),"Outside period | ","")&amp;IF(COUNTIF(Settings!$E$14:$E$43,C305&amp;"")&gt;0,"Sensitive account | ","")&amp;IF(AND(MAX(N(E305),N(F305))&gt;=Settings!$C$9,MOD(MAX(N(E305),N(F305)),Settings!$C$10)=0),"Round amount | ",""))-3)))</f>
        <v/>
      </c>
      <c r="M305" s="21" t="str">
        <f aca="false">IF(A305="","",IF(COUNTIF($A$9:A305,A305)=1,MAX($M$8:M304)+1,""))</f>
        <v/>
      </c>
    </row>
    <row r="306" customFormat="false" ht="15" hidden="false" customHeight="false" outlineLevel="0" collapsed="false">
      <c r="A306" s="8"/>
      <c r="B306" s="17"/>
      <c r="C306" s="19"/>
      <c r="D306" s="8"/>
      <c r="E306" s="18"/>
      <c r="F306" s="18"/>
      <c r="G306" s="8"/>
      <c r="H306" s="8"/>
      <c r="I306" s="8"/>
      <c r="J306" s="8"/>
      <c r="K306" s="10" t="str">
        <f aca="false">IF(A306="","",IF(ABS(SUMIFS($E$9:$E$2008,$A$9:$A$2008,A306)-SUMIFS($F$9:$F$2008,$A$9:$A$2008,A306))&lt;0.5,"Yes","No"))</f>
        <v/>
      </c>
      <c r="L306" s="10" t="str">
        <f aca="false">IF(A306="","",IF(IF(K306="No","Does not balance | ","")&amp;IF(I306="","Not approved | ",IF(UPPER(TRIM(H306))=UPPER(TRIM(I306)),"Self-approved | ",""))&amp;IF(J306="","No support | ","")&amp;IF(WEEKDAY(B306,2)&gt;5,"Weekend posting | ","")&amp;IF(COUNTIF(Settings!$A$14:$A$43,B306)&gt;0,"Holiday posting | ","")&amp;IF(B306&gt;Settings!$C$8,"Posted after close | ","")&amp;IF(OR(B306&lt;Settings!$C$6,B306&gt;Settings!$C$7),"Outside period | ","")&amp;IF(COUNTIF(Settings!$E$14:$E$43,C306&amp;"")&gt;0,"Sensitive account | ","")&amp;IF(AND(MAX(N(E306),N(F306))&gt;=Settings!$C$9,MOD(MAX(N(E306),N(F306)),Settings!$C$10)=0),"Round amount | ","")="","",LEFT(IF(K306="No","Does not balance | ","")&amp;IF(I306="","Not approved | ",IF(UPPER(TRIM(H306))=UPPER(TRIM(I306)),"Self-approved | ",""))&amp;IF(J306="","No support | ","")&amp;IF(WEEKDAY(B306,2)&gt;5,"Weekend posting | ","")&amp;IF(COUNTIF(Settings!$A$14:$A$43,B306)&gt;0,"Holiday posting | ","")&amp;IF(B306&gt;Settings!$C$8,"Posted after close | ","")&amp;IF(OR(B306&lt;Settings!$C$6,B306&gt;Settings!$C$7),"Outside period | ","")&amp;IF(COUNTIF(Settings!$E$14:$E$43,C306&amp;"")&gt;0,"Sensitive account | ","")&amp;IF(AND(MAX(N(E306),N(F306))&gt;=Settings!$C$9,MOD(MAX(N(E306),N(F306)),Settings!$C$10)=0),"Round amount | ",""),LEN(IF(K306="No","Does not balance | ","")&amp;IF(I306="","Not approved | ",IF(UPPER(TRIM(H306))=UPPER(TRIM(I306)),"Self-approved | ",""))&amp;IF(J306="","No support | ","")&amp;IF(WEEKDAY(B306,2)&gt;5,"Weekend posting | ","")&amp;IF(COUNTIF(Settings!$A$14:$A$43,B306)&gt;0,"Holiday posting | ","")&amp;IF(B306&gt;Settings!$C$8,"Posted after close | ","")&amp;IF(OR(B306&lt;Settings!$C$6,B306&gt;Settings!$C$7),"Outside period | ","")&amp;IF(COUNTIF(Settings!$E$14:$E$43,C306&amp;"")&gt;0,"Sensitive account | ","")&amp;IF(AND(MAX(N(E306),N(F306))&gt;=Settings!$C$9,MOD(MAX(N(E306),N(F306)),Settings!$C$10)=0),"Round amount | ",""))-3)))</f>
        <v/>
      </c>
      <c r="M306" s="21" t="str">
        <f aca="false">IF(A306="","",IF(COUNTIF($A$9:A306,A306)=1,MAX($M$8:M305)+1,""))</f>
        <v/>
      </c>
    </row>
    <row r="307" customFormat="false" ht="15" hidden="false" customHeight="false" outlineLevel="0" collapsed="false">
      <c r="A307" s="8"/>
      <c r="B307" s="17"/>
      <c r="C307" s="19"/>
      <c r="D307" s="8"/>
      <c r="E307" s="18"/>
      <c r="F307" s="18"/>
      <c r="G307" s="8"/>
      <c r="H307" s="8"/>
      <c r="I307" s="8"/>
      <c r="J307" s="8"/>
      <c r="K307" s="10" t="str">
        <f aca="false">IF(A307="","",IF(ABS(SUMIFS($E$9:$E$2008,$A$9:$A$2008,A307)-SUMIFS($F$9:$F$2008,$A$9:$A$2008,A307))&lt;0.5,"Yes","No"))</f>
        <v/>
      </c>
      <c r="L307" s="10" t="str">
        <f aca="false">IF(A307="","",IF(IF(K307="No","Does not balance | ","")&amp;IF(I307="","Not approved | ",IF(UPPER(TRIM(H307))=UPPER(TRIM(I307)),"Self-approved | ",""))&amp;IF(J307="","No support | ","")&amp;IF(WEEKDAY(B307,2)&gt;5,"Weekend posting | ","")&amp;IF(COUNTIF(Settings!$A$14:$A$43,B307)&gt;0,"Holiday posting | ","")&amp;IF(B307&gt;Settings!$C$8,"Posted after close | ","")&amp;IF(OR(B307&lt;Settings!$C$6,B307&gt;Settings!$C$7),"Outside period | ","")&amp;IF(COUNTIF(Settings!$E$14:$E$43,C307&amp;"")&gt;0,"Sensitive account | ","")&amp;IF(AND(MAX(N(E307),N(F307))&gt;=Settings!$C$9,MOD(MAX(N(E307),N(F307)),Settings!$C$10)=0),"Round amount | ","")="","",LEFT(IF(K307="No","Does not balance | ","")&amp;IF(I307="","Not approved | ",IF(UPPER(TRIM(H307))=UPPER(TRIM(I307)),"Self-approved | ",""))&amp;IF(J307="","No support | ","")&amp;IF(WEEKDAY(B307,2)&gt;5,"Weekend posting | ","")&amp;IF(COUNTIF(Settings!$A$14:$A$43,B307)&gt;0,"Holiday posting | ","")&amp;IF(B307&gt;Settings!$C$8,"Posted after close | ","")&amp;IF(OR(B307&lt;Settings!$C$6,B307&gt;Settings!$C$7),"Outside period | ","")&amp;IF(COUNTIF(Settings!$E$14:$E$43,C307&amp;"")&gt;0,"Sensitive account | ","")&amp;IF(AND(MAX(N(E307),N(F307))&gt;=Settings!$C$9,MOD(MAX(N(E307),N(F307)),Settings!$C$10)=0),"Round amount | ",""),LEN(IF(K307="No","Does not balance | ","")&amp;IF(I307="","Not approved | ",IF(UPPER(TRIM(H307))=UPPER(TRIM(I307)),"Self-approved | ",""))&amp;IF(J307="","No support | ","")&amp;IF(WEEKDAY(B307,2)&gt;5,"Weekend posting | ","")&amp;IF(COUNTIF(Settings!$A$14:$A$43,B307)&gt;0,"Holiday posting | ","")&amp;IF(B307&gt;Settings!$C$8,"Posted after close | ","")&amp;IF(OR(B307&lt;Settings!$C$6,B307&gt;Settings!$C$7),"Outside period | ","")&amp;IF(COUNTIF(Settings!$E$14:$E$43,C307&amp;"")&gt;0,"Sensitive account | ","")&amp;IF(AND(MAX(N(E307),N(F307))&gt;=Settings!$C$9,MOD(MAX(N(E307),N(F307)),Settings!$C$10)=0),"Round amount | ",""))-3)))</f>
        <v/>
      </c>
      <c r="M307" s="21" t="str">
        <f aca="false">IF(A307="","",IF(COUNTIF($A$9:A307,A307)=1,MAX($M$8:M306)+1,""))</f>
        <v/>
      </c>
    </row>
    <row r="308" customFormat="false" ht="15" hidden="false" customHeight="false" outlineLevel="0" collapsed="false">
      <c r="A308" s="8"/>
      <c r="B308" s="17"/>
      <c r="C308" s="19"/>
      <c r="D308" s="8"/>
      <c r="E308" s="18"/>
      <c r="F308" s="18"/>
      <c r="G308" s="8"/>
      <c r="H308" s="8"/>
      <c r="I308" s="8"/>
      <c r="J308" s="8"/>
      <c r="K308" s="10" t="str">
        <f aca="false">IF(A308="","",IF(ABS(SUMIFS($E$9:$E$2008,$A$9:$A$2008,A308)-SUMIFS($F$9:$F$2008,$A$9:$A$2008,A308))&lt;0.5,"Yes","No"))</f>
        <v/>
      </c>
      <c r="L308" s="10" t="str">
        <f aca="false">IF(A308="","",IF(IF(K308="No","Does not balance | ","")&amp;IF(I308="","Not approved | ",IF(UPPER(TRIM(H308))=UPPER(TRIM(I308)),"Self-approved | ",""))&amp;IF(J308="","No support | ","")&amp;IF(WEEKDAY(B308,2)&gt;5,"Weekend posting | ","")&amp;IF(COUNTIF(Settings!$A$14:$A$43,B308)&gt;0,"Holiday posting | ","")&amp;IF(B308&gt;Settings!$C$8,"Posted after close | ","")&amp;IF(OR(B308&lt;Settings!$C$6,B308&gt;Settings!$C$7),"Outside period | ","")&amp;IF(COUNTIF(Settings!$E$14:$E$43,C308&amp;"")&gt;0,"Sensitive account | ","")&amp;IF(AND(MAX(N(E308),N(F308))&gt;=Settings!$C$9,MOD(MAX(N(E308),N(F308)),Settings!$C$10)=0),"Round amount | ","")="","",LEFT(IF(K308="No","Does not balance | ","")&amp;IF(I308="","Not approved | ",IF(UPPER(TRIM(H308))=UPPER(TRIM(I308)),"Self-approved | ",""))&amp;IF(J308="","No support | ","")&amp;IF(WEEKDAY(B308,2)&gt;5,"Weekend posting | ","")&amp;IF(COUNTIF(Settings!$A$14:$A$43,B308)&gt;0,"Holiday posting | ","")&amp;IF(B308&gt;Settings!$C$8,"Posted after close | ","")&amp;IF(OR(B308&lt;Settings!$C$6,B308&gt;Settings!$C$7),"Outside period | ","")&amp;IF(COUNTIF(Settings!$E$14:$E$43,C308&amp;"")&gt;0,"Sensitive account | ","")&amp;IF(AND(MAX(N(E308),N(F308))&gt;=Settings!$C$9,MOD(MAX(N(E308),N(F308)),Settings!$C$10)=0),"Round amount | ",""),LEN(IF(K308="No","Does not balance | ","")&amp;IF(I308="","Not approved | ",IF(UPPER(TRIM(H308))=UPPER(TRIM(I308)),"Self-approved | ",""))&amp;IF(J308="","No support | ","")&amp;IF(WEEKDAY(B308,2)&gt;5,"Weekend posting | ","")&amp;IF(COUNTIF(Settings!$A$14:$A$43,B308)&gt;0,"Holiday posting | ","")&amp;IF(B308&gt;Settings!$C$8,"Posted after close | ","")&amp;IF(OR(B308&lt;Settings!$C$6,B308&gt;Settings!$C$7),"Outside period | ","")&amp;IF(COUNTIF(Settings!$E$14:$E$43,C308&amp;"")&gt;0,"Sensitive account | ","")&amp;IF(AND(MAX(N(E308),N(F308))&gt;=Settings!$C$9,MOD(MAX(N(E308),N(F308)),Settings!$C$10)=0),"Round amount | ",""))-3)))</f>
        <v/>
      </c>
      <c r="M308" s="21" t="str">
        <f aca="false">IF(A308="","",IF(COUNTIF($A$9:A308,A308)=1,MAX($M$8:M307)+1,""))</f>
        <v/>
      </c>
    </row>
    <row r="309" customFormat="false" ht="15" hidden="false" customHeight="false" outlineLevel="0" collapsed="false">
      <c r="A309" s="8"/>
      <c r="B309" s="17"/>
      <c r="C309" s="19"/>
      <c r="D309" s="8"/>
      <c r="E309" s="18"/>
      <c r="F309" s="18"/>
      <c r="G309" s="8"/>
      <c r="H309" s="8"/>
      <c r="I309" s="8"/>
      <c r="J309" s="8"/>
      <c r="K309" s="10" t="str">
        <f aca="false">IF(A309="","",IF(ABS(SUMIFS($E$9:$E$2008,$A$9:$A$2008,A309)-SUMIFS($F$9:$F$2008,$A$9:$A$2008,A309))&lt;0.5,"Yes","No"))</f>
        <v/>
      </c>
      <c r="L309" s="10" t="str">
        <f aca="false">IF(A309="","",IF(IF(K309="No","Does not balance | ","")&amp;IF(I309="","Not approved | ",IF(UPPER(TRIM(H309))=UPPER(TRIM(I309)),"Self-approved | ",""))&amp;IF(J309="","No support | ","")&amp;IF(WEEKDAY(B309,2)&gt;5,"Weekend posting | ","")&amp;IF(COUNTIF(Settings!$A$14:$A$43,B309)&gt;0,"Holiday posting | ","")&amp;IF(B309&gt;Settings!$C$8,"Posted after close | ","")&amp;IF(OR(B309&lt;Settings!$C$6,B309&gt;Settings!$C$7),"Outside period | ","")&amp;IF(COUNTIF(Settings!$E$14:$E$43,C309&amp;"")&gt;0,"Sensitive account | ","")&amp;IF(AND(MAX(N(E309),N(F309))&gt;=Settings!$C$9,MOD(MAX(N(E309),N(F309)),Settings!$C$10)=0),"Round amount | ","")="","",LEFT(IF(K309="No","Does not balance | ","")&amp;IF(I309="","Not approved | ",IF(UPPER(TRIM(H309))=UPPER(TRIM(I309)),"Self-approved | ",""))&amp;IF(J309="","No support | ","")&amp;IF(WEEKDAY(B309,2)&gt;5,"Weekend posting | ","")&amp;IF(COUNTIF(Settings!$A$14:$A$43,B309)&gt;0,"Holiday posting | ","")&amp;IF(B309&gt;Settings!$C$8,"Posted after close | ","")&amp;IF(OR(B309&lt;Settings!$C$6,B309&gt;Settings!$C$7),"Outside period | ","")&amp;IF(COUNTIF(Settings!$E$14:$E$43,C309&amp;"")&gt;0,"Sensitive account | ","")&amp;IF(AND(MAX(N(E309),N(F309))&gt;=Settings!$C$9,MOD(MAX(N(E309),N(F309)),Settings!$C$10)=0),"Round amount | ",""),LEN(IF(K309="No","Does not balance | ","")&amp;IF(I309="","Not approved | ",IF(UPPER(TRIM(H309))=UPPER(TRIM(I309)),"Self-approved | ",""))&amp;IF(J309="","No support | ","")&amp;IF(WEEKDAY(B309,2)&gt;5,"Weekend posting | ","")&amp;IF(COUNTIF(Settings!$A$14:$A$43,B309)&gt;0,"Holiday posting | ","")&amp;IF(B309&gt;Settings!$C$8,"Posted after close | ","")&amp;IF(OR(B309&lt;Settings!$C$6,B309&gt;Settings!$C$7),"Outside period | ","")&amp;IF(COUNTIF(Settings!$E$14:$E$43,C309&amp;"")&gt;0,"Sensitive account | ","")&amp;IF(AND(MAX(N(E309),N(F309))&gt;=Settings!$C$9,MOD(MAX(N(E309),N(F309)),Settings!$C$10)=0),"Round amount | ",""))-3)))</f>
        <v/>
      </c>
      <c r="M309" s="21" t="str">
        <f aca="false">IF(A309="","",IF(COUNTIF($A$9:A309,A309)=1,MAX($M$8:M308)+1,""))</f>
        <v/>
      </c>
    </row>
    <row r="310" customFormat="false" ht="15" hidden="false" customHeight="false" outlineLevel="0" collapsed="false">
      <c r="A310" s="8"/>
      <c r="B310" s="17"/>
      <c r="C310" s="19"/>
      <c r="D310" s="8"/>
      <c r="E310" s="18"/>
      <c r="F310" s="18"/>
      <c r="G310" s="8"/>
      <c r="H310" s="8"/>
      <c r="I310" s="8"/>
      <c r="J310" s="8"/>
      <c r="K310" s="10" t="str">
        <f aca="false">IF(A310="","",IF(ABS(SUMIFS($E$9:$E$2008,$A$9:$A$2008,A310)-SUMIFS($F$9:$F$2008,$A$9:$A$2008,A310))&lt;0.5,"Yes","No"))</f>
        <v/>
      </c>
      <c r="L310" s="10" t="str">
        <f aca="false">IF(A310="","",IF(IF(K310="No","Does not balance | ","")&amp;IF(I310="","Not approved | ",IF(UPPER(TRIM(H310))=UPPER(TRIM(I310)),"Self-approved | ",""))&amp;IF(J310="","No support | ","")&amp;IF(WEEKDAY(B310,2)&gt;5,"Weekend posting | ","")&amp;IF(COUNTIF(Settings!$A$14:$A$43,B310)&gt;0,"Holiday posting | ","")&amp;IF(B310&gt;Settings!$C$8,"Posted after close | ","")&amp;IF(OR(B310&lt;Settings!$C$6,B310&gt;Settings!$C$7),"Outside period | ","")&amp;IF(COUNTIF(Settings!$E$14:$E$43,C310&amp;"")&gt;0,"Sensitive account | ","")&amp;IF(AND(MAX(N(E310),N(F310))&gt;=Settings!$C$9,MOD(MAX(N(E310),N(F310)),Settings!$C$10)=0),"Round amount | ","")="","",LEFT(IF(K310="No","Does not balance | ","")&amp;IF(I310="","Not approved | ",IF(UPPER(TRIM(H310))=UPPER(TRIM(I310)),"Self-approved | ",""))&amp;IF(J310="","No support | ","")&amp;IF(WEEKDAY(B310,2)&gt;5,"Weekend posting | ","")&amp;IF(COUNTIF(Settings!$A$14:$A$43,B310)&gt;0,"Holiday posting | ","")&amp;IF(B310&gt;Settings!$C$8,"Posted after close | ","")&amp;IF(OR(B310&lt;Settings!$C$6,B310&gt;Settings!$C$7),"Outside period | ","")&amp;IF(COUNTIF(Settings!$E$14:$E$43,C310&amp;"")&gt;0,"Sensitive account | ","")&amp;IF(AND(MAX(N(E310),N(F310))&gt;=Settings!$C$9,MOD(MAX(N(E310),N(F310)),Settings!$C$10)=0),"Round amount | ",""),LEN(IF(K310="No","Does not balance | ","")&amp;IF(I310="","Not approved | ",IF(UPPER(TRIM(H310))=UPPER(TRIM(I310)),"Self-approved | ",""))&amp;IF(J310="","No support | ","")&amp;IF(WEEKDAY(B310,2)&gt;5,"Weekend posting | ","")&amp;IF(COUNTIF(Settings!$A$14:$A$43,B310)&gt;0,"Holiday posting | ","")&amp;IF(B310&gt;Settings!$C$8,"Posted after close | ","")&amp;IF(OR(B310&lt;Settings!$C$6,B310&gt;Settings!$C$7),"Outside period | ","")&amp;IF(COUNTIF(Settings!$E$14:$E$43,C310&amp;"")&gt;0,"Sensitive account | ","")&amp;IF(AND(MAX(N(E310),N(F310))&gt;=Settings!$C$9,MOD(MAX(N(E310),N(F310)),Settings!$C$10)=0),"Round amount | ",""))-3)))</f>
        <v/>
      </c>
      <c r="M310" s="21" t="str">
        <f aca="false">IF(A310="","",IF(COUNTIF($A$9:A310,A310)=1,MAX($M$8:M309)+1,""))</f>
        <v/>
      </c>
    </row>
    <row r="311" customFormat="false" ht="15" hidden="false" customHeight="false" outlineLevel="0" collapsed="false">
      <c r="A311" s="8"/>
      <c r="B311" s="17"/>
      <c r="C311" s="19"/>
      <c r="D311" s="8"/>
      <c r="E311" s="18"/>
      <c r="F311" s="18"/>
      <c r="G311" s="8"/>
      <c r="H311" s="8"/>
      <c r="I311" s="8"/>
      <c r="J311" s="8"/>
      <c r="K311" s="10" t="str">
        <f aca="false">IF(A311="","",IF(ABS(SUMIFS($E$9:$E$2008,$A$9:$A$2008,A311)-SUMIFS($F$9:$F$2008,$A$9:$A$2008,A311))&lt;0.5,"Yes","No"))</f>
        <v/>
      </c>
      <c r="L311" s="10" t="str">
        <f aca="false">IF(A311="","",IF(IF(K311="No","Does not balance | ","")&amp;IF(I311="","Not approved | ",IF(UPPER(TRIM(H311))=UPPER(TRIM(I311)),"Self-approved | ",""))&amp;IF(J311="","No support | ","")&amp;IF(WEEKDAY(B311,2)&gt;5,"Weekend posting | ","")&amp;IF(COUNTIF(Settings!$A$14:$A$43,B311)&gt;0,"Holiday posting | ","")&amp;IF(B311&gt;Settings!$C$8,"Posted after close | ","")&amp;IF(OR(B311&lt;Settings!$C$6,B311&gt;Settings!$C$7),"Outside period | ","")&amp;IF(COUNTIF(Settings!$E$14:$E$43,C311&amp;"")&gt;0,"Sensitive account | ","")&amp;IF(AND(MAX(N(E311),N(F311))&gt;=Settings!$C$9,MOD(MAX(N(E311),N(F311)),Settings!$C$10)=0),"Round amount | ","")="","",LEFT(IF(K311="No","Does not balance | ","")&amp;IF(I311="","Not approved | ",IF(UPPER(TRIM(H311))=UPPER(TRIM(I311)),"Self-approved | ",""))&amp;IF(J311="","No support | ","")&amp;IF(WEEKDAY(B311,2)&gt;5,"Weekend posting | ","")&amp;IF(COUNTIF(Settings!$A$14:$A$43,B311)&gt;0,"Holiday posting | ","")&amp;IF(B311&gt;Settings!$C$8,"Posted after close | ","")&amp;IF(OR(B311&lt;Settings!$C$6,B311&gt;Settings!$C$7),"Outside period | ","")&amp;IF(COUNTIF(Settings!$E$14:$E$43,C311&amp;"")&gt;0,"Sensitive account | ","")&amp;IF(AND(MAX(N(E311),N(F311))&gt;=Settings!$C$9,MOD(MAX(N(E311),N(F311)),Settings!$C$10)=0),"Round amount | ",""),LEN(IF(K311="No","Does not balance | ","")&amp;IF(I311="","Not approved | ",IF(UPPER(TRIM(H311))=UPPER(TRIM(I311)),"Self-approved | ",""))&amp;IF(J311="","No support | ","")&amp;IF(WEEKDAY(B311,2)&gt;5,"Weekend posting | ","")&amp;IF(COUNTIF(Settings!$A$14:$A$43,B311)&gt;0,"Holiday posting | ","")&amp;IF(B311&gt;Settings!$C$8,"Posted after close | ","")&amp;IF(OR(B311&lt;Settings!$C$6,B311&gt;Settings!$C$7),"Outside period | ","")&amp;IF(COUNTIF(Settings!$E$14:$E$43,C311&amp;"")&gt;0,"Sensitive account | ","")&amp;IF(AND(MAX(N(E311),N(F311))&gt;=Settings!$C$9,MOD(MAX(N(E311),N(F311)),Settings!$C$10)=0),"Round amount | ",""))-3)))</f>
        <v/>
      </c>
      <c r="M311" s="21" t="str">
        <f aca="false">IF(A311="","",IF(COUNTIF($A$9:A311,A311)=1,MAX($M$8:M310)+1,""))</f>
        <v/>
      </c>
    </row>
    <row r="312" customFormat="false" ht="15" hidden="false" customHeight="false" outlineLevel="0" collapsed="false">
      <c r="A312" s="8"/>
      <c r="B312" s="17"/>
      <c r="C312" s="19"/>
      <c r="D312" s="8"/>
      <c r="E312" s="18"/>
      <c r="F312" s="18"/>
      <c r="G312" s="8"/>
      <c r="H312" s="8"/>
      <c r="I312" s="8"/>
      <c r="J312" s="8"/>
      <c r="K312" s="10" t="str">
        <f aca="false">IF(A312="","",IF(ABS(SUMIFS($E$9:$E$2008,$A$9:$A$2008,A312)-SUMIFS($F$9:$F$2008,$A$9:$A$2008,A312))&lt;0.5,"Yes","No"))</f>
        <v/>
      </c>
      <c r="L312" s="10" t="str">
        <f aca="false">IF(A312="","",IF(IF(K312="No","Does not balance | ","")&amp;IF(I312="","Not approved | ",IF(UPPER(TRIM(H312))=UPPER(TRIM(I312)),"Self-approved | ",""))&amp;IF(J312="","No support | ","")&amp;IF(WEEKDAY(B312,2)&gt;5,"Weekend posting | ","")&amp;IF(COUNTIF(Settings!$A$14:$A$43,B312)&gt;0,"Holiday posting | ","")&amp;IF(B312&gt;Settings!$C$8,"Posted after close | ","")&amp;IF(OR(B312&lt;Settings!$C$6,B312&gt;Settings!$C$7),"Outside period | ","")&amp;IF(COUNTIF(Settings!$E$14:$E$43,C312&amp;"")&gt;0,"Sensitive account | ","")&amp;IF(AND(MAX(N(E312),N(F312))&gt;=Settings!$C$9,MOD(MAX(N(E312),N(F312)),Settings!$C$10)=0),"Round amount | ","")="","",LEFT(IF(K312="No","Does not balance | ","")&amp;IF(I312="","Not approved | ",IF(UPPER(TRIM(H312))=UPPER(TRIM(I312)),"Self-approved | ",""))&amp;IF(J312="","No support | ","")&amp;IF(WEEKDAY(B312,2)&gt;5,"Weekend posting | ","")&amp;IF(COUNTIF(Settings!$A$14:$A$43,B312)&gt;0,"Holiday posting | ","")&amp;IF(B312&gt;Settings!$C$8,"Posted after close | ","")&amp;IF(OR(B312&lt;Settings!$C$6,B312&gt;Settings!$C$7),"Outside period | ","")&amp;IF(COUNTIF(Settings!$E$14:$E$43,C312&amp;"")&gt;0,"Sensitive account | ","")&amp;IF(AND(MAX(N(E312),N(F312))&gt;=Settings!$C$9,MOD(MAX(N(E312),N(F312)),Settings!$C$10)=0),"Round amount | ",""),LEN(IF(K312="No","Does not balance | ","")&amp;IF(I312="","Not approved | ",IF(UPPER(TRIM(H312))=UPPER(TRIM(I312)),"Self-approved | ",""))&amp;IF(J312="","No support | ","")&amp;IF(WEEKDAY(B312,2)&gt;5,"Weekend posting | ","")&amp;IF(COUNTIF(Settings!$A$14:$A$43,B312)&gt;0,"Holiday posting | ","")&amp;IF(B312&gt;Settings!$C$8,"Posted after close | ","")&amp;IF(OR(B312&lt;Settings!$C$6,B312&gt;Settings!$C$7),"Outside period | ","")&amp;IF(COUNTIF(Settings!$E$14:$E$43,C312&amp;"")&gt;0,"Sensitive account | ","")&amp;IF(AND(MAX(N(E312),N(F312))&gt;=Settings!$C$9,MOD(MAX(N(E312),N(F312)),Settings!$C$10)=0),"Round amount | ",""))-3)))</f>
        <v/>
      </c>
      <c r="M312" s="21" t="str">
        <f aca="false">IF(A312="","",IF(COUNTIF($A$9:A312,A312)=1,MAX($M$8:M311)+1,""))</f>
        <v/>
      </c>
    </row>
    <row r="313" customFormat="false" ht="15" hidden="false" customHeight="false" outlineLevel="0" collapsed="false">
      <c r="A313" s="8"/>
      <c r="B313" s="17"/>
      <c r="C313" s="19"/>
      <c r="D313" s="8"/>
      <c r="E313" s="18"/>
      <c r="F313" s="18"/>
      <c r="G313" s="8"/>
      <c r="H313" s="8"/>
      <c r="I313" s="8"/>
      <c r="J313" s="8"/>
      <c r="K313" s="10" t="str">
        <f aca="false">IF(A313="","",IF(ABS(SUMIFS($E$9:$E$2008,$A$9:$A$2008,A313)-SUMIFS($F$9:$F$2008,$A$9:$A$2008,A313))&lt;0.5,"Yes","No"))</f>
        <v/>
      </c>
      <c r="L313" s="10" t="str">
        <f aca="false">IF(A313="","",IF(IF(K313="No","Does not balance | ","")&amp;IF(I313="","Not approved | ",IF(UPPER(TRIM(H313))=UPPER(TRIM(I313)),"Self-approved | ",""))&amp;IF(J313="","No support | ","")&amp;IF(WEEKDAY(B313,2)&gt;5,"Weekend posting | ","")&amp;IF(COUNTIF(Settings!$A$14:$A$43,B313)&gt;0,"Holiday posting | ","")&amp;IF(B313&gt;Settings!$C$8,"Posted after close | ","")&amp;IF(OR(B313&lt;Settings!$C$6,B313&gt;Settings!$C$7),"Outside period | ","")&amp;IF(COUNTIF(Settings!$E$14:$E$43,C313&amp;"")&gt;0,"Sensitive account | ","")&amp;IF(AND(MAX(N(E313),N(F313))&gt;=Settings!$C$9,MOD(MAX(N(E313),N(F313)),Settings!$C$10)=0),"Round amount | ","")="","",LEFT(IF(K313="No","Does not balance | ","")&amp;IF(I313="","Not approved | ",IF(UPPER(TRIM(H313))=UPPER(TRIM(I313)),"Self-approved | ",""))&amp;IF(J313="","No support | ","")&amp;IF(WEEKDAY(B313,2)&gt;5,"Weekend posting | ","")&amp;IF(COUNTIF(Settings!$A$14:$A$43,B313)&gt;0,"Holiday posting | ","")&amp;IF(B313&gt;Settings!$C$8,"Posted after close | ","")&amp;IF(OR(B313&lt;Settings!$C$6,B313&gt;Settings!$C$7),"Outside period | ","")&amp;IF(COUNTIF(Settings!$E$14:$E$43,C313&amp;"")&gt;0,"Sensitive account | ","")&amp;IF(AND(MAX(N(E313),N(F313))&gt;=Settings!$C$9,MOD(MAX(N(E313),N(F313)),Settings!$C$10)=0),"Round amount | ",""),LEN(IF(K313="No","Does not balance | ","")&amp;IF(I313="","Not approved | ",IF(UPPER(TRIM(H313))=UPPER(TRIM(I313)),"Self-approved | ",""))&amp;IF(J313="","No support | ","")&amp;IF(WEEKDAY(B313,2)&gt;5,"Weekend posting | ","")&amp;IF(COUNTIF(Settings!$A$14:$A$43,B313)&gt;0,"Holiday posting | ","")&amp;IF(B313&gt;Settings!$C$8,"Posted after close | ","")&amp;IF(OR(B313&lt;Settings!$C$6,B313&gt;Settings!$C$7),"Outside period | ","")&amp;IF(COUNTIF(Settings!$E$14:$E$43,C313&amp;"")&gt;0,"Sensitive account | ","")&amp;IF(AND(MAX(N(E313),N(F313))&gt;=Settings!$C$9,MOD(MAX(N(E313),N(F313)),Settings!$C$10)=0),"Round amount | ",""))-3)))</f>
        <v/>
      </c>
      <c r="M313" s="21" t="str">
        <f aca="false">IF(A313="","",IF(COUNTIF($A$9:A313,A313)=1,MAX($M$8:M312)+1,""))</f>
        <v/>
      </c>
    </row>
    <row r="314" customFormat="false" ht="15" hidden="false" customHeight="false" outlineLevel="0" collapsed="false">
      <c r="A314" s="8"/>
      <c r="B314" s="17"/>
      <c r="C314" s="19"/>
      <c r="D314" s="8"/>
      <c r="E314" s="18"/>
      <c r="F314" s="18"/>
      <c r="G314" s="8"/>
      <c r="H314" s="8"/>
      <c r="I314" s="8"/>
      <c r="J314" s="8"/>
      <c r="K314" s="10" t="str">
        <f aca="false">IF(A314="","",IF(ABS(SUMIFS($E$9:$E$2008,$A$9:$A$2008,A314)-SUMIFS($F$9:$F$2008,$A$9:$A$2008,A314))&lt;0.5,"Yes","No"))</f>
        <v/>
      </c>
      <c r="L314" s="10" t="str">
        <f aca="false">IF(A314="","",IF(IF(K314="No","Does not balance | ","")&amp;IF(I314="","Not approved | ",IF(UPPER(TRIM(H314))=UPPER(TRIM(I314)),"Self-approved | ",""))&amp;IF(J314="","No support | ","")&amp;IF(WEEKDAY(B314,2)&gt;5,"Weekend posting | ","")&amp;IF(COUNTIF(Settings!$A$14:$A$43,B314)&gt;0,"Holiday posting | ","")&amp;IF(B314&gt;Settings!$C$8,"Posted after close | ","")&amp;IF(OR(B314&lt;Settings!$C$6,B314&gt;Settings!$C$7),"Outside period | ","")&amp;IF(COUNTIF(Settings!$E$14:$E$43,C314&amp;"")&gt;0,"Sensitive account | ","")&amp;IF(AND(MAX(N(E314),N(F314))&gt;=Settings!$C$9,MOD(MAX(N(E314),N(F314)),Settings!$C$10)=0),"Round amount | ","")="","",LEFT(IF(K314="No","Does not balance | ","")&amp;IF(I314="","Not approved | ",IF(UPPER(TRIM(H314))=UPPER(TRIM(I314)),"Self-approved | ",""))&amp;IF(J314="","No support | ","")&amp;IF(WEEKDAY(B314,2)&gt;5,"Weekend posting | ","")&amp;IF(COUNTIF(Settings!$A$14:$A$43,B314)&gt;0,"Holiday posting | ","")&amp;IF(B314&gt;Settings!$C$8,"Posted after close | ","")&amp;IF(OR(B314&lt;Settings!$C$6,B314&gt;Settings!$C$7),"Outside period | ","")&amp;IF(COUNTIF(Settings!$E$14:$E$43,C314&amp;"")&gt;0,"Sensitive account | ","")&amp;IF(AND(MAX(N(E314),N(F314))&gt;=Settings!$C$9,MOD(MAX(N(E314),N(F314)),Settings!$C$10)=0),"Round amount | ",""),LEN(IF(K314="No","Does not balance | ","")&amp;IF(I314="","Not approved | ",IF(UPPER(TRIM(H314))=UPPER(TRIM(I314)),"Self-approved | ",""))&amp;IF(J314="","No support | ","")&amp;IF(WEEKDAY(B314,2)&gt;5,"Weekend posting | ","")&amp;IF(COUNTIF(Settings!$A$14:$A$43,B314)&gt;0,"Holiday posting | ","")&amp;IF(B314&gt;Settings!$C$8,"Posted after close | ","")&amp;IF(OR(B314&lt;Settings!$C$6,B314&gt;Settings!$C$7),"Outside period | ","")&amp;IF(COUNTIF(Settings!$E$14:$E$43,C314&amp;"")&gt;0,"Sensitive account | ","")&amp;IF(AND(MAX(N(E314),N(F314))&gt;=Settings!$C$9,MOD(MAX(N(E314),N(F314)),Settings!$C$10)=0),"Round amount | ",""))-3)))</f>
        <v/>
      </c>
      <c r="M314" s="21" t="str">
        <f aca="false">IF(A314="","",IF(COUNTIF($A$9:A314,A314)=1,MAX($M$8:M313)+1,""))</f>
        <v/>
      </c>
    </row>
    <row r="315" customFormat="false" ht="15" hidden="false" customHeight="false" outlineLevel="0" collapsed="false">
      <c r="A315" s="8"/>
      <c r="B315" s="17"/>
      <c r="C315" s="19"/>
      <c r="D315" s="8"/>
      <c r="E315" s="18"/>
      <c r="F315" s="18"/>
      <c r="G315" s="8"/>
      <c r="H315" s="8"/>
      <c r="I315" s="8"/>
      <c r="J315" s="8"/>
      <c r="K315" s="10" t="str">
        <f aca="false">IF(A315="","",IF(ABS(SUMIFS($E$9:$E$2008,$A$9:$A$2008,A315)-SUMIFS($F$9:$F$2008,$A$9:$A$2008,A315))&lt;0.5,"Yes","No"))</f>
        <v/>
      </c>
      <c r="L315" s="10" t="str">
        <f aca="false">IF(A315="","",IF(IF(K315="No","Does not balance | ","")&amp;IF(I315="","Not approved | ",IF(UPPER(TRIM(H315))=UPPER(TRIM(I315)),"Self-approved | ",""))&amp;IF(J315="","No support | ","")&amp;IF(WEEKDAY(B315,2)&gt;5,"Weekend posting | ","")&amp;IF(COUNTIF(Settings!$A$14:$A$43,B315)&gt;0,"Holiday posting | ","")&amp;IF(B315&gt;Settings!$C$8,"Posted after close | ","")&amp;IF(OR(B315&lt;Settings!$C$6,B315&gt;Settings!$C$7),"Outside period | ","")&amp;IF(COUNTIF(Settings!$E$14:$E$43,C315&amp;"")&gt;0,"Sensitive account | ","")&amp;IF(AND(MAX(N(E315),N(F315))&gt;=Settings!$C$9,MOD(MAX(N(E315),N(F315)),Settings!$C$10)=0),"Round amount | ","")="","",LEFT(IF(K315="No","Does not balance | ","")&amp;IF(I315="","Not approved | ",IF(UPPER(TRIM(H315))=UPPER(TRIM(I315)),"Self-approved | ",""))&amp;IF(J315="","No support | ","")&amp;IF(WEEKDAY(B315,2)&gt;5,"Weekend posting | ","")&amp;IF(COUNTIF(Settings!$A$14:$A$43,B315)&gt;0,"Holiday posting | ","")&amp;IF(B315&gt;Settings!$C$8,"Posted after close | ","")&amp;IF(OR(B315&lt;Settings!$C$6,B315&gt;Settings!$C$7),"Outside period | ","")&amp;IF(COUNTIF(Settings!$E$14:$E$43,C315&amp;"")&gt;0,"Sensitive account | ","")&amp;IF(AND(MAX(N(E315),N(F315))&gt;=Settings!$C$9,MOD(MAX(N(E315),N(F315)),Settings!$C$10)=0),"Round amount | ",""),LEN(IF(K315="No","Does not balance | ","")&amp;IF(I315="","Not approved | ",IF(UPPER(TRIM(H315))=UPPER(TRIM(I315)),"Self-approved | ",""))&amp;IF(J315="","No support | ","")&amp;IF(WEEKDAY(B315,2)&gt;5,"Weekend posting | ","")&amp;IF(COUNTIF(Settings!$A$14:$A$43,B315)&gt;0,"Holiday posting | ","")&amp;IF(B315&gt;Settings!$C$8,"Posted after close | ","")&amp;IF(OR(B315&lt;Settings!$C$6,B315&gt;Settings!$C$7),"Outside period | ","")&amp;IF(COUNTIF(Settings!$E$14:$E$43,C315&amp;"")&gt;0,"Sensitive account | ","")&amp;IF(AND(MAX(N(E315),N(F315))&gt;=Settings!$C$9,MOD(MAX(N(E315),N(F315)),Settings!$C$10)=0),"Round amount | ",""))-3)))</f>
        <v/>
      </c>
      <c r="M315" s="21" t="str">
        <f aca="false">IF(A315="","",IF(COUNTIF($A$9:A315,A315)=1,MAX($M$8:M314)+1,""))</f>
        <v/>
      </c>
    </row>
    <row r="316" customFormat="false" ht="15" hidden="false" customHeight="false" outlineLevel="0" collapsed="false">
      <c r="A316" s="8"/>
      <c r="B316" s="17"/>
      <c r="C316" s="19"/>
      <c r="D316" s="8"/>
      <c r="E316" s="18"/>
      <c r="F316" s="18"/>
      <c r="G316" s="8"/>
      <c r="H316" s="8"/>
      <c r="I316" s="8"/>
      <c r="J316" s="8"/>
      <c r="K316" s="10" t="str">
        <f aca="false">IF(A316="","",IF(ABS(SUMIFS($E$9:$E$2008,$A$9:$A$2008,A316)-SUMIFS($F$9:$F$2008,$A$9:$A$2008,A316))&lt;0.5,"Yes","No"))</f>
        <v/>
      </c>
      <c r="L316" s="10" t="str">
        <f aca="false">IF(A316="","",IF(IF(K316="No","Does not balance | ","")&amp;IF(I316="","Not approved | ",IF(UPPER(TRIM(H316))=UPPER(TRIM(I316)),"Self-approved | ",""))&amp;IF(J316="","No support | ","")&amp;IF(WEEKDAY(B316,2)&gt;5,"Weekend posting | ","")&amp;IF(COUNTIF(Settings!$A$14:$A$43,B316)&gt;0,"Holiday posting | ","")&amp;IF(B316&gt;Settings!$C$8,"Posted after close | ","")&amp;IF(OR(B316&lt;Settings!$C$6,B316&gt;Settings!$C$7),"Outside period | ","")&amp;IF(COUNTIF(Settings!$E$14:$E$43,C316&amp;"")&gt;0,"Sensitive account | ","")&amp;IF(AND(MAX(N(E316),N(F316))&gt;=Settings!$C$9,MOD(MAX(N(E316),N(F316)),Settings!$C$10)=0),"Round amount | ","")="","",LEFT(IF(K316="No","Does not balance | ","")&amp;IF(I316="","Not approved | ",IF(UPPER(TRIM(H316))=UPPER(TRIM(I316)),"Self-approved | ",""))&amp;IF(J316="","No support | ","")&amp;IF(WEEKDAY(B316,2)&gt;5,"Weekend posting | ","")&amp;IF(COUNTIF(Settings!$A$14:$A$43,B316)&gt;0,"Holiday posting | ","")&amp;IF(B316&gt;Settings!$C$8,"Posted after close | ","")&amp;IF(OR(B316&lt;Settings!$C$6,B316&gt;Settings!$C$7),"Outside period | ","")&amp;IF(COUNTIF(Settings!$E$14:$E$43,C316&amp;"")&gt;0,"Sensitive account | ","")&amp;IF(AND(MAX(N(E316),N(F316))&gt;=Settings!$C$9,MOD(MAX(N(E316),N(F316)),Settings!$C$10)=0),"Round amount | ",""),LEN(IF(K316="No","Does not balance | ","")&amp;IF(I316="","Not approved | ",IF(UPPER(TRIM(H316))=UPPER(TRIM(I316)),"Self-approved | ",""))&amp;IF(J316="","No support | ","")&amp;IF(WEEKDAY(B316,2)&gt;5,"Weekend posting | ","")&amp;IF(COUNTIF(Settings!$A$14:$A$43,B316)&gt;0,"Holiday posting | ","")&amp;IF(B316&gt;Settings!$C$8,"Posted after close | ","")&amp;IF(OR(B316&lt;Settings!$C$6,B316&gt;Settings!$C$7),"Outside period | ","")&amp;IF(COUNTIF(Settings!$E$14:$E$43,C316&amp;"")&gt;0,"Sensitive account | ","")&amp;IF(AND(MAX(N(E316),N(F316))&gt;=Settings!$C$9,MOD(MAX(N(E316),N(F316)),Settings!$C$10)=0),"Round amount | ",""))-3)))</f>
        <v/>
      </c>
      <c r="M316" s="21" t="str">
        <f aca="false">IF(A316="","",IF(COUNTIF($A$9:A316,A316)=1,MAX($M$8:M315)+1,""))</f>
        <v/>
      </c>
    </row>
    <row r="317" customFormat="false" ht="15" hidden="false" customHeight="false" outlineLevel="0" collapsed="false">
      <c r="A317" s="8"/>
      <c r="B317" s="17"/>
      <c r="C317" s="19"/>
      <c r="D317" s="8"/>
      <c r="E317" s="18"/>
      <c r="F317" s="18"/>
      <c r="G317" s="8"/>
      <c r="H317" s="8"/>
      <c r="I317" s="8"/>
      <c r="J317" s="8"/>
      <c r="K317" s="10" t="str">
        <f aca="false">IF(A317="","",IF(ABS(SUMIFS($E$9:$E$2008,$A$9:$A$2008,A317)-SUMIFS($F$9:$F$2008,$A$9:$A$2008,A317))&lt;0.5,"Yes","No"))</f>
        <v/>
      </c>
      <c r="L317" s="10" t="str">
        <f aca="false">IF(A317="","",IF(IF(K317="No","Does not balance | ","")&amp;IF(I317="","Not approved | ",IF(UPPER(TRIM(H317))=UPPER(TRIM(I317)),"Self-approved | ",""))&amp;IF(J317="","No support | ","")&amp;IF(WEEKDAY(B317,2)&gt;5,"Weekend posting | ","")&amp;IF(COUNTIF(Settings!$A$14:$A$43,B317)&gt;0,"Holiday posting | ","")&amp;IF(B317&gt;Settings!$C$8,"Posted after close | ","")&amp;IF(OR(B317&lt;Settings!$C$6,B317&gt;Settings!$C$7),"Outside period | ","")&amp;IF(COUNTIF(Settings!$E$14:$E$43,C317&amp;"")&gt;0,"Sensitive account | ","")&amp;IF(AND(MAX(N(E317),N(F317))&gt;=Settings!$C$9,MOD(MAX(N(E317),N(F317)),Settings!$C$10)=0),"Round amount | ","")="","",LEFT(IF(K317="No","Does not balance | ","")&amp;IF(I317="","Not approved | ",IF(UPPER(TRIM(H317))=UPPER(TRIM(I317)),"Self-approved | ",""))&amp;IF(J317="","No support | ","")&amp;IF(WEEKDAY(B317,2)&gt;5,"Weekend posting | ","")&amp;IF(COUNTIF(Settings!$A$14:$A$43,B317)&gt;0,"Holiday posting | ","")&amp;IF(B317&gt;Settings!$C$8,"Posted after close | ","")&amp;IF(OR(B317&lt;Settings!$C$6,B317&gt;Settings!$C$7),"Outside period | ","")&amp;IF(COUNTIF(Settings!$E$14:$E$43,C317&amp;"")&gt;0,"Sensitive account | ","")&amp;IF(AND(MAX(N(E317),N(F317))&gt;=Settings!$C$9,MOD(MAX(N(E317),N(F317)),Settings!$C$10)=0),"Round amount | ",""),LEN(IF(K317="No","Does not balance | ","")&amp;IF(I317="","Not approved | ",IF(UPPER(TRIM(H317))=UPPER(TRIM(I317)),"Self-approved | ",""))&amp;IF(J317="","No support | ","")&amp;IF(WEEKDAY(B317,2)&gt;5,"Weekend posting | ","")&amp;IF(COUNTIF(Settings!$A$14:$A$43,B317)&gt;0,"Holiday posting | ","")&amp;IF(B317&gt;Settings!$C$8,"Posted after close | ","")&amp;IF(OR(B317&lt;Settings!$C$6,B317&gt;Settings!$C$7),"Outside period | ","")&amp;IF(COUNTIF(Settings!$E$14:$E$43,C317&amp;"")&gt;0,"Sensitive account | ","")&amp;IF(AND(MAX(N(E317),N(F317))&gt;=Settings!$C$9,MOD(MAX(N(E317),N(F317)),Settings!$C$10)=0),"Round amount | ",""))-3)))</f>
        <v/>
      </c>
      <c r="M317" s="21" t="str">
        <f aca="false">IF(A317="","",IF(COUNTIF($A$9:A317,A317)=1,MAX($M$8:M316)+1,""))</f>
        <v/>
      </c>
    </row>
    <row r="318" customFormat="false" ht="15" hidden="false" customHeight="false" outlineLevel="0" collapsed="false">
      <c r="A318" s="8"/>
      <c r="B318" s="17"/>
      <c r="C318" s="19"/>
      <c r="D318" s="8"/>
      <c r="E318" s="18"/>
      <c r="F318" s="18"/>
      <c r="G318" s="8"/>
      <c r="H318" s="8"/>
      <c r="I318" s="8"/>
      <c r="J318" s="8"/>
      <c r="K318" s="10" t="str">
        <f aca="false">IF(A318="","",IF(ABS(SUMIFS($E$9:$E$2008,$A$9:$A$2008,A318)-SUMIFS($F$9:$F$2008,$A$9:$A$2008,A318))&lt;0.5,"Yes","No"))</f>
        <v/>
      </c>
      <c r="L318" s="10" t="str">
        <f aca="false">IF(A318="","",IF(IF(K318="No","Does not balance | ","")&amp;IF(I318="","Not approved | ",IF(UPPER(TRIM(H318))=UPPER(TRIM(I318)),"Self-approved | ",""))&amp;IF(J318="","No support | ","")&amp;IF(WEEKDAY(B318,2)&gt;5,"Weekend posting | ","")&amp;IF(COUNTIF(Settings!$A$14:$A$43,B318)&gt;0,"Holiday posting | ","")&amp;IF(B318&gt;Settings!$C$8,"Posted after close | ","")&amp;IF(OR(B318&lt;Settings!$C$6,B318&gt;Settings!$C$7),"Outside period | ","")&amp;IF(COUNTIF(Settings!$E$14:$E$43,C318&amp;"")&gt;0,"Sensitive account | ","")&amp;IF(AND(MAX(N(E318),N(F318))&gt;=Settings!$C$9,MOD(MAX(N(E318),N(F318)),Settings!$C$10)=0),"Round amount | ","")="","",LEFT(IF(K318="No","Does not balance | ","")&amp;IF(I318="","Not approved | ",IF(UPPER(TRIM(H318))=UPPER(TRIM(I318)),"Self-approved | ",""))&amp;IF(J318="","No support | ","")&amp;IF(WEEKDAY(B318,2)&gt;5,"Weekend posting | ","")&amp;IF(COUNTIF(Settings!$A$14:$A$43,B318)&gt;0,"Holiday posting | ","")&amp;IF(B318&gt;Settings!$C$8,"Posted after close | ","")&amp;IF(OR(B318&lt;Settings!$C$6,B318&gt;Settings!$C$7),"Outside period | ","")&amp;IF(COUNTIF(Settings!$E$14:$E$43,C318&amp;"")&gt;0,"Sensitive account | ","")&amp;IF(AND(MAX(N(E318),N(F318))&gt;=Settings!$C$9,MOD(MAX(N(E318),N(F318)),Settings!$C$10)=0),"Round amount | ",""),LEN(IF(K318="No","Does not balance | ","")&amp;IF(I318="","Not approved | ",IF(UPPER(TRIM(H318))=UPPER(TRIM(I318)),"Self-approved | ",""))&amp;IF(J318="","No support | ","")&amp;IF(WEEKDAY(B318,2)&gt;5,"Weekend posting | ","")&amp;IF(COUNTIF(Settings!$A$14:$A$43,B318)&gt;0,"Holiday posting | ","")&amp;IF(B318&gt;Settings!$C$8,"Posted after close | ","")&amp;IF(OR(B318&lt;Settings!$C$6,B318&gt;Settings!$C$7),"Outside period | ","")&amp;IF(COUNTIF(Settings!$E$14:$E$43,C318&amp;"")&gt;0,"Sensitive account | ","")&amp;IF(AND(MAX(N(E318),N(F318))&gt;=Settings!$C$9,MOD(MAX(N(E318),N(F318)),Settings!$C$10)=0),"Round amount | ",""))-3)))</f>
        <v/>
      </c>
      <c r="M318" s="21" t="str">
        <f aca="false">IF(A318="","",IF(COUNTIF($A$9:A318,A318)=1,MAX($M$8:M317)+1,""))</f>
        <v/>
      </c>
    </row>
    <row r="319" customFormat="false" ht="15" hidden="false" customHeight="false" outlineLevel="0" collapsed="false">
      <c r="A319" s="8"/>
      <c r="B319" s="17"/>
      <c r="C319" s="19"/>
      <c r="D319" s="8"/>
      <c r="E319" s="18"/>
      <c r="F319" s="18"/>
      <c r="G319" s="8"/>
      <c r="H319" s="8"/>
      <c r="I319" s="8"/>
      <c r="J319" s="8"/>
      <c r="K319" s="10" t="str">
        <f aca="false">IF(A319="","",IF(ABS(SUMIFS($E$9:$E$2008,$A$9:$A$2008,A319)-SUMIFS($F$9:$F$2008,$A$9:$A$2008,A319))&lt;0.5,"Yes","No"))</f>
        <v/>
      </c>
      <c r="L319" s="10" t="str">
        <f aca="false">IF(A319="","",IF(IF(K319="No","Does not balance | ","")&amp;IF(I319="","Not approved | ",IF(UPPER(TRIM(H319))=UPPER(TRIM(I319)),"Self-approved | ",""))&amp;IF(J319="","No support | ","")&amp;IF(WEEKDAY(B319,2)&gt;5,"Weekend posting | ","")&amp;IF(COUNTIF(Settings!$A$14:$A$43,B319)&gt;0,"Holiday posting | ","")&amp;IF(B319&gt;Settings!$C$8,"Posted after close | ","")&amp;IF(OR(B319&lt;Settings!$C$6,B319&gt;Settings!$C$7),"Outside period | ","")&amp;IF(COUNTIF(Settings!$E$14:$E$43,C319&amp;"")&gt;0,"Sensitive account | ","")&amp;IF(AND(MAX(N(E319),N(F319))&gt;=Settings!$C$9,MOD(MAX(N(E319),N(F319)),Settings!$C$10)=0),"Round amount | ","")="","",LEFT(IF(K319="No","Does not balance | ","")&amp;IF(I319="","Not approved | ",IF(UPPER(TRIM(H319))=UPPER(TRIM(I319)),"Self-approved | ",""))&amp;IF(J319="","No support | ","")&amp;IF(WEEKDAY(B319,2)&gt;5,"Weekend posting | ","")&amp;IF(COUNTIF(Settings!$A$14:$A$43,B319)&gt;0,"Holiday posting | ","")&amp;IF(B319&gt;Settings!$C$8,"Posted after close | ","")&amp;IF(OR(B319&lt;Settings!$C$6,B319&gt;Settings!$C$7),"Outside period | ","")&amp;IF(COUNTIF(Settings!$E$14:$E$43,C319&amp;"")&gt;0,"Sensitive account | ","")&amp;IF(AND(MAX(N(E319),N(F319))&gt;=Settings!$C$9,MOD(MAX(N(E319),N(F319)),Settings!$C$10)=0),"Round amount | ",""),LEN(IF(K319="No","Does not balance | ","")&amp;IF(I319="","Not approved | ",IF(UPPER(TRIM(H319))=UPPER(TRIM(I319)),"Self-approved | ",""))&amp;IF(J319="","No support | ","")&amp;IF(WEEKDAY(B319,2)&gt;5,"Weekend posting | ","")&amp;IF(COUNTIF(Settings!$A$14:$A$43,B319)&gt;0,"Holiday posting | ","")&amp;IF(B319&gt;Settings!$C$8,"Posted after close | ","")&amp;IF(OR(B319&lt;Settings!$C$6,B319&gt;Settings!$C$7),"Outside period | ","")&amp;IF(COUNTIF(Settings!$E$14:$E$43,C319&amp;"")&gt;0,"Sensitive account | ","")&amp;IF(AND(MAX(N(E319),N(F319))&gt;=Settings!$C$9,MOD(MAX(N(E319),N(F319)),Settings!$C$10)=0),"Round amount | ",""))-3)))</f>
        <v/>
      </c>
      <c r="M319" s="21" t="str">
        <f aca="false">IF(A319="","",IF(COUNTIF($A$9:A319,A319)=1,MAX($M$8:M318)+1,""))</f>
        <v/>
      </c>
    </row>
    <row r="320" customFormat="false" ht="15" hidden="false" customHeight="false" outlineLevel="0" collapsed="false">
      <c r="A320" s="8"/>
      <c r="B320" s="17"/>
      <c r="C320" s="19"/>
      <c r="D320" s="8"/>
      <c r="E320" s="18"/>
      <c r="F320" s="18"/>
      <c r="G320" s="8"/>
      <c r="H320" s="8"/>
      <c r="I320" s="8"/>
      <c r="J320" s="8"/>
      <c r="K320" s="10" t="str">
        <f aca="false">IF(A320="","",IF(ABS(SUMIFS($E$9:$E$2008,$A$9:$A$2008,A320)-SUMIFS($F$9:$F$2008,$A$9:$A$2008,A320))&lt;0.5,"Yes","No"))</f>
        <v/>
      </c>
      <c r="L320" s="10" t="str">
        <f aca="false">IF(A320="","",IF(IF(K320="No","Does not balance | ","")&amp;IF(I320="","Not approved | ",IF(UPPER(TRIM(H320))=UPPER(TRIM(I320)),"Self-approved | ",""))&amp;IF(J320="","No support | ","")&amp;IF(WEEKDAY(B320,2)&gt;5,"Weekend posting | ","")&amp;IF(COUNTIF(Settings!$A$14:$A$43,B320)&gt;0,"Holiday posting | ","")&amp;IF(B320&gt;Settings!$C$8,"Posted after close | ","")&amp;IF(OR(B320&lt;Settings!$C$6,B320&gt;Settings!$C$7),"Outside period | ","")&amp;IF(COUNTIF(Settings!$E$14:$E$43,C320&amp;"")&gt;0,"Sensitive account | ","")&amp;IF(AND(MAX(N(E320),N(F320))&gt;=Settings!$C$9,MOD(MAX(N(E320),N(F320)),Settings!$C$10)=0),"Round amount | ","")="","",LEFT(IF(K320="No","Does not balance | ","")&amp;IF(I320="","Not approved | ",IF(UPPER(TRIM(H320))=UPPER(TRIM(I320)),"Self-approved | ",""))&amp;IF(J320="","No support | ","")&amp;IF(WEEKDAY(B320,2)&gt;5,"Weekend posting | ","")&amp;IF(COUNTIF(Settings!$A$14:$A$43,B320)&gt;0,"Holiday posting | ","")&amp;IF(B320&gt;Settings!$C$8,"Posted after close | ","")&amp;IF(OR(B320&lt;Settings!$C$6,B320&gt;Settings!$C$7),"Outside period | ","")&amp;IF(COUNTIF(Settings!$E$14:$E$43,C320&amp;"")&gt;0,"Sensitive account | ","")&amp;IF(AND(MAX(N(E320),N(F320))&gt;=Settings!$C$9,MOD(MAX(N(E320),N(F320)),Settings!$C$10)=0),"Round amount | ",""),LEN(IF(K320="No","Does not balance | ","")&amp;IF(I320="","Not approved | ",IF(UPPER(TRIM(H320))=UPPER(TRIM(I320)),"Self-approved | ",""))&amp;IF(J320="","No support | ","")&amp;IF(WEEKDAY(B320,2)&gt;5,"Weekend posting | ","")&amp;IF(COUNTIF(Settings!$A$14:$A$43,B320)&gt;0,"Holiday posting | ","")&amp;IF(B320&gt;Settings!$C$8,"Posted after close | ","")&amp;IF(OR(B320&lt;Settings!$C$6,B320&gt;Settings!$C$7),"Outside period | ","")&amp;IF(COUNTIF(Settings!$E$14:$E$43,C320&amp;"")&gt;0,"Sensitive account | ","")&amp;IF(AND(MAX(N(E320),N(F320))&gt;=Settings!$C$9,MOD(MAX(N(E320),N(F320)),Settings!$C$10)=0),"Round amount | ",""))-3)))</f>
        <v/>
      </c>
      <c r="M320" s="21" t="str">
        <f aca="false">IF(A320="","",IF(COUNTIF($A$9:A320,A320)=1,MAX($M$8:M319)+1,""))</f>
        <v/>
      </c>
    </row>
    <row r="321" customFormat="false" ht="15" hidden="false" customHeight="false" outlineLevel="0" collapsed="false">
      <c r="A321" s="8"/>
      <c r="B321" s="17"/>
      <c r="C321" s="19"/>
      <c r="D321" s="8"/>
      <c r="E321" s="18"/>
      <c r="F321" s="18"/>
      <c r="G321" s="8"/>
      <c r="H321" s="8"/>
      <c r="I321" s="8"/>
      <c r="J321" s="8"/>
      <c r="K321" s="10" t="str">
        <f aca="false">IF(A321="","",IF(ABS(SUMIFS($E$9:$E$2008,$A$9:$A$2008,A321)-SUMIFS($F$9:$F$2008,$A$9:$A$2008,A321))&lt;0.5,"Yes","No"))</f>
        <v/>
      </c>
      <c r="L321" s="10" t="str">
        <f aca="false">IF(A321="","",IF(IF(K321="No","Does not balance | ","")&amp;IF(I321="","Not approved | ",IF(UPPER(TRIM(H321))=UPPER(TRIM(I321)),"Self-approved | ",""))&amp;IF(J321="","No support | ","")&amp;IF(WEEKDAY(B321,2)&gt;5,"Weekend posting | ","")&amp;IF(COUNTIF(Settings!$A$14:$A$43,B321)&gt;0,"Holiday posting | ","")&amp;IF(B321&gt;Settings!$C$8,"Posted after close | ","")&amp;IF(OR(B321&lt;Settings!$C$6,B321&gt;Settings!$C$7),"Outside period | ","")&amp;IF(COUNTIF(Settings!$E$14:$E$43,C321&amp;"")&gt;0,"Sensitive account | ","")&amp;IF(AND(MAX(N(E321),N(F321))&gt;=Settings!$C$9,MOD(MAX(N(E321),N(F321)),Settings!$C$10)=0),"Round amount | ","")="","",LEFT(IF(K321="No","Does not balance | ","")&amp;IF(I321="","Not approved | ",IF(UPPER(TRIM(H321))=UPPER(TRIM(I321)),"Self-approved | ",""))&amp;IF(J321="","No support | ","")&amp;IF(WEEKDAY(B321,2)&gt;5,"Weekend posting | ","")&amp;IF(COUNTIF(Settings!$A$14:$A$43,B321)&gt;0,"Holiday posting | ","")&amp;IF(B321&gt;Settings!$C$8,"Posted after close | ","")&amp;IF(OR(B321&lt;Settings!$C$6,B321&gt;Settings!$C$7),"Outside period | ","")&amp;IF(COUNTIF(Settings!$E$14:$E$43,C321&amp;"")&gt;0,"Sensitive account | ","")&amp;IF(AND(MAX(N(E321),N(F321))&gt;=Settings!$C$9,MOD(MAX(N(E321),N(F321)),Settings!$C$10)=0),"Round amount | ",""),LEN(IF(K321="No","Does not balance | ","")&amp;IF(I321="","Not approved | ",IF(UPPER(TRIM(H321))=UPPER(TRIM(I321)),"Self-approved | ",""))&amp;IF(J321="","No support | ","")&amp;IF(WEEKDAY(B321,2)&gt;5,"Weekend posting | ","")&amp;IF(COUNTIF(Settings!$A$14:$A$43,B321)&gt;0,"Holiday posting | ","")&amp;IF(B321&gt;Settings!$C$8,"Posted after close | ","")&amp;IF(OR(B321&lt;Settings!$C$6,B321&gt;Settings!$C$7),"Outside period | ","")&amp;IF(COUNTIF(Settings!$E$14:$E$43,C321&amp;"")&gt;0,"Sensitive account | ","")&amp;IF(AND(MAX(N(E321),N(F321))&gt;=Settings!$C$9,MOD(MAX(N(E321),N(F321)),Settings!$C$10)=0),"Round amount | ",""))-3)))</f>
        <v/>
      </c>
      <c r="M321" s="21" t="str">
        <f aca="false">IF(A321="","",IF(COUNTIF($A$9:A321,A321)=1,MAX($M$8:M320)+1,""))</f>
        <v/>
      </c>
    </row>
    <row r="322" customFormat="false" ht="15" hidden="false" customHeight="false" outlineLevel="0" collapsed="false">
      <c r="A322" s="8"/>
      <c r="B322" s="17"/>
      <c r="C322" s="19"/>
      <c r="D322" s="8"/>
      <c r="E322" s="18"/>
      <c r="F322" s="18"/>
      <c r="G322" s="8"/>
      <c r="H322" s="8"/>
      <c r="I322" s="8"/>
      <c r="J322" s="8"/>
      <c r="K322" s="10" t="str">
        <f aca="false">IF(A322="","",IF(ABS(SUMIFS($E$9:$E$2008,$A$9:$A$2008,A322)-SUMIFS($F$9:$F$2008,$A$9:$A$2008,A322))&lt;0.5,"Yes","No"))</f>
        <v/>
      </c>
      <c r="L322" s="10" t="str">
        <f aca="false">IF(A322="","",IF(IF(K322="No","Does not balance | ","")&amp;IF(I322="","Not approved | ",IF(UPPER(TRIM(H322))=UPPER(TRIM(I322)),"Self-approved | ",""))&amp;IF(J322="","No support | ","")&amp;IF(WEEKDAY(B322,2)&gt;5,"Weekend posting | ","")&amp;IF(COUNTIF(Settings!$A$14:$A$43,B322)&gt;0,"Holiday posting | ","")&amp;IF(B322&gt;Settings!$C$8,"Posted after close | ","")&amp;IF(OR(B322&lt;Settings!$C$6,B322&gt;Settings!$C$7),"Outside period | ","")&amp;IF(COUNTIF(Settings!$E$14:$E$43,C322&amp;"")&gt;0,"Sensitive account | ","")&amp;IF(AND(MAX(N(E322),N(F322))&gt;=Settings!$C$9,MOD(MAX(N(E322),N(F322)),Settings!$C$10)=0),"Round amount | ","")="","",LEFT(IF(K322="No","Does not balance | ","")&amp;IF(I322="","Not approved | ",IF(UPPER(TRIM(H322))=UPPER(TRIM(I322)),"Self-approved | ",""))&amp;IF(J322="","No support | ","")&amp;IF(WEEKDAY(B322,2)&gt;5,"Weekend posting | ","")&amp;IF(COUNTIF(Settings!$A$14:$A$43,B322)&gt;0,"Holiday posting | ","")&amp;IF(B322&gt;Settings!$C$8,"Posted after close | ","")&amp;IF(OR(B322&lt;Settings!$C$6,B322&gt;Settings!$C$7),"Outside period | ","")&amp;IF(COUNTIF(Settings!$E$14:$E$43,C322&amp;"")&gt;0,"Sensitive account | ","")&amp;IF(AND(MAX(N(E322),N(F322))&gt;=Settings!$C$9,MOD(MAX(N(E322),N(F322)),Settings!$C$10)=0),"Round amount | ",""),LEN(IF(K322="No","Does not balance | ","")&amp;IF(I322="","Not approved | ",IF(UPPER(TRIM(H322))=UPPER(TRIM(I322)),"Self-approved | ",""))&amp;IF(J322="","No support | ","")&amp;IF(WEEKDAY(B322,2)&gt;5,"Weekend posting | ","")&amp;IF(COUNTIF(Settings!$A$14:$A$43,B322)&gt;0,"Holiday posting | ","")&amp;IF(B322&gt;Settings!$C$8,"Posted after close | ","")&amp;IF(OR(B322&lt;Settings!$C$6,B322&gt;Settings!$C$7),"Outside period | ","")&amp;IF(COUNTIF(Settings!$E$14:$E$43,C322&amp;"")&gt;0,"Sensitive account | ","")&amp;IF(AND(MAX(N(E322),N(F322))&gt;=Settings!$C$9,MOD(MAX(N(E322),N(F322)),Settings!$C$10)=0),"Round amount | ",""))-3)))</f>
        <v/>
      </c>
      <c r="M322" s="21" t="str">
        <f aca="false">IF(A322="","",IF(COUNTIF($A$9:A322,A322)=1,MAX($M$8:M321)+1,""))</f>
        <v/>
      </c>
    </row>
    <row r="323" customFormat="false" ht="15" hidden="false" customHeight="false" outlineLevel="0" collapsed="false">
      <c r="A323" s="8"/>
      <c r="B323" s="17"/>
      <c r="C323" s="19"/>
      <c r="D323" s="8"/>
      <c r="E323" s="18"/>
      <c r="F323" s="18"/>
      <c r="G323" s="8"/>
      <c r="H323" s="8"/>
      <c r="I323" s="8"/>
      <c r="J323" s="8"/>
      <c r="K323" s="10" t="str">
        <f aca="false">IF(A323="","",IF(ABS(SUMIFS($E$9:$E$2008,$A$9:$A$2008,A323)-SUMIFS($F$9:$F$2008,$A$9:$A$2008,A323))&lt;0.5,"Yes","No"))</f>
        <v/>
      </c>
      <c r="L323" s="10" t="str">
        <f aca="false">IF(A323="","",IF(IF(K323="No","Does not balance | ","")&amp;IF(I323="","Not approved | ",IF(UPPER(TRIM(H323))=UPPER(TRIM(I323)),"Self-approved | ",""))&amp;IF(J323="","No support | ","")&amp;IF(WEEKDAY(B323,2)&gt;5,"Weekend posting | ","")&amp;IF(COUNTIF(Settings!$A$14:$A$43,B323)&gt;0,"Holiday posting | ","")&amp;IF(B323&gt;Settings!$C$8,"Posted after close | ","")&amp;IF(OR(B323&lt;Settings!$C$6,B323&gt;Settings!$C$7),"Outside period | ","")&amp;IF(COUNTIF(Settings!$E$14:$E$43,C323&amp;"")&gt;0,"Sensitive account | ","")&amp;IF(AND(MAX(N(E323),N(F323))&gt;=Settings!$C$9,MOD(MAX(N(E323),N(F323)),Settings!$C$10)=0),"Round amount | ","")="","",LEFT(IF(K323="No","Does not balance | ","")&amp;IF(I323="","Not approved | ",IF(UPPER(TRIM(H323))=UPPER(TRIM(I323)),"Self-approved | ",""))&amp;IF(J323="","No support | ","")&amp;IF(WEEKDAY(B323,2)&gt;5,"Weekend posting | ","")&amp;IF(COUNTIF(Settings!$A$14:$A$43,B323)&gt;0,"Holiday posting | ","")&amp;IF(B323&gt;Settings!$C$8,"Posted after close | ","")&amp;IF(OR(B323&lt;Settings!$C$6,B323&gt;Settings!$C$7),"Outside period | ","")&amp;IF(COUNTIF(Settings!$E$14:$E$43,C323&amp;"")&gt;0,"Sensitive account | ","")&amp;IF(AND(MAX(N(E323),N(F323))&gt;=Settings!$C$9,MOD(MAX(N(E323),N(F323)),Settings!$C$10)=0),"Round amount | ",""),LEN(IF(K323="No","Does not balance | ","")&amp;IF(I323="","Not approved | ",IF(UPPER(TRIM(H323))=UPPER(TRIM(I323)),"Self-approved | ",""))&amp;IF(J323="","No support | ","")&amp;IF(WEEKDAY(B323,2)&gt;5,"Weekend posting | ","")&amp;IF(COUNTIF(Settings!$A$14:$A$43,B323)&gt;0,"Holiday posting | ","")&amp;IF(B323&gt;Settings!$C$8,"Posted after close | ","")&amp;IF(OR(B323&lt;Settings!$C$6,B323&gt;Settings!$C$7),"Outside period | ","")&amp;IF(COUNTIF(Settings!$E$14:$E$43,C323&amp;"")&gt;0,"Sensitive account | ","")&amp;IF(AND(MAX(N(E323),N(F323))&gt;=Settings!$C$9,MOD(MAX(N(E323),N(F323)),Settings!$C$10)=0),"Round amount | ",""))-3)))</f>
        <v/>
      </c>
      <c r="M323" s="21" t="str">
        <f aca="false">IF(A323="","",IF(COUNTIF($A$9:A323,A323)=1,MAX($M$8:M322)+1,""))</f>
        <v/>
      </c>
    </row>
    <row r="324" customFormat="false" ht="15" hidden="false" customHeight="false" outlineLevel="0" collapsed="false">
      <c r="A324" s="8"/>
      <c r="B324" s="17"/>
      <c r="C324" s="19"/>
      <c r="D324" s="8"/>
      <c r="E324" s="18"/>
      <c r="F324" s="18"/>
      <c r="G324" s="8"/>
      <c r="H324" s="8"/>
      <c r="I324" s="8"/>
      <c r="J324" s="8"/>
      <c r="K324" s="10" t="str">
        <f aca="false">IF(A324="","",IF(ABS(SUMIFS($E$9:$E$2008,$A$9:$A$2008,A324)-SUMIFS($F$9:$F$2008,$A$9:$A$2008,A324))&lt;0.5,"Yes","No"))</f>
        <v/>
      </c>
      <c r="L324" s="10" t="str">
        <f aca="false">IF(A324="","",IF(IF(K324="No","Does not balance | ","")&amp;IF(I324="","Not approved | ",IF(UPPER(TRIM(H324))=UPPER(TRIM(I324)),"Self-approved | ",""))&amp;IF(J324="","No support | ","")&amp;IF(WEEKDAY(B324,2)&gt;5,"Weekend posting | ","")&amp;IF(COUNTIF(Settings!$A$14:$A$43,B324)&gt;0,"Holiday posting | ","")&amp;IF(B324&gt;Settings!$C$8,"Posted after close | ","")&amp;IF(OR(B324&lt;Settings!$C$6,B324&gt;Settings!$C$7),"Outside period | ","")&amp;IF(COUNTIF(Settings!$E$14:$E$43,C324&amp;"")&gt;0,"Sensitive account | ","")&amp;IF(AND(MAX(N(E324),N(F324))&gt;=Settings!$C$9,MOD(MAX(N(E324),N(F324)),Settings!$C$10)=0),"Round amount | ","")="","",LEFT(IF(K324="No","Does not balance | ","")&amp;IF(I324="","Not approved | ",IF(UPPER(TRIM(H324))=UPPER(TRIM(I324)),"Self-approved | ",""))&amp;IF(J324="","No support | ","")&amp;IF(WEEKDAY(B324,2)&gt;5,"Weekend posting | ","")&amp;IF(COUNTIF(Settings!$A$14:$A$43,B324)&gt;0,"Holiday posting | ","")&amp;IF(B324&gt;Settings!$C$8,"Posted after close | ","")&amp;IF(OR(B324&lt;Settings!$C$6,B324&gt;Settings!$C$7),"Outside period | ","")&amp;IF(COUNTIF(Settings!$E$14:$E$43,C324&amp;"")&gt;0,"Sensitive account | ","")&amp;IF(AND(MAX(N(E324),N(F324))&gt;=Settings!$C$9,MOD(MAX(N(E324),N(F324)),Settings!$C$10)=0),"Round amount | ",""),LEN(IF(K324="No","Does not balance | ","")&amp;IF(I324="","Not approved | ",IF(UPPER(TRIM(H324))=UPPER(TRIM(I324)),"Self-approved | ",""))&amp;IF(J324="","No support | ","")&amp;IF(WEEKDAY(B324,2)&gt;5,"Weekend posting | ","")&amp;IF(COUNTIF(Settings!$A$14:$A$43,B324)&gt;0,"Holiday posting | ","")&amp;IF(B324&gt;Settings!$C$8,"Posted after close | ","")&amp;IF(OR(B324&lt;Settings!$C$6,B324&gt;Settings!$C$7),"Outside period | ","")&amp;IF(COUNTIF(Settings!$E$14:$E$43,C324&amp;"")&gt;0,"Sensitive account | ","")&amp;IF(AND(MAX(N(E324),N(F324))&gt;=Settings!$C$9,MOD(MAX(N(E324),N(F324)),Settings!$C$10)=0),"Round amount | ",""))-3)))</f>
        <v/>
      </c>
      <c r="M324" s="21" t="str">
        <f aca="false">IF(A324="","",IF(COUNTIF($A$9:A324,A324)=1,MAX($M$8:M323)+1,""))</f>
        <v/>
      </c>
    </row>
    <row r="325" customFormat="false" ht="15" hidden="false" customHeight="false" outlineLevel="0" collapsed="false">
      <c r="A325" s="8"/>
      <c r="B325" s="17"/>
      <c r="C325" s="19"/>
      <c r="D325" s="8"/>
      <c r="E325" s="18"/>
      <c r="F325" s="18"/>
      <c r="G325" s="8"/>
      <c r="H325" s="8"/>
      <c r="I325" s="8"/>
      <c r="J325" s="8"/>
      <c r="K325" s="10" t="str">
        <f aca="false">IF(A325="","",IF(ABS(SUMIFS($E$9:$E$2008,$A$9:$A$2008,A325)-SUMIFS($F$9:$F$2008,$A$9:$A$2008,A325))&lt;0.5,"Yes","No"))</f>
        <v/>
      </c>
      <c r="L325" s="10" t="str">
        <f aca="false">IF(A325="","",IF(IF(K325="No","Does not balance | ","")&amp;IF(I325="","Not approved | ",IF(UPPER(TRIM(H325))=UPPER(TRIM(I325)),"Self-approved | ",""))&amp;IF(J325="","No support | ","")&amp;IF(WEEKDAY(B325,2)&gt;5,"Weekend posting | ","")&amp;IF(COUNTIF(Settings!$A$14:$A$43,B325)&gt;0,"Holiday posting | ","")&amp;IF(B325&gt;Settings!$C$8,"Posted after close | ","")&amp;IF(OR(B325&lt;Settings!$C$6,B325&gt;Settings!$C$7),"Outside period | ","")&amp;IF(COUNTIF(Settings!$E$14:$E$43,C325&amp;"")&gt;0,"Sensitive account | ","")&amp;IF(AND(MAX(N(E325),N(F325))&gt;=Settings!$C$9,MOD(MAX(N(E325),N(F325)),Settings!$C$10)=0),"Round amount | ","")="","",LEFT(IF(K325="No","Does not balance | ","")&amp;IF(I325="","Not approved | ",IF(UPPER(TRIM(H325))=UPPER(TRIM(I325)),"Self-approved | ",""))&amp;IF(J325="","No support | ","")&amp;IF(WEEKDAY(B325,2)&gt;5,"Weekend posting | ","")&amp;IF(COUNTIF(Settings!$A$14:$A$43,B325)&gt;0,"Holiday posting | ","")&amp;IF(B325&gt;Settings!$C$8,"Posted after close | ","")&amp;IF(OR(B325&lt;Settings!$C$6,B325&gt;Settings!$C$7),"Outside period | ","")&amp;IF(COUNTIF(Settings!$E$14:$E$43,C325&amp;"")&gt;0,"Sensitive account | ","")&amp;IF(AND(MAX(N(E325),N(F325))&gt;=Settings!$C$9,MOD(MAX(N(E325),N(F325)),Settings!$C$10)=0),"Round amount | ",""),LEN(IF(K325="No","Does not balance | ","")&amp;IF(I325="","Not approved | ",IF(UPPER(TRIM(H325))=UPPER(TRIM(I325)),"Self-approved | ",""))&amp;IF(J325="","No support | ","")&amp;IF(WEEKDAY(B325,2)&gt;5,"Weekend posting | ","")&amp;IF(COUNTIF(Settings!$A$14:$A$43,B325)&gt;0,"Holiday posting | ","")&amp;IF(B325&gt;Settings!$C$8,"Posted after close | ","")&amp;IF(OR(B325&lt;Settings!$C$6,B325&gt;Settings!$C$7),"Outside period | ","")&amp;IF(COUNTIF(Settings!$E$14:$E$43,C325&amp;"")&gt;0,"Sensitive account | ","")&amp;IF(AND(MAX(N(E325),N(F325))&gt;=Settings!$C$9,MOD(MAX(N(E325),N(F325)),Settings!$C$10)=0),"Round amount | ",""))-3)))</f>
        <v/>
      </c>
      <c r="M325" s="21" t="str">
        <f aca="false">IF(A325="","",IF(COUNTIF($A$9:A325,A325)=1,MAX($M$8:M324)+1,""))</f>
        <v/>
      </c>
    </row>
    <row r="326" customFormat="false" ht="15" hidden="false" customHeight="false" outlineLevel="0" collapsed="false">
      <c r="A326" s="8"/>
      <c r="B326" s="17"/>
      <c r="C326" s="19"/>
      <c r="D326" s="8"/>
      <c r="E326" s="18"/>
      <c r="F326" s="18"/>
      <c r="G326" s="8"/>
      <c r="H326" s="8"/>
      <c r="I326" s="8"/>
      <c r="J326" s="8"/>
      <c r="K326" s="10" t="str">
        <f aca="false">IF(A326="","",IF(ABS(SUMIFS($E$9:$E$2008,$A$9:$A$2008,A326)-SUMIFS($F$9:$F$2008,$A$9:$A$2008,A326))&lt;0.5,"Yes","No"))</f>
        <v/>
      </c>
      <c r="L326" s="10" t="str">
        <f aca="false">IF(A326="","",IF(IF(K326="No","Does not balance | ","")&amp;IF(I326="","Not approved | ",IF(UPPER(TRIM(H326))=UPPER(TRIM(I326)),"Self-approved | ",""))&amp;IF(J326="","No support | ","")&amp;IF(WEEKDAY(B326,2)&gt;5,"Weekend posting | ","")&amp;IF(COUNTIF(Settings!$A$14:$A$43,B326)&gt;0,"Holiday posting | ","")&amp;IF(B326&gt;Settings!$C$8,"Posted after close | ","")&amp;IF(OR(B326&lt;Settings!$C$6,B326&gt;Settings!$C$7),"Outside period | ","")&amp;IF(COUNTIF(Settings!$E$14:$E$43,C326&amp;"")&gt;0,"Sensitive account | ","")&amp;IF(AND(MAX(N(E326),N(F326))&gt;=Settings!$C$9,MOD(MAX(N(E326),N(F326)),Settings!$C$10)=0),"Round amount | ","")="","",LEFT(IF(K326="No","Does not balance | ","")&amp;IF(I326="","Not approved | ",IF(UPPER(TRIM(H326))=UPPER(TRIM(I326)),"Self-approved | ",""))&amp;IF(J326="","No support | ","")&amp;IF(WEEKDAY(B326,2)&gt;5,"Weekend posting | ","")&amp;IF(COUNTIF(Settings!$A$14:$A$43,B326)&gt;0,"Holiday posting | ","")&amp;IF(B326&gt;Settings!$C$8,"Posted after close | ","")&amp;IF(OR(B326&lt;Settings!$C$6,B326&gt;Settings!$C$7),"Outside period | ","")&amp;IF(COUNTIF(Settings!$E$14:$E$43,C326&amp;"")&gt;0,"Sensitive account | ","")&amp;IF(AND(MAX(N(E326),N(F326))&gt;=Settings!$C$9,MOD(MAX(N(E326),N(F326)),Settings!$C$10)=0),"Round amount | ",""),LEN(IF(K326="No","Does not balance | ","")&amp;IF(I326="","Not approved | ",IF(UPPER(TRIM(H326))=UPPER(TRIM(I326)),"Self-approved | ",""))&amp;IF(J326="","No support | ","")&amp;IF(WEEKDAY(B326,2)&gt;5,"Weekend posting | ","")&amp;IF(COUNTIF(Settings!$A$14:$A$43,B326)&gt;0,"Holiday posting | ","")&amp;IF(B326&gt;Settings!$C$8,"Posted after close | ","")&amp;IF(OR(B326&lt;Settings!$C$6,B326&gt;Settings!$C$7),"Outside period | ","")&amp;IF(COUNTIF(Settings!$E$14:$E$43,C326&amp;"")&gt;0,"Sensitive account | ","")&amp;IF(AND(MAX(N(E326),N(F326))&gt;=Settings!$C$9,MOD(MAX(N(E326),N(F326)),Settings!$C$10)=0),"Round amount | ",""))-3)))</f>
        <v/>
      </c>
      <c r="M326" s="21" t="str">
        <f aca="false">IF(A326="","",IF(COUNTIF($A$9:A326,A326)=1,MAX($M$8:M325)+1,""))</f>
        <v/>
      </c>
    </row>
    <row r="327" customFormat="false" ht="15" hidden="false" customHeight="false" outlineLevel="0" collapsed="false">
      <c r="A327" s="8"/>
      <c r="B327" s="17"/>
      <c r="C327" s="19"/>
      <c r="D327" s="8"/>
      <c r="E327" s="18"/>
      <c r="F327" s="18"/>
      <c r="G327" s="8"/>
      <c r="H327" s="8"/>
      <c r="I327" s="8"/>
      <c r="J327" s="8"/>
      <c r="K327" s="10" t="str">
        <f aca="false">IF(A327="","",IF(ABS(SUMIFS($E$9:$E$2008,$A$9:$A$2008,A327)-SUMIFS($F$9:$F$2008,$A$9:$A$2008,A327))&lt;0.5,"Yes","No"))</f>
        <v/>
      </c>
      <c r="L327" s="10" t="str">
        <f aca="false">IF(A327="","",IF(IF(K327="No","Does not balance | ","")&amp;IF(I327="","Not approved | ",IF(UPPER(TRIM(H327))=UPPER(TRIM(I327)),"Self-approved | ",""))&amp;IF(J327="","No support | ","")&amp;IF(WEEKDAY(B327,2)&gt;5,"Weekend posting | ","")&amp;IF(COUNTIF(Settings!$A$14:$A$43,B327)&gt;0,"Holiday posting | ","")&amp;IF(B327&gt;Settings!$C$8,"Posted after close | ","")&amp;IF(OR(B327&lt;Settings!$C$6,B327&gt;Settings!$C$7),"Outside period | ","")&amp;IF(COUNTIF(Settings!$E$14:$E$43,C327&amp;"")&gt;0,"Sensitive account | ","")&amp;IF(AND(MAX(N(E327),N(F327))&gt;=Settings!$C$9,MOD(MAX(N(E327),N(F327)),Settings!$C$10)=0),"Round amount | ","")="","",LEFT(IF(K327="No","Does not balance | ","")&amp;IF(I327="","Not approved | ",IF(UPPER(TRIM(H327))=UPPER(TRIM(I327)),"Self-approved | ",""))&amp;IF(J327="","No support | ","")&amp;IF(WEEKDAY(B327,2)&gt;5,"Weekend posting | ","")&amp;IF(COUNTIF(Settings!$A$14:$A$43,B327)&gt;0,"Holiday posting | ","")&amp;IF(B327&gt;Settings!$C$8,"Posted after close | ","")&amp;IF(OR(B327&lt;Settings!$C$6,B327&gt;Settings!$C$7),"Outside period | ","")&amp;IF(COUNTIF(Settings!$E$14:$E$43,C327&amp;"")&gt;0,"Sensitive account | ","")&amp;IF(AND(MAX(N(E327),N(F327))&gt;=Settings!$C$9,MOD(MAX(N(E327),N(F327)),Settings!$C$10)=0),"Round amount | ",""),LEN(IF(K327="No","Does not balance | ","")&amp;IF(I327="","Not approved | ",IF(UPPER(TRIM(H327))=UPPER(TRIM(I327)),"Self-approved | ",""))&amp;IF(J327="","No support | ","")&amp;IF(WEEKDAY(B327,2)&gt;5,"Weekend posting | ","")&amp;IF(COUNTIF(Settings!$A$14:$A$43,B327)&gt;0,"Holiday posting | ","")&amp;IF(B327&gt;Settings!$C$8,"Posted after close | ","")&amp;IF(OR(B327&lt;Settings!$C$6,B327&gt;Settings!$C$7),"Outside period | ","")&amp;IF(COUNTIF(Settings!$E$14:$E$43,C327&amp;"")&gt;0,"Sensitive account | ","")&amp;IF(AND(MAX(N(E327),N(F327))&gt;=Settings!$C$9,MOD(MAX(N(E327),N(F327)),Settings!$C$10)=0),"Round amount | ",""))-3)))</f>
        <v/>
      </c>
      <c r="M327" s="21" t="str">
        <f aca="false">IF(A327="","",IF(COUNTIF($A$9:A327,A327)=1,MAX($M$8:M326)+1,""))</f>
        <v/>
      </c>
    </row>
    <row r="328" customFormat="false" ht="15" hidden="false" customHeight="false" outlineLevel="0" collapsed="false">
      <c r="A328" s="8"/>
      <c r="B328" s="17"/>
      <c r="C328" s="19"/>
      <c r="D328" s="8"/>
      <c r="E328" s="18"/>
      <c r="F328" s="18"/>
      <c r="G328" s="8"/>
      <c r="H328" s="8"/>
      <c r="I328" s="8"/>
      <c r="J328" s="8"/>
      <c r="K328" s="10" t="str">
        <f aca="false">IF(A328="","",IF(ABS(SUMIFS($E$9:$E$2008,$A$9:$A$2008,A328)-SUMIFS($F$9:$F$2008,$A$9:$A$2008,A328))&lt;0.5,"Yes","No"))</f>
        <v/>
      </c>
      <c r="L328" s="10" t="str">
        <f aca="false">IF(A328="","",IF(IF(K328="No","Does not balance | ","")&amp;IF(I328="","Not approved | ",IF(UPPER(TRIM(H328))=UPPER(TRIM(I328)),"Self-approved | ",""))&amp;IF(J328="","No support | ","")&amp;IF(WEEKDAY(B328,2)&gt;5,"Weekend posting | ","")&amp;IF(COUNTIF(Settings!$A$14:$A$43,B328)&gt;0,"Holiday posting | ","")&amp;IF(B328&gt;Settings!$C$8,"Posted after close | ","")&amp;IF(OR(B328&lt;Settings!$C$6,B328&gt;Settings!$C$7),"Outside period | ","")&amp;IF(COUNTIF(Settings!$E$14:$E$43,C328&amp;"")&gt;0,"Sensitive account | ","")&amp;IF(AND(MAX(N(E328),N(F328))&gt;=Settings!$C$9,MOD(MAX(N(E328),N(F328)),Settings!$C$10)=0),"Round amount | ","")="","",LEFT(IF(K328="No","Does not balance | ","")&amp;IF(I328="","Not approved | ",IF(UPPER(TRIM(H328))=UPPER(TRIM(I328)),"Self-approved | ",""))&amp;IF(J328="","No support | ","")&amp;IF(WEEKDAY(B328,2)&gt;5,"Weekend posting | ","")&amp;IF(COUNTIF(Settings!$A$14:$A$43,B328)&gt;0,"Holiday posting | ","")&amp;IF(B328&gt;Settings!$C$8,"Posted after close | ","")&amp;IF(OR(B328&lt;Settings!$C$6,B328&gt;Settings!$C$7),"Outside period | ","")&amp;IF(COUNTIF(Settings!$E$14:$E$43,C328&amp;"")&gt;0,"Sensitive account | ","")&amp;IF(AND(MAX(N(E328),N(F328))&gt;=Settings!$C$9,MOD(MAX(N(E328),N(F328)),Settings!$C$10)=0),"Round amount | ",""),LEN(IF(K328="No","Does not balance | ","")&amp;IF(I328="","Not approved | ",IF(UPPER(TRIM(H328))=UPPER(TRIM(I328)),"Self-approved | ",""))&amp;IF(J328="","No support | ","")&amp;IF(WEEKDAY(B328,2)&gt;5,"Weekend posting | ","")&amp;IF(COUNTIF(Settings!$A$14:$A$43,B328)&gt;0,"Holiday posting | ","")&amp;IF(B328&gt;Settings!$C$8,"Posted after close | ","")&amp;IF(OR(B328&lt;Settings!$C$6,B328&gt;Settings!$C$7),"Outside period | ","")&amp;IF(COUNTIF(Settings!$E$14:$E$43,C328&amp;"")&gt;0,"Sensitive account | ","")&amp;IF(AND(MAX(N(E328),N(F328))&gt;=Settings!$C$9,MOD(MAX(N(E328),N(F328)),Settings!$C$10)=0),"Round amount | ",""))-3)))</f>
        <v/>
      </c>
      <c r="M328" s="21" t="str">
        <f aca="false">IF(A328="","",IF(COUNTIF($A$9:A328,A328)=1,MAX($M$8:M327)+1,""))</f>
        <v/>
      </c>
    </row>
    <row r="329" customFormat="false" ht="15" hidden="false" customHeight="false" outlineLevel="0" collapsed="false">
      <c r="A329" s="8"/>
      <c r="B329" s="17"/>
      <c r="C329" s="19"/>
      <c r="D329" s="8"/>
      <c r="E329" s="18"/>
      <c r="F329" s="18"/>
      <c r="G329" s="8"/>
      <c r="H329" s="8"/>
      <c r="I329" s="8"/>
      <c r="J329" s="8"/>
      <c r="K329" s="10" t="str">
        <f aca="false">IF(A329="","",IF(ABS(SUMIFS($E$9:$E$2008,$A$9:$A$2008,A329)-SUMIFS($F$9:$F$2008,$A$9:$A$2008,A329))&lt;0.5,"Yes","No"))</f>
        <v/>
      </c>
      <c r="L329" s="10" t="str">
        <f aca="false">IF(A329="","",IF(IF(K329="No","Does not balance | ","")&amp;IF(I329="","Not approved | ",IF(UPPER(TRIM(H329))=UPPER(TRIM(I329)),"Self-approved | ",""))&amp;IF(J329="","No support | ","")&amp;IF(WEEKDAY(B329,2)&gt;5,"Weekend posting | ","")&amp;IF(COUNTIF(Settings!$A$14:$A$43,B329)&gt;0,"Holiday posting | ","")&amp;IF(B329&gt;Settings!$C$8,"Posted after close | ","")&amp;IF(OR(B329&lt;Settings!$C$6,B329&gt;Settings!$C$7),"Outside period | ","")&amp;IF(COUNTIF(Settings!$E$14:$E$43,C329&amp;"")&gt;0,"Sensitive account | ","")&amp;IF(AND(MAX(N(E329),N(F329))&gt;=Settings!$C$9,MOD(MAX(N(E329),N(F329)),Settings!$C$10)=0),"Round amount | ","")="","",LEFT(IF(K329="No","Does not balance | ","")&amp;IF(I329="","Not approved | ",IF(UPPER(TRIM(H329))=UPPER(TRIM(I329)),"Self-approved | ",""))&amp;IF(J329="","No support | ","")&amp;IF(WEEKDAY(B329,2)&gt;5,"Weekend posting | ","")&amp;IF(COUNTIF(Settings!$A$14:$A$43,B329)&gt;0,"Holiday posting | ","")&amp;IF(B329&gt;Settings!$C$8,"Posted after close | ","")&amp;IF(OR(B329&lt;Settings!$C$6,B329&gt;Settings!$C$7),"Outside period | ","")&amp;IF(COUNTIF(Settings!$E$14:$E$43,C329&amp;"")&gt;0,"Sensitive account | ","")&amp;IF(AND(MAX(N(E329),N(F329))&gt;=Settings!$C$9,MOD(MAX(N(E329),N(F329)),Settings!$C$10)=0),"Round amount | ",""),LEN(IF(K329="No","Does not balance | ","")&amp;IF(I329="","Not approved | ",IF(UPPER(TRIM(H329))=UPPER(TRIM(I329)),"Self-approved | ",""))&amp;IF(J329="","No support | ","")&amp;IF(WEEKDAY(B329,2)&gt;5,"Weekend posting | ","")&amp;IF(COUNTIF(Settings!$A$14:$A$43,B329)&gt;0,"Holiday posting | ","")&amp;IF(B329&gt;Settings!$C$8,"Posted after close | ","")&amp;IF(OR(B329&lt;Settings!$C$6,B329&gt;Settings!$C$7),"Outside period | ","")&amp;IF(COUNTIF(Settings!$E$14:$E$43,C329&amp;"")&gt;0,"Sensitive account | ","")&amp;IF(AND(MAX(N(E329),N(F329))&gt;=Settings!$C$9,MOD(MAX(N(E329),N(F329)),Settings!$C$10)=0),"Round amount | ",""))-3)))</f>
        <v/>
      </c>
      <c r="M329" s="21" t="str">
        <f aca="false">IF(A329="","",IF(COUNTIF($A$9:A329,A329)=1,MAX($M$8:M328)+1,""))</f>
        <v/>
      </c>
    </row>
    <row r="330" customFormat="false" ht="15" hidden="false" customHeight="false" outlineLevel="0" collapsed="false">
      <c r="A330" s="8"/>
      <c r="B330" s="17"/>
      <c r="C330" s="19"/>
      <c r="D330" s="8"/>
      <c r="E330" s="18"/>
      <c r="F330" s="18"/>
      <c r="G330" s="8"/>
      <c r="H330" s="8"/>
      <c r="I330" s="8"/>
      <c r="J330" s="8"/>
      <c r="K330" s="10" t="str">
        <f aca="false">IF(A330="","",IF(ABS(SUMIFS($E$9:$E$2008,$A$9:$A$2008,A330)-SUMIFS($F$9:$F$2008,$A$9:$A$2008,A330))&lt;0.5,"Yes","No"))</f>
        <v/>
      </c>
      <c r="L330" s="10" t="str">
        <f aca="false">IF(A330="","",IF(IF(K330="No","Does not balance | ","")&amp;IF(I330="","Not approved | ",IF(UPPER(TRIM(H330))=UPPER(TRIM(I330)),"Self-approved | ",""))&amp;IF(J330="","No support | ","")&amp;IF(WEEKDAY(B330,2)&gt;5,"Weekend posting | ","")&amp;IF(COUNTIF(Settings!$A$14:$A$43,B330)&gt;0,"Holiday posting | ","")&amp;IF(B330&gt;Settings!$C$8,"Posted after close | ","")&amp;IF(OR(B330&lt;Settings!$C$6,B330&gt;Settings!$C$7),"Outside period | ","")&amp;IF(COUNTIF(Settings!$E$14:$E$43,C330&amp;"")&gt;0,"Sensitive account | ","")&amp;IF(AND(MAX(N(E330),N(F330))&gt;=Settings!$C$9,MOD(MAX(N(E330),N(F330)),Settings!$C$10)=0),"Round amount | ","")="","",LEFT(IF(K330="No","Does not balance | ","")&amp;IF(I330="","Not approved | ",IF(UPPER(TRIM(H330))=UPPER(TRIM(I330)),"Self-approved | ",""))&amp;IF(J330="","No support | ","")&amp;IF(WEEKDAY(B330,2)&gt;5,"Weekend posting | ","")&amp;IF(COUNTIF(Settings!$A$14:$A$43,B330)&gt;0,"Holiday posting | ","")&amp;IF(B330&gt;Settings!$C$8,"Posted after close | ","")&amp;IF(OR(B330&lt;Settings!$C$6,B330&gt;Settings!$C$7),"Outside period | ","")&amp;IF(COUNTIF(Settings!$E$14:$E$43,C330&amp;"")&gt;0,"Sensitive account | ","")&amp;IF(AND(MAX(N(E330),N(F330))&gt;=Settings!$C$9,MOD(MAX(N(E330),N(F330)),Settings!$C$10)=0),"Round amount | ",""),LEN(IF(K330="No","Does not balance | ","")&amp;IF(I330="","Not approved | ",IF(UPPER(TRIM(H330))=UPPER(TRIM(I330)),"Self-approved | ",""))&amp;IF(J330="","No support | ","")&amp;IF(WEEKDAY(B330,2)&gt;5,"Weekend posting | ","")&amp;IF(COUNTIF(Settings!$A$14:$A$43,B330)&gt;0,"Holiday posting | ","")&amp;IF(B330&gt;Settings!$C$8,"Posted after close | ","")&amp;IF(OR(B330&lt;Settings!$C$6,B330&gt;Settings!$C$7),"Outside period | ","")&amp;IF(COUNTIF(Settings!$E$14:$E$43,C330&amp;"")&gt;0,"Sensitive account | ","")&amp;IF(AND(MAX(N(E330),N(F330))&gt;=Settings!$C$9,MOD(MAX(N(E330),N(F330)),Settings!$C$10)=0),"Round amount | ",""))-3)))</f>
        <v/>
      </c>
      <c r="M330" s="21" t="str">
        <f aca="false">IF(A330="","",IF(COUNTIF($A$9:A330,A330)=1,MAX($M$8:M329)+1,""))</f>
        <v/>
      </c>
    </row>
    <row r="331" customFormat="false" ht="15" hidden="false" customHeight="false" outlineLevel="0" collapsed="false">
      <c r="A331" s="8"/>
      <c r="B331" s="17"/>
      <c r="C331" s="19"/>
      <c r="D331" s="8"/>
      <c r="E331" s="18"/>
      <c r="F331" s="18"/>
      <c r="G331" s="8"/>
      <c r="H331" s="8"/>
      <c r="I331" s="8"/>
      <c r="J331" s="8"/>
      <c r="K331" s="10" t="str">
        <f aca="false">IF(A331="","",IF(ABS(SUMIFS($E$9:$E$2008,$A$9:$A$2008,A331)-SUMIFS($F$9:$F$2008,$A$9:$A$2008,A331))&lt;0.5,"Yes","No"))</f>
        <v/>
      </c>
      <c r="L331" s="10" t="str">
        <f aca="false">IF(A331="","",IF(IF(K331="No","Does not balance | ","")&amp;IF(I331="","Not approved | ",IF(UPPER(TRIM(H331))=UPPER(TRIM(I331)),"Self-approved | ",""))&amp;IF(J331="","No support | ","")&amp;IF(WEEKDAY(B331,2)&gt;5,"Weekend posting | ","")&amp;IF(COUNTIF(Settings!$A$14:$A$43,B331)&gt;0,"Holiday posting | ","")&amp;IF(B331&gt;Settings!$C$8,"Posted after close | ","")&amp;IF(OR(B331&lt;Settings!$C$6,B331&gt;Settings!$C$7),"Outside period | ","")&amp;IF(COUNTIF(Settings!$E$14:$E$43,C331&amp;"")&gt;0,"Sensitive account | ","")&amp;IF(AND(MAX(N(E331),N(F331))&gt;=Settings!$C$9,MOD(MAX(N(E331),N(F331)),Settings!$C$10)=0),"Round amount | ","")="","",LEFT(IF(K331="No","Does not balance | ","")&amp;IF(I331="","Not approved | ",IF(UPPER(TRIM(H331))=UPPER(TRIM(I331)),"Self-approved | ",""))&amp;IF(J331="","No support | ","")&amp;IF(WEEKDAY(B331,2)&gt;5,"Weekend posting | ","")&amp;IF(COUNTIF(Settings!$A$14:$A$43,B331)&gt;0,"Holiday posting | ","")&amp;IF(B331&gt;Settings!$C$8,"Posted after close | ","")&amp;IF(OR(B331&lt;Settings!$C$6,B331&gt;Settings!$C$7),"Outside period | ","")&amp;IF(COUNTIF(Settings!$E$14:$E$43,C331&amp;"")&gt;0,"Sensitive account | ","")&amp;IF(AND(MAX(N(E331),N(F331))&gt;=Settings!$C$9,MOD(MAX(N(E331),N(F331)),Settings!$C$10)=0),"Round amount | ",""),LEN(IF(K331="No","Does not balance | ","")&amp;IF(I331="","Not approved | ",IF(UPPER(TRIM(H331))=UPPER(TRIM(I331)),"Self-approved | ",""))&amp;IF(J331="","No support | ","")&amp;IF(WEEKDAY(B331,2)&gt;5,"Weekend posting | ","")&amp;IF(COUNTIF(Settings!$A$14:$A$43,B331)&gt;0,"Holiday posting | ","")&amp;IF(B331&gt;Settings!$C$8,"Posted after close | ","")&amp;IF(OR(B331&lt;Settings!$C$6,B331&gt;Settings!$C$7),"Outside period | ","")&amp;IF(COUNTIF(Settings!$E$14:$E$43,C331&amp;"")&gt;0,"Sensitive account | ","")&amp;IF(AND(MAX(N(E331),N(F331))&gt;=Settings!$C$9,MOD(MAX(N(E331),N(F331)),Settings!$C$10)=0),"Round amount | ",""))-3)))</f>
        <v/>
      </c>
      <c r="M331" s="21" t="str">
        <f aca="false">IF(A331="","",IF(COUNTIF($A$9:A331,A331)=1,MAX($M$8:M330)+1,""))</f>
        <v/>
      </c>
    </row>
    <row r="332" customFormat="false" ht="15" hidden="false" customHeight="false" outlineLevel="0" collapsed="false">
      <c r="A332" s="8"/>
      <c r="B332" s="17"/>
      <c r="C332" s="19"/>
      <c r="D332" s="8"/>
      <c r="E332" s="18"/>
      <c r="F332" s="18"/>
      <c r="G332" s="8"/>
      <c r="H332" s="8"/>
      <c r="I332" s="8"/>
      <c r="J332" s="8"/>
      <c r="K332" s="10" t="str">
        <f aca="false">IF(A332="","",IF(ABS(SUMIFS($E$9:$E$2008,$A$9:$A$2008,A332)-SUMIFS($F$9:$F$2008,$A$9:$A$2008,A332))&lt;0.5,"Yes","No"))</f>
        <v/>
      </c>
      <c r="L332" s="10" t="str">
        <f aca="false">IF(A332="","",IF(IF(K332="No","Does not balance | ","")&amp;IF(I332="","Not approved | ",IF(UPPER(TRIM(H332))=UPPER(TRIM(I332)),"Self-approved | ",""))&amp;IF(J332="","No support | ","")&amp;IF(WEEKDAY(B332,2)&gt;5,"Weekend posting | ","")&amp;IF(COUNTIF(Settings!$A$14:$A$43,B332)&gt;0,"Holiday posting | ","")&amp;IF(B332&gt;Settings!$C$8,"Posted after close | ","")&amp;IF(OR(B332&lt;Settings!$C$6,B332&gt;Settings!$C$7),"Outside period | ","")&amp;IF(COUNTIF(Settings!$E$14:$E$43,C332&amp;"")&gt;0,"Sensitive account | ","")&amp;IF(AND(MAX(N(E332),N(F332))&gt;=Settings!$C$9,MOD(MAX(N(E332),N(F332)),Settings!$C$10)=0),"Round amount | ","")="","",LEFT(IF(K332="No","Does not balance | ","")&amp;IF(I332="","Not approved | ",IF(UPPER(TRIM(H332))=UPPER(TRIM(I332)),"Self-approved | ",""))&amp;IF(J332="","No support | ","")&amp;IF(WEEKDAY(B332,2)&gt;5,"Weekend posting | ","")&amp;IF(COUNTIF(Settings!$A$14:$A$43,B332)&gt;0,"Holiday posting | ","")&amp;IF(B332&gt;Settings!$C$8,"Posted after close | ","")&amp;IF(OR(B332&lt;Settings!$C$6,B332&gt;Settings!$C$7),"Outside period | ","")&amp;IF(COUNTIF(Settings!$E$14:$E$43,C332&amp;"")&gt;0,"Sensitive account | ","")&amp;IF(AND(MAX(N(E332),N(F332))&gt;=Settings!$C$9,MOD(MAX(N(E332),N(F332)),Settings!$C$10)=0),"Round amount | ",""),LEN(IF(K332="No","Does not balance | ","")&amp;IF(I332="","Not approved | ",IF(UPPER(TRIM(H332))=UPPER(TRIM(I332)),"Self-approved | ",""))&amp;IF(J332="","No support | ","")&amp;IF(WEEKDAY(B332,2)&gt;5,"Weekend posting | ","")&amp;IF(COUNTIF(Settings!$A$14:$A$43,B332)&gt;0,"Holiday posting | ","")&amp;IF(B332&gt;Settings!$C$8,"Posted after close | ","")&amp;IF(OR(B332&lt;Settings!$C$6,B332&gt;Settings!$C$7),"Outside period | ","")&amp;IF(COUNTIF(Settings!$E$14:$E$43,C332&amp;"")&gt;0,"Sensitive account | ","")&amp;IF(AND(MAX(N(E332),N(F332))&gt;=Settings!$C$9,MOD(MAX(N(E332),N(F332)),Settings!$C$10)=0),"Round amount | ",""))-3)))</f>
        <v/>
      </c>
      <c r="M332" s="21" t="str">
        <f aca="false">IF(A332="","",IF(COUNTIF($A$9:A332,A332)=1,MAX($M$8:M331)+1,""))</f>
        <v/>
      </c>
    </row>
    <row r="333" customFormat="false" ht="15" hidden="false" customHeight="false" outlineLevel="0" collapsed="false">
      <c r="A333" s="8"/>
      <c r="B333" s="17"/>
      <c r="C333" s="19"/>
      <c r="D333" s="8"/>
      <c r="E333" s="18"/>
      <c r="F333" s="18"/>
      <c r="G333" s="8"/>
      <c r="H333" s="8"/>
      <c r="I333" s="8"/>
      <c r="J333" s="8"/>
      <c r="K333" s="10" t="str">
        <f aca="false">IF(A333="","",IF(ABS(SUMIFS($E$9:$E$2008,$A$9:$A$2008,A333)-SUMIFS($F$9:$F$2008,$A$9:$A$2008,A333))&lt;0.5,"Yes","No"))</f>
        <v/>
      </c>
      <c r="L333" s="10" t="str">
        <f aca="false">IF(A333="","",IF(IF(K333="No","Does not balance | ","")&amp;IF(I333="","Not approved | ",IF(UPPER(TRIM(H333))=UPPER(TRIM(I333)),"Self-approved | ",""))&amp;IF(J333="","No support | ","")&amp;IF(WEEKDAY(B333,2)&gt;5,"Weekend posting | ","")&amp;IF(COUNTIF(Settings!$A$14:$A$43,B333)&gt;0,"Holiday posting | ","")&amp;IF(B333&gt;Settings!$C$8,"Posted after close | ","")&amp;IF(OR(B333&lt;Settings!$C$6,B333&gt;Settings!$C$7),"Outside period | ","")&amp;IF(COUNTIF(Settings!$E$14:$E$43,C333&amp;"")&gt;0,"Sensitive account | ","")&amp;IF(AND(MAX(N(E333),N(F333))&gt;=Settings!$C$9,MOD(MAX(N(E333),N(F333)),Settings!$C$10)=0),"Round amount | ","")="","",LEFT(IF(K333="No","Does not balance | ","")&amp;IF(I333="","Not approved | ",IF(UPPER(TRIM(H333))=UPPER(TRIM(I333)),"Self-approved | ",""))&amp;IF(J333="","No support | ","")&amp;IF(WEEKDAY(B333,2)&gt;5,"Weekend posting | ","")&amp;IF(COUNTIF(Settings!$A$14:$A$43,B333)&gt;0,"Holiday posting | ","")&amp;IF(B333&gt;Settings!$C$8,"Posted after close | ","")&amp;IF(OR(B333&lt;Settings!$C$6,B333&gt;Settings!$C$7),"Outside period | ","")&amp;IF(COUNTIF(Settings!$E$14:$E$43,C333&amp;"")&gt;0,"Sensitive account | ","")&amp;IF(AND(MAX(N(E333),N(F333))&gt;=Settings!$C$9,MOD(MAX(N(E333),N(F333)),Settings!$C$10)=0),"Round amount | ",""),LEN(IF(K333="No","Does not balance | ","")&amp;IF(I333="","Not approved | ",IF(UPPER(TRIM(H333))=UPPER(TRIM(I333)),"Self-approved | ",""))&amp;IF(J333="","No support | ","")&amp;IF(WEEKDAY(B333,2)&gt;5,"Weekend posting | ","")&amp;IF(COUNTIF(Settings!$A$14:$A$43,B333)&gt;0,"Holiday posting | ","")&amp;IF(B333&gt;Settings!$C$8,"Posted after close | ","")&amp;IF(OR(B333&lt;Settings!$C$6,B333&gt;Settings!$C$7),"Outside period | ","")&amp;IF(COUNTIF(Settings!$E$14:$E$43,C333&amp;"")&gt;0,"Sensitive account | ","")&amp;IF(AND(MAX(N(E333),N(F333))&gt;=Settings!$C$9,MOD(MAX(N(E333),N(F333)),Settings!$C$10)=0),"Round amount | ",""))-3)))</f>
        <v/>
      </c>
      <c r="M333" s="21" t="str">
        <f aca="false">IF(A333="","",IF(COUNTIF($A$9:A333,A333)=1,MAX($M$8:M332)+1,""))</f>
        <v/>
      </c>
    </row>
    <row r="334" customFormat="false" ht="15" hidden="false" customHeight="false" outlineLevel="0" collapsed="false">
      <c r="A334" s="8"/>
      <c r="B334" s="17"/>
      <c r="C334" s="19"/>
      <c r="D334" s="8"/>
      <c r="E334" s="18"/>
      <c r="F334" s="18"/>
      <c r="G334" s="8"/>
      <c r="H334" s="8"/>
      <c r="I334" s="8"/>
      <c r="J334" s="8"/>
      <c r="K334" s="10" t="str">
        <f aca="false">IF(A334="","",IF(ABS(SUMIFS($E$9:$E$2008,$A$9:$A$2008,A334)-SUMIFS($F$9:$F$2008,$A$9:$A$2008,A334))&lt;0.5,"Yes","No"))</f>
        <v/>
      </c>
      <c r="L334" s="10" t="str">
        <f aca="false">IF(A334="","",IF(IF(K334="No","Does not balance | ","")&amp;IF(I334="","Not approved | ",IF(UPPER(TRIM(H334))=UPPER(TRIM(I334)),"Self-approved | ",""))&amp;IF(J334="","No support | ","")&amp;IF(WEEKDAY(B334,2)&gt;5,"Weekend posting | ","")&amp;IF(COUNTIF(Settings!$A$14:$A$43,B334)&gt;0,"Holiday posting | ","")&amp;IF(B334&gt;Settings!$C$8,"Posted after close | ","")&amp;IF(OR(B334&lt;Settings!$C$6,B334&gt;Settings!$C$7),"Outside period | ","")&amp;IF(COUNTIF(Settings!$E$14:$E$43,C334&amp;"")&gt;0,"Sensitive account | ","")&amp;IF(AND(MAX(N(E334),N(F334))&gt;=Settings!$C$9,MOD(MAX(N(E334),N(F334)),Settings!$C$10)=0),"Round amount | ","")="","",LEFT(IF(K334="No","Does not balance | ","")&amp;IF(I334="","Not approved | ",IF(UPPER(TRIM(H334))=UPPER(TRIM(I334)),"Self-approved | ",""))&amp;IF(J334="","No support | ","")&amp;IF(WEEKDAY(B334,2)&gt;5,"Weekend posting | ","")&amp;IF(COUNTIF(Settings!$A$14:$A$43,B334)&gt;0,"Holiday posting | ","")&amp;IF(B334&gt;Settings!$C$8,"Posted after close | ","")&amp;IF(OR(B334&lt;Settings!$C$6,B334&gt;Settings!$C$7),"Outside period | ","")&amp;IF(COUNTIF(Settings!$E$14:$E$43,C334&amp;"")&gt;0,"Sensitive account | ","")&amp;IF(AND(MAX(N(E334),N(F334))&gt;=Settings!$C$9,MOD(MAX(N(E334),N(F334)),Settings!$C$10)=0),"Round amount | ",""),LEN(IF(K334="No","Does not balance | ","")&amp;IF(I334="","Not approved | ",IF(UPPER(TRIM(H334))=UPPER(TRIM(I334)),"Self-approved | ",""))&amp;IF(J334="","No support | ","")&amp;IF(WEEKDAY(B334,2)&gt;5,"Weekend posting | ","")&amp;IF(COUNTIF(Settings!$A$14:$A$43,B334)&gt;0,"Holiday posting | ","")&amp;IF(B334&gt;Settings!$C$8,"Posted after close | ","")&amp;IF(OR(B334&lt;Settings!$C$6,B334&gt;Settings!$C$7),"Outside period | ","")&amp;IF(COUNTIF(Settings!$E$14:$E$43,C334&amp;"")&gt;0,"Sensitive account | ","")&amp;IF(AND(MAX(N(E334),N(F334))&gt;=Settings!$C$9,MOD(MAX(N(E334),N(F334)),Settings!$C$10)=0),"Round amount | ",""))-3)))</f>
        <v/>
      </c>
      <c r="M334" s="21" t="str">
        <f aca="false">IF(A334="","",IF(COUNTIF($A$9:A334,A334)=1,MAX($M$8:M333)+1,""))</f>
        <v/>
      </c>
    </row>
    <row r="335" customFormat="false" ht="15" hidden="false" customHeight="false" outlineLevel="0" collapsed="false">
      <c r="A335" s="8"/>
      <c r="B335" s="17"/>
      <c r="C335" s="19"/>
      <c r="D335" s="8"/>
      <c r="E335" s="18"/>
      <c r="F335" s="18"/>
      <c r="G335" s="8"/>
      <c r="H335" s="8"/>
      <c r="I335" s="8"/>
      <c r="J335" s="8"/>
      <c r="K335" s="10" t="str">
        <f aca="false">IF(A335="","",IF(ABS(SUMIFS($E$9:$E$2008,$A$9:$A$2008,A335)-SUMIFS($F$9:$F$2008,$A$9:$A$2008,A335))&lt;0.5,"Yes","No"))</f>
        <v/>
      </c>
      <c r="L335" s="10" t="str">
        <f aca="false">IF(A335="","",IF(IF(K335="No","Does not balance | ","")&amp;IF(I335="","Not approved | ",IF(UPPER(TRIM(H335))=UPPER(TRIM(I335)),"Self-approved | ",""))&amp;IF(J335="","No support | ","")&amp;IF(WEEKDAY(B335,2)&gt;5,"Weekend posting | ","")&amp;IF(COUNTIF(Settings!$A$14:$A$43,B335)&gt;0,"Holiday posting | ","")&amp;IF(B335&gt;Settings!$C$8,"Posted after close | ","")&amp;IF(OR(B335&lt;Settings!$C$6,B335&gt;Settings!$C$7),"Outside period | ","")&amp;IF(COUNTIF(Settings!$E$14:$E$43,C335&amp;"")&gt;0,"Sensitive account | ","")&amp;IF(AND(MAX(N(E335),N(F335))&gt;=Settings!$C$9,MOD(MAX(N(E335),N(F335)),Settings!$C$10)=0),"Round amount | ","")="","",LEFT(IF(K335="No","Does not balance | ","")&amp;IF(I335="","Not approved | ",IF(UPPER(TRIM(H335))=UPPER(TRIM(I335)),"Self-approved | ",""))&amp;IF(J335="","No support | ","")&amp;IF(WEEKDAY(B335,2)&gt;5,"Weekend posting | ","")&amp;IF(COUNTIF(Settings!$A$14:$A$43,B335)&gt;0,"Holiday posting | ","")&amp;IF(B335&gt;Settings!$C$8,"Posted after close | ","")&amp;IF(OR(B335&lt;Settings!$C$6,B335&gt;Settings!$C$7),"Outside period | ","")&amp;IF(COUNTIF(Settings!$E$14:$E$43,C335&amp;"")&gt;0,"Sensitive account | ","")&amp;IF(AND(MAX(N(E335),N(F335))&gt;=Settings!$C$9,MOD(MAX(N(E335),N(F335)),Settings!$C$10)=0),"Round amount | ",""),LEN(IF(K335="No","Does not balance | ","")&amp;IF(I335="","Not approved | ",IF(UPPER(TRIM(H335))=UPPER(TRIM(I335)),"Self-approved | ",""))&amp;IF(J335="","No support | ","")&amp;IF(WEEKDAY(B335,2)&gt;5,"Weekend posting | ","")&amp;IF(COUNTIF(Settings!$A$14:$A$43,B335)&gt;0,"Holiday posting | ","")&amp;IF(B335&gt;Settings!$C$8,"Posted after close | ","")&amp;IF(OR(B335&lt;Settings!$C$6,B335&gt;Settings!$C$7),"Outside period | ","")&amp;IF(COUNTIF(Settings!$E$14:$E$43,C335&amp;"")&gt;0,"Sensitive account | ","")&amp;IF(AND(MAX(N(E335),N(F335))&gt;=Settings!$C$9,MOD(MAX(N(E335),N(F335)),Settings!$C$10)=0),"Round amount | ",""))-3)))</f>
        <v/>
      </c>
      <c r="M335" s="21" t="str">
        <f aca="false">IF(A335="","",IF(COUNTIF($A$9:A335,A335)=1,MAX($M$8:M334)+1,""))</f>
        <v/>
      </c>
    </row>
    <row r="336" customFormat="false" ht="15" hidden="false" customHeight="false" outlineLevel="0" collapsed="false">
      <c r="A336" s="8"/>
      <c r="B336" s="17"/>
      <c r="C336" s="19"/>
      <c r="D336" s="8"/>
      <c r="E336" s="18"/>
      <c r="F336" s="18"/>
      <c r="G336" s="8"/>
      <c r="H336" s="8"/>
      <c r="I336" s="8"/>
      <c r="J336" s="8"/>
      <c r="K336" s="10" t="str">
        <f aca="false">IF(A336="","",IF(ABS(SUMIFS($E$9:$E$2008,$A$9:$A$2008,A336)-SUMIFS($F$9:$F$2008,$A$9:$A$2008,A336))&lt;0.5,"Yes","No"))</f>
        <v/>
      </c>
      <c r="L336" s="10" t="str">
        <f aca="false">IF(A336="","",IF(IF(K336="No","Does not balance | ","")&amp;IF(I336="","Not approved | ",IF(UPPER(TRIM(H336))=UPPER(TRIM(I336)),"Self-approved | ",""))&amp;IF(J336="","No support | ","")&amp;IF(WEEKDAY(B336,2)&gt;5,"Weekend posting | ","")&amp;IF(COUNTIF(Settings!$A$14:$A$43,B336)&gt;0,"Holiday posting | ","")&amp;IF(B336&gt;Settings!$C$8,"Posted after close | ","")&amp;IF(OR(B336&lt;Settings!$C$6,B336&gt;Settings!$C$7),"Outside period | ","")&amp;IF(COUNTIF(Settings!$E$14:$E$43,C336&amp;"")&gt;0,"Sensitive account | ","")&amp;IF(AND(MAX(N(E336),N(F336))&gt;=Settings!$C$9,MOD(MAX(N(E336),N(F336)),Settings!$C$10)=0),"Round amount | ","")="","",LEFT(IF(K336="No","Does not balance | ","")&amp;IF(I336="","Not approved | ",IF(UPPER(TRIM(H336))=UPPER(TRIM(I336)),"Self-approved | ",""))&amp;IF(J336="","No support | ","")&amp;IF(WEEKDAY(B336,2)&gt;5,"Weekend posting | ","")&amp;IF(COUNTIF(Settings!$A$14:$A$43,B336)&gt;0,"Holiday posting | ","")&amp;IF(B336&gt;Settings!$C$8,"Posted after close | ","")&amp;IF(OR(B336&lt;Settings!$C$6,B336&gt;Settings!$C$7),"Outside period | ","")&amp;IF(COUNTIF(Settings!$E$14:$E$43,C336&amp;"")&gt;0,"Sensitive account | ","")&amp;IF(AND(MAX(N(E336),N(F336))&gt;=Settings!$C$9,MOD(MAX(N(E336),N(F336)),Settings!$C$10)=0),"Round amount | ",""),LEN(IF(K336="No","Does not balance | ","")&amp;IF(I336="","Not approved | ",IF(UPPER(TRIM(H336))=UPPER(TRIM(I336)),"Self-approved | ",""))&amp;IF(J336="","No support | ","")&amp;IF(WEEKDAY(B336,2)&gt;5,"Weekend posting | ","")&amp;IF(COUNTIF(Settings!$A$14:$A$43,B336)&gt;0,"Holiday posting | ","")&amp;IF(B336&gt;Settings!$C$8,"Posted after close | ","")&amp;IF(OR(B336&lt;Settings!$C$6,B336&gt;Settings!$C$7),"Outside period | ","")&amp;IF(COUNTIF(Settings!$E$14:$E$43,C336&amp;"")&gt;0,"Sensitive account | ","")&amp;IF(AND(MAX(N(E336),N(F336))&gt;=Settings!$C$9,MOD(MAX(N(E336),N(F336)),Settings!$C$10)=0),"Round amount | ",""))-3)))</f>
        <v/>
      </c>
      <c r="M336" s="21" t="str">
        <f aca="false">IF(A336="","",IF(COUNTIF($A$9:A336,A336)=1,MAX($M$8:M335)+1,""))</f>
        <v/>
      </c>
    </row>
    <row r="337" customFormat="false" ht="15" hidden="false" customHeight="false" outlineLevel="0" collapsed="false">
      <c r="A337" s="8"/>
      <c r="B337" s="17"/>
      <c r="C337" s="19"/>
      <c r="D337" s="8"/>
      <c r="E337" s="18"/>
      <c r="F337" s="18"/>
      <c r="G337" s="8"/>
      <c r="H337" s="8"/>
      <c r="I337" s="8"/>
      <c r="J337" s="8"/>
      <c r="K337" s="10" t="str">
        <f aca="false">IF(A337="","",IF(ABS(SUMIFS($E$9:$E$2008,$A$9:$A$2008,A337)-SUMIFS($F$9:$F$2008,$A$9:$A$2008,A337))&lt;0.5,"Yes","No"))</f>
        <v/>
      </c>
      <c r="L337" s="10" t="str">
        <f aca="false">IF(A337="","",IF(IF(K337="No","Does not balance | ","")&amp;IF(I337="","Not approved | ",IF(UPPER(TRIM(H337))=UPPER(TRIM(I337)),"Self-approved | ",""))&amp;IF(J337="","No support | ","")&amp;IF(WEEKDAY(B337,2)&gt;5,"Weekend posting | ","")&amp;IF(COUNTIF(Settings!$A$14:$A$43,B337)&gt;0,"Holiday posting | ","")&amp;IF(B337&gt;Settings!$C$8,"Posted after close | ","")&amp;IF(OR(B337&lt;Settings!$C$6,B337&gt;Settings!$C$7),"Outside period | ","")&amp;IF(COUNTIF(Settings!$E$14:$E$43,C337&amp;"")&gt;0,"Sensitive account | ","")&amp;IF(AND(MAX(N(E337),N(F337))&gt;=Settings!$C$9,MOD(MAX(N(E337),N(F337)),Settings!$C$10)=0),"Round amount | ","")="","",LEFT(IF(K337="No","Does not balance | ","")&amp;IF(I337="","Not approved | ",IF(UPPER(TRIM(H337))=UPPER(TRIM(I337)),"Self-approved | ",""))&amp;IF(J337="","No support | ","")&amp;IF(WEEKDAY(B337,2)&gt;5,"Weekend posting | ","")&amp;IF(COUNTIF(Settings!$A$14:$A$43,B337)&gt;0,"Holiday posting | ","")&amp;IF(B337&gt;Settings!$C$8,"Posted after close | ","")&amp;IF(OR(B337&lt;Settings!$C$6,B337&gt;Settings!$C$7),"Outside period | ","")&amp;IF(COUNTIF(Settings!$E$14:$E$43,C337&amp;"")&gt;0,"Sensitive account | ","")&amp;IF(AND(MAX(N(E337),N(F337))&gt;=Settings!$C$9,MOD(MAX(N(E337),N(F337)),Settings!$C$10)=0),"Round amount | ",""),LEN(IF(K337="No","Does not balance | ","")&amp;IF(I337="","Not approved | ",IF(UPPER(TRIM(H337))=UPPER(TRIM(I337)),"Self-approved | ",""))&amp;IF(J337="","No support | ","")&amp;IF(WEEKDAY(B337,2)&gt;5,"Weekend posting | ","")&amp;IF(COUNTIF(Settings!$A$14:$A$43,B337)&gt;0,"Holiday posting | ","")&amp;IF(B337&gt;Settings!$C$8,"Posted after close | ","")&amp;IF(OR(B337&lt;Settings!$C$6,B337&gt;Settings!$C$7),"Outside period | ","")&amp;IF(COUNTIF(Settings!$E$14:$E$43,C337&amp;"")&gt;0,"Sensitive account | ","")&amp;IF(AND(MAX(N(E337),N(F337))&gt;=Settings!$C$9,MOD(MAX(N(E337),N(F337)),Settings!$C$10)=0),"Round amount | ",""))-3)))</f>
        <v/>
      </c>
      <c r="M337" s="21" t="str">
        <f aca="false">IF(A337="","",IF(COUNTIF($A$9:A337,A337)=1,MAX($M$8:M336)+1,""))</f>
        <v/>
      </c>
    </row>
    <row r="338" customFormat="false" ht="15" hidden="false" customHeight="false" outlineLevel="0" collapsed="false">
      <c r="A338" s="8"/>
      <c r="B338" s="17"/>
      <c r="C338" s="19"/>
      <c r="D338" s="8"/>
      <c r="E338" s="18"/>
      <c r="F338" s="18"/>
      <c r="G338" s="8"/>
      <c r="H338" s="8"/>
      <c r="I338" s="8"/>
      <c r="J338" s="8"/>
      <c r="K338" s="10" t="str">
        <f aca="false">IF(A338="","",IF(ABS(SUMIFS($E$9:$E$2008,$A$9:$A$2008,A338)-SUMIFS($F$9:$F$2008,$A$9:$A$2008,A338))&lt;0.5,"Yes","No"))</f>
        <v/>
      </c>
      <c r="L338" s="10" t="str">
        <f aca="false">IF(A338="","",IF(IF(K338="No","Does not balance | ","")&amp;IF(I338="","Not approved | ",IF(UPPER(TRIM(H338))=UPPER(TRIM(I338)),"Self-approved | ",""))&amp;IF(J338="","No support | ","")&amp;IF(WEEKDAY(B338,2)&gt;5,"Weekend posting | ","")&amp;IF(COUNTIF(Settings!$A$14:$A$43,B338)&gt;0,"Holiday posting | ","")&amp;IF(B338&gt;Settings!$C$8,"Posted after close | ","")&amp;IF(OR(B338&lt;Settings!$C$6,B338&gt;Settings!$C$7),"Outside period | ","")&amp;IF(COUNTIF(Settings!$E$14:$E$43,C338&amp;"")&gt;0,"Sensitive account | ","")&amp;IF(AND(MAX(N(E338),N(F338))&gt;=Settings!$C$9,MOD(MAX(N(E338),N(F338)),Settings!$C$10)=0),"Round amount | ","")="","",LEFT(IF(K338="No","Does not balance | ","")&amp;IF(I338="","Not approved | ",IF(UPPER(TRIM(H338))=UPPER(TRIM(I338)),"Self-approved | ",""))&amp;IF(J338="","No support | ","")&amp;IF(WEEKDAY(B338,2)&gt;5,"Weekend posting | ","")&amp;IF(COUNTIF(Settings!$A$14:$A$43,B338)&gt;0,"Holiday posting | ","")&amp;IF(B338&gt;Settings!$C$8,"Posted after close | ","")&amp;IF(OR(B338&lt;Settings!$C$6,B338&gt;Settings!$C$7),"Outside period | ","")&amp;IF(COUNTIF(Settings!$E$14:$E$43,C338&amp;"")&gt;0,"Sensitive account | ","")&amp;IF(AND(MAX(N(E338),N(F338))&gt;=Settings!$C$9,MOD(MAX(N(E338),N(F338)),Settings!$C$10)=0),"Round amount | ",""),LEN(IF(K338="No","Does not balance | ","")&amp;IF(I338="","Not approved | ",IF(UPPER(TRIM(H338))=UPPER(TRIM(I338)),"Self-approved | ",""))&amp;IF(J338="","No support | ","")&amp;IF(WEEKDAY(B338,2)&gt;5,"Weekend posting | ","")&amp;IF(COUNTIF(Settings!$A$14:$A$43,B338)&gt;0,"Holiday posting | ","")&amp;IF(B338&gt;Settings!$C$8,"Posted after close | ","")&amp;IF(OR(B338&lt;Settings!$C$6,B338&gt;Settings!$C$7),"Outside period | ","")&amp;IF(COUNTIF(Settings!$E$14:$E$43,C338&amp;"")&gt;0,"Sensitive account | ","")&amp;IF(AND(MAX(N(E338),N(F338))&gt;=Settings!$C$9,MOD(MAX(N(E338),N(F338)),Settings!$C$10)=0),"Round amount | ",""))-3)))</f>
        <v/>
      </c>
      <c r="M338" s="21" t="str">
        <f aca="false">IF(A338="","",IF(COUNTIF($A$9:A338,A338)=1,MAX($M$8:M337)+1,""))</f>
        <v/>
      </c>
    </row>
    <row r="339" customFormat="false" ht="15" hidden="false" customHeight="false" outlineLevel="0" collapsed="false">
      <c r="A339" s="8"/>
      <c r="B339" s="17"/>
      <c r="C339" s="19"/>
      <c r="D339" s="8"/>
      <c r="E339" s="18"/>
      <c r="F339" s="18"/>
      <c r="G339" s="8"/>
      <c r="H339" s="8"/>
      <c r="I339" s="8"/>
      <c r="J339" s="8"/>
      <c r="K339" s="10" t="str">
        <f aca="false">IF(A339="","",IF(ABS(SUMIFS($E$9:$E$2008,$A$9:$A$2008,A339)-SUMIFS($F$9:$F$2008,$A$9:$A$2008,A339))&lt;0.5,"Yes","No"))</f>
        <v/>
      </c>
      <c r="L339" s="10" t="str">
        <f aca="false">IF(A339="","",IF(IF(K339="No","Does not balance | ","")&amp;IF(I339="","Not approved | ",IF(UPPER(TRIM(H339))=UPPER(TRIM(I339)),"Self-approved | ",""))&amp;IF(J339="","No support | ","")&amp;IF(WEEKDAY(B339,2)&gt;5,"Weekend posting | ","")&amp;IF(COUNTIF(Settings!$A$14:$A$43,B339)&gt;0,"Holiday posting | ","")&amp;IF(B339&gt;Settings!$C$8,"Posted after close | ","")&amp;IF(OR(B339&lt;Settings!$C$6,B339&gt;Settings!$C$7),"Outside period | ","")&amp;IF(COUNTIF(Settings!$E$14:$E$43,C339&amp;"")&gt;0,"Sensitive account | ","")&amp;IF(AND(MAX(N(E339),N(F339))&gt;=Settings!$C$9,MOD(MAX(N(E339),N(F339)),Settings!$C$10)=0),"Round amount | ","")="","",LEFT(IF(K339="No","Does not balance | ","")&amp;IF(I339="","Not approved | ",IF(UPPER(TRIM(H339))=UPPER(TRIM(I339)),"Self-approved | ",""))&amp;IF(J339="","No support | ","")&amp;IF(WEEKDAY(B339,2)&gt;5,"Weekend posting | ","")&amp;IF(COUNTIF(Settings!$A$14:$A$43,B339)&gt;0,"Holiday posting | ","")&amp;IF(B339&gt;Settings!$C$8,"Posted after close | ","")&amp;IF(OR(B339&lt;Settings!$C$6,B339&gt;Settings!$C$7),"Outside period | ","")&amp;IF(COUNTIF(Settings!$E$14:$E$43,C339&amp;"")&gt;0,"Sensitive account | ","")&amp;IF(AND(MAX(N(E339),N(F339))&gt;=Settings!$C$9,MOD(MAX(N(E339),N(F339)),Settings!$C$10)=0),"Round amount | ",""),LEN(IF(K339="No","Does not balance | ","")&amp;IF(I339="","Not approved | ",IF(UPPER(TRIM(H339))=UPPER(TRIM(I339)),"Self-approved | ",""))&amp;IF(J339="","No support | ","")&amp;IF(WEEKDAY(B339,2)&gt;5,"Weekend posting | ","")&amp;IF(COUNTIF(Settings!$A$14:$A$43,B339)&gt;0,"Holiday posting | ","")&amp;IF(B339&gt;Settings!$C$8,"Posted after close | ","")&amp;IF(OR(B339&lt;Settings!$C$6,B339&gt;Settings!$C$7),"Outside period | ","")&amp;IF(COUNTIF(Settings!$E$14:$E$43,C339&amp;"")&gt;0,"Sensitive account | ","")&amp;IF(AND(MAX(N(E339),N(F339))&gt;=Settings!$C$9,MOD(MAX(N(E339),N(F339)),Settings!$C$10)=0),"Round amount | ",""))-3)))</f>
        <v/>
      </c>
      <c r="M339" s="21" t="str">
        <f aca="false">IF(A339="","",IF(COUNTIF($A$9:A339,A339)=1,MAX($M$8:M338)+1,""))</f>
        <v/>
      </c>
    </row>
    <row r="340" customFormat="false" ht="15" hidden="false" customHeight="false" outlineLevel="0" collapsed="false">
      <c r="A340" s="8"/>
      <c r="B340" s="17"/>
      <c r="C340" s="19"/>
      <c r="D340" s="8"/>
      <c r="E340" s="18"/>
      <c r="F340" s="18"/>
      <c r="G340" s="8"/>
      <c r="H340" s="8"/>
      <c r="I340" s="8"/>
      <c r="J340" s="8"/>
      <c r="K340" s="10" t="str">
        <f aca="false">IF(A340="","",IF(ABS(SUMIFS($E$9:$E$2008,$A$9:$A$2008,A340)-SUMIFS($F$9:$F$2008,$A$9:$A$2008,A340))&lt;0.5,"Yes","No"))</f>
        <v/>
      </c>
      <c r="L340" s="10" t="str">
        <f aca="false">IF(A340="","",IF(IF(K340="No","Does not balance | ","")&amp;IF(I340="","Not approved | ",IF(UPPER(TRIM(H340))=UPPER(TRIM(I340)),"Self-approved | ",""))&amp;IF(J340="","No support | ","")&amp;IF(WEEKDAY(B340,2)&gt;5,"Weekend posting | ","")&amp;IF(COUNTIF(Settings!$A$14:$A$43,B340)&gt;0,"Holiday posting | ","")&amp;IF(B340&gt;Settings!$C$8,"Posted after close | ","")&amp;IF(OR(B340&lt;Settings!$C$6,B340&gt;Settings!$C$7),"Outside period | ","")&amp;IF(COUNTIF(Settings!$E$14:$E$43,C340&amp;"")&gt;0,"Sensitive account | ","")&amp;IF(AND(MAX(N(E340),N(F340))&gt;=Settings!$C$9,MOD(MAX(N(E340),N(F340)),Settings!$C$10)=0),"Round amount | ","")="","",LEFT(IF(K340="No","Does not balance | ","")&amp;IF(I340="","Not approved | ",IF(UPPER(TRIM(H340))=UPPER(TRIM(I340)),"Self-approved | ",""))&amp;IF(J340="","No support | ","")&amp;IF(WEEKDAY(B340,2)&gt;5,"Weekend posting | ","")&amp;IF(COUNTIF(Settings!$A$14:$A$43,B340)&gt;0,"Holiday posting | ","")&amp;IF(B340&gt;Settings!$C$8,"Posted after close | ","")&amp;IF(OR(B340&lt;Settings!$C$6,B340&gt;Settings!$C$7),"Outside period | ","")&amp;IF(COUNTIF(Settings!$E$14:$E$43,C340&amp;"")&gt;0,"Sensitive account | ","")&amp;IF(AND(MAX(N(E340),N(F340))&gt;=Settings!$C$9,MOD(MAX(N(E340),N(F340)),Settings!$C$10)=0),"Round amount | ",""),LEN(IF(K340="No","Does not balance | ","")&amp;IF(I340="","Not approved | ",IF(UPPER(TRIM(H340))=UPPER(TRIM(I340)),"Self-approved | ",""))&amp;IF(J340="","No support | ","")&amp;IF(WEEKDAY(B340,2)&gt;5,"Weekend posting | ","")&amp;IF(COUNTIF(Settings!$A$14:$A$43,B340)&gt;0,"Holiday posting | ","")&amp;IF(B340&gt;Settings!$C$8,"Posted after close | ","")&amp;IF(OR(B340&lt;Settings!$C$6,B340&gt;Settings!$C$7),"Outside period | ","")&amp;IF(COUNTIF(Settings!$E$14:$E$43,C340&amp;"")&gt;0,"Sensitive account | ","")&amp;IF(AND(MAX(N(E340),N(F340))&gt;=Settings!$C$9,MOD(MAX(N(E340),N(F340)),Settings!$C$10)=0),"Round amount | ",""))-3)))</f>
        <v/>
      </c>
      <c r="M340" s="21" t="str">
        <f aca="false">IF(A340="","",IF(COUNTIF($A$9:A340,A340)=1,MAX($M$8:M339)+1,""))</f>
        <v/>
      </c>
    </row>
    <row r="341" customFormat="false" ht="15" hidden="false" customHeight="false" outlineLevel="0" collapsed="false">
      <c r="A341" s="8"/>
      <c r="B341" s="17"/>
      <c r="C341" s="19"/>
      <c r="D341" s="8"/>
      <c r="E341" s="18"/>
      <c r="F341" s="18"/>
      <c r="G341" s="8"/>
      <c r="H341" s="8"/>
      <c r="I341" s="8"/>
      <c r="J341" s="8"/>
      <c r="K341" s="10" t="str">
        <f aca="false">IF(A341="","",IF(ABS(SUMIFS($E$9:$E$2008,$A$9:$A$2008,A341)-SUMIFS($F$9:$F$2008,$A$9:$A$2008,A341))&lt;0.5,"Yes","No"))</f>
        <v/>
      </c>
      <c r="L341" s="10" t="str">
        <f aca="false">IF(A341="","",IF(IF(K341="No","Does not balance | ","")&amp;IF(I341="","Not approved | ",IF(UPPER(TRIM(H341))=UPPER(TRIM(I341)),"Self-approved | ",""))&amp;IF(J341="","No support | ","")&amp;IF(WEEKDAY(B341,2)&gt;5,"Weekend posting | ","")&amp;IF(COUNTIF(Settings!$A$14:$A$43,B341)&gt;0,"Holiday posting | ","")&amp;IF(B341&gt;Settings!$C$8,"Posted after close | ","")&amp;IF(OR(B341&lt;Settings!$C$6,B341&gt;Settings!$C$7),"Outside period | ","")&amp;IF(COUNTIF(Settings!$E$14:$E$43,C341&amp;"")&gt;0,"Sensitive account | ","")&amp;IF(AND(MAX(N(E341),N(F341))&gt;=Settings!$C$9,MOD(MAX(N(E341),N(F341)),Settings!$C$10)=0),"Round amount | ","")="","",LEFT(IF(K341="No","Does not balance | ","")&amp;IF(I341="","Not approved | ",IF(UPPER(TRIM(H341))=UPPER(TRIM(I341)),"Self-approved | ",""))&amp;IF(J341="","No support | ","")&amp;IF(WEEKDAY(B341,2)&gt;5,"Weekend posting | ","")&amp;IF(COUNTIF(Settings!$A$14:$A$43,B341)&gt;0,"Holiday posting | ","")&amp;IF(B341&gt;Settings!$C$8,"Posted after close | ","")&amp;IF(OR(B341&lt;Settings!$C$6,B341&gt;Settings!$C$7),"Outside period | ","")&amp;IF(COUNTIF(Settings!$E$14:$E$43,C341&amp;"")&gt;0,"Sensitive account | ","")&amp;IF(AND(MAX(N(E341),N(F341))&gt;=Settings!$C$9,MOD(MAX(N(E341),N(F341)),Settings!$C$10)=0),"Round amount | ",""),LEN(IF(K341="No","Does not balance | ","")&amp;IF(I341="","Not approved | ",IF(UPPER(TRIM(H341))=UPPER(TRIM(I341)),"Self-approved | ",""))&amp;IF(J341="","No support | ","")&amp;IF(WEEKDAY(B341,2)&gt;5,"Weekend posting | ","")&amp;IF(COUNTIF(Settings!$A$14:$A$43,B341)&gt;0,"Holiday posting | ","")&amp;IF(B341&gt;Settings!$C$8,"Posted after close | ","")&amp;IF(OR(B341&lt;Settings!$C$6,B341&gt;Settings!$C$7),"Outside period | ","")&amp;IF(COUNTIF(Settings!$E$14:$E$43,C341&amp;"")&gt;0,"Sensitive account | ","")&amp;IF(AND(MAX(N(E341),N(F341))&gt;=Settings!$C$9,MOD(MAX(N(E341),N(F341)),Settings!$C$10)=0),"Round amount | ",""))-3)))</f>
        <v/>
      </c>
      <c r="M341" s="21" t="str">
        <f aca="false">IF(A341="","",IF(COUNTIF($A$9:A341,A341)=1,MAX($M$8:M340)+1,""))</f>
        <v/>
      </c>
    </row>
    <row r="342" customFormat="false" ht="15" hidden="false" customHeight="false" outlineLevel="0" collapsed="false">
      <c r="A342" s="8"/>
      <c r="B342" s="17"/>
      <c r="C342" s="19"/>
      <c r="D342" s="8"/>
      <c r="E342" s="18"/>
      <c r="F342" s="18"/>
      <c r="G342" s="8"/>
      <c r="H342" s="8"/>
      <c r="I342" s="8"/>
      <c r="J342" s="8"/>
      <c r="K342" s="10" t="str">
        <f aca="false">IF(A342="","",IF(ABS(SUMIFS($E$9:$E$2008,$A$9:$A$2008,A342)-SUMIFS($F$9:$F$2008,$A$9:$A$2008,A342))&lt;0.5,"Yes","No"))</f>
        <v/>
      </c>
      <c r="L342" s="10" t="str">
        <f aca="false">IF(A342="","",IF(IF(K342="No","Does not balance | ","")&amp;IF(I342="","Not approved | ",IF(UPPER(TRIM(H342))=UPPER(TRIM(I342)),"Self-approved | ",""))&amp;IF(J342="","No support | ","")&amp;IF(WEEKDAY(B342,2)&gt;5,"Weekend posting | ","")&amp;IF(COUNTIF(Settings!$A$14:$A$43,B342)&gt;0,"Holiday posting | ","")&amp;IF(B342&gt;Settings!$C$8,"Posted after close | ","")&amp;IF(OR(B342&lt;Settings!$C$6,B342&gt;Settings!$C$7),"Outside period | ","")&amp;IF(COUNTIF(Settings!$E$14:$E$43,C342&amp;"")&gt;0,"Sensitive account | ","")&amp;IF(AND(MAX(N(E342),N(F342))&gt;=Settings!$C$9,MOD(MAX(N(E342),N(F342)),Settings!$C$10)=0),"Round amount | ","")="","",LEFT(IF(K342="No","Does not balance | ","")&amp;IF(I342="","Not approved | ",IF(UPPER(TRIM(H342))=UPPER(TRIM(I342)),"Self-approved | ",""))&amp;IF(J342="","No support | ","")&amp;IF(WEEKDAY(B342,2)&gt;5,"Weekend posting | ","")&amp;IF(COUNTIF(Settings!$A$14:$A$43,B342)&gt;0,"Holiday posting | ","")&amp;IF(B342&gt;Settings!$C$8,"Posted after close | ","")&amp;IF(OR(B342&lt;Settings!$C$6,B342&gt;Settings!$C$7),"Outside period | ","")&amp;IF(COUNTIF(Settings!$E$14:$E$43,C342&amp;"")&gt;0,"Sensitive account | ","")&amp;IF(AND(MAX(N(E342),N(F342))&gt;=Settings!$C$9,MOD(MAX(N(E342),N(F342)),Settings!$C$10)=0),"Round amount | ",""),LEN(IF(K342="No","Does not balance | ","")&amp;IF(I342="","Not approved | ",IF(UPPER(TRIM(H342))=UPPER(TRIM(I342)),"Self-approved | ",""))&amp;IF(J342="","No support | ","")&amp;IF(WEEKDAY(B342,2)&gt;5,"Weekend posting | ","")&amp;IF(COUNTIF(Settings!$A$14:$A$43,B342)&gt;0,"Holiday posting | ","")&amp;IF(B342&gt;Settings!$C$8,"Posted after close | ","")&amp;IF(OR(B342&lt;Settings!$C$6,B342&gt;Settings!$C$7),"Outside period | ","")&amp;IF(COUNTIF(Settings!$E$14:$E$43,C342&amp;"")&gt;0,"Sensitive account | ","")&amp;IF(AND(MAX(N(E342),N(F342))&gt;=Settings!$C$9,MOD(MAX(N(E342),N(F342)),Settings!$C$10)=0),"Round amount | ",""))-3)))</f>
        <v/>
      </c>
      <c r="M342" s="21" t="str">
        <f aca="false">IF(A342="","",IF(COUNTIF($A$9:A342,A342)=1,MAX($M$8:M341)+1,""))</f>
        <v/>
      </c>
    </row>
    <row r="343" customFormat="false" ht="15" hidden="false" customHeight="false" outlineLevel="0" collapsed="false">
      <c r="A343" s="8"/>
      <c r="B343" s="17"/>
      <c r="C343" s="19"/>
      <c r="D343" s="8"/>
      <c r="E343" s="18"/>
      <c r="F343" s="18"/>
      <c r="G343" s="8"/>
      <c r="H343" s="8"/>
      <c r="I343" s="8"/>
      <c r="J343" s="8"/>
      <c r="K343" s="10" t="str">
        <f aca="false">IF(A343="","",IF(ABS(SUMIFS($E$9:$E$2008,$A$9:$A$2008,A343)-SUMIFS($F$9:$F$2008,$A$9:$A$2008,A343))&lt;0.5,"Yes","No"))</f>
        <v/>
      </c>
      <c r="L343" s="10" t="str">
        <f aca="false">IF(A343="","",IF(IF(K343="No","Does not balance | ","")&amp;IF(I343="","Not approved | ",IF(UPPER(TRIM(H343))=UPPER(TRIM(I343)),"Self-approved | ",""))&amp;IF(J343="","No support | ","")&amp;IF(WEEKDAY(B343,2)&gt;5,"Weekend posting | ","")&amp;IF(COUNTIF(Settings!$A$14:$A$43,B343)&gt;0,"Holiday posting | ","")&amp;IF(B343&gt;Settings!$C$8,"Posted after close | ","")&amp;IF(OR(B343&lt;Settings!$C$6,B343&gt;Settings!$C$7),"Outside period | ","")&amp;IF(COUNTIF(Settings!$E$14:$E$43,C343&amp;"")&gt;0,"Sensitive account | ","")&amp;IF(AND(MAX(N(E343),N(F343))&gt;=Settings!$C$9,MOD(MAX(N(E343),N(F343)),Settings!$C$10)=0),"Round amount | ","")="","",LEFT(IF(K343="No","Does not balance | ","")&amp;IF(I343="","Not approved | ",IF(UPPER(TRIM(H343))=UPPER(TRIM(I343)),"Self-approved | ",""))&amp;IF(J343="","No support | ","")&amp;IF(WEEKDAY(B343,2)&gt;5,"Weekend posting | ","")&amp;IF(COUNTIF(Settings!$A$14:$A$43,B343)&gt;0,"Holiday posting | ","")&amp;IF(B343&gt;Settings!$C$8,"Posted after close | ","")&amp;IF(OR(B343&lt;Settings!$C$6,B343&gt;Settings!$C$7),"Outside period | ","")&amp;IF(COUNTIF(Settings!$E$14:$E$43,C343&amp;"")&gt;0,"Sensitive account | ","")&amp;IF(AND(MAX(N(E343),N(F343))&gt;=Settings!$C$9,MOD(MAX(N(E343),N(F343)),Settings!$C$10)=0),"Round amount | ",""),LEN(IF(K343="No","Does not balance | ","")&amp;IF(I343="","Not approved | ",IF(UPPER(TRIM(H343))=UPPER(TRIM(I343)),"Self-approved | ",""))&amp;IF(J343="","No support | ","")&amp;IF(WEEKDAY(B343,2)&gt;5,"Weekend posting | ","")&amp;IF(COUNTIF(Settings!$A$14:$A$43,B343)&gt;0,"Holiday posting | ","")&amp;IF(B343&gt;Settings!$C$8,"Posted after close | ","")&amp;IF(OR(B343&lt;Settings!$C$6,B343&gt;Settings!$C$7),"Outside period | ","")&amp;IF(COUNTIF(Settings!$E$14:$E$43,C343&amp;"")&gt;0,"Sensitive account | ","")&amp;IF(AND(MAX(N(E343),N(F343))&gt;=Settings!$C$9,MOD(MAX(N(E343),N(F343)),Settings!$C$10)=0),"Round amount | ",""))-3)))</f>
        <v/>
      </c>
      <c r="M343" s="21" t="str">
        <f aca="false">IF(A343="","",IF(COUNTIF($A$9:A343,A343)=1,MAX($M$8:M342)+1,""))</f>
        <v/>
      </c>
    </row>
    <row r="344" customFormat="false" ht="15" hidden="false" customHeight="false" outlineLevel="0" collapsed="false">
      <c r="A344" s="8"/>
      <c r="B344" s="17"/>
      <c r="C344" s="19"/>
      <c r="D344" s="8"/>
      <c r="E344" s="18"/>
      <c r="F344" s="18"/>
      <c r="G344" s="8"/>
      <c r="H344" s="8"/>
      <c r="I344" s="8"/>
      <c r="J344" s="8"/>
      <c r="K344" s="10" t="str">
        <f aca="false">IF(A344="","",IF(ABS(SUMIFS($E$9:$E$2008,$A$9:$A$2008,A344)-SUMIFS($F$9:$F$2008,$A$9:$A$2008,A344))&lt;0.5,"Yes","No"))</f>
        <v/>
      </c>
      <c r="L344" s="10" t="str">
        <f aca="false">IF(A344="","",IF(IF(K344="No","Does not balance | ","")&amp;IF(I344="","Not approved | ",IF(UPPER(TRIM(H344))=UPPER(TRIM(I344)),"Self-approved | ",""))&amp;IF(J344="","No support | ","")&amp;IF(WEEKDAY(B344,2)&gt;5,"Weekend posting | ","")&amp;IF(COUNTIF(Settings!$A$14:$A$43,B344)&gt;0,"Holiday posting | ","")&amp;IF(B344&gt;Settings!$C$8,"Posted after close | ","")&amp;IF(OR(B344&lt;Settings!$C$6,B344&gt;Settings!$C$7),"Outside period | ","")&amp;IF(COUNTIF(Settings!$E$14:$E$43,C344&amp;"")&gt;0,"Sensitive account | ","")&amp;IF(AND(MAX(N(E344),N(F344))&gt;=Settings!$C$9,MOD(MAX(N(E344),N(F344)),Settings!$C$10)=0),"Round amount | ","")="","",LEFT(IF(K344="No","Does not balance | ","")&amp;IF(I344="","Not approved | ",IF(UPPER(TRIM(H344))=UPPER(TRIM(I344)),"Self-approved | ",""))&amp;IF(J344="","No support | ","")&amp;IF(WEEKDAY(B344,2)&gt;5,"Weekend posting | ","")&amp;IF(COUNTIF(Settings!$A$14:$A$43,B344)&gt;0,"Holiday posting | ","")&amp;IF(B344&gt;Settings!$C$8,"Posted after close | ","")&amp;IF(OR(B344&lt;Settings!$C$6,B344&gt;Settings!$C$7),"Outside period | ","")&amp;IF(COUNTIF(Settings!$E$14:$E$43,C344&amp;"")&gt;0,"Sensitive account | ","")&amp;IF(AND(MAX(N(E344),N(F344))&gt;=Settings!$C$9,MOD(MAX(N(E344),N(F344)),Settings!$C$10)=0),"Round amount | ",""),LEN(IF(K344="No","Does not balance | ","")&amp;IF(I344="","Not approved | ",IF(UPPER(TRIM(H344))=UPPER(TRIM(I344)),"Self-approved | ",""))&amp;IF(J344="","No support | ","")&amp;IF(WEEKDAY(B344,2)&gt;5,"Weekend posting | ","")&amp;IF(COUNTIF(Settings!$A$14:$A$43,B344)&gt;0,"Holiday posting | ","")&amp;IF(B344&gt;Settings!$C$8,"Posted after close | ","")&amp;IF(OR(B344&lt;Settings!$C$6,B344&gt;Settings!$C$7),"Outside period | ","")&amp;IF(COUNTIF(Settings!$E$14:$E$43,C344&amp;"")&gt;0,"Sensitive account | ","")&amp;IF(AND(MAX(N(E344),N(F344))&gt;=Settings!$C$9,MOD(MAX(N(E344),N(F344)),Settings!$C$10)=0),"Round amount | ",""))-3)))</f>
        <v/>
      </c>
      <c r="M344" s="21" t="str">
        <f aca="false">IF(A344="","",IF(COUNTIF($A$9:A344,A344)=1,MAX($M$8:M343)+1,""))</f>
        <v/>
      </c>
    </row>
    <row r="345" customFormat="false" ht="15" hidden="false" customHeight="false" outlineLevel="0" collapsed="false">
      <c r="A345" s="8"/>
      <c r="B345" s="17"/>
      <c r="C345" s="19"/>
      <c r="D345" s="8"/>
      <c r="E345" s="18"/>
      <c r="F345" s="18"/>
      <c r="G345" s="8"/>
      <c r="H345" s="8"/>
      <c r="I345" s="8"/>
      <c r="J345" s="8"/>
      <c r="K345" s="10" t="str">
        <f aca="false">IF(A345="","",IF(ABS(SUMIFS($E$9:$E$2008,$A$9:$A$2008,A345)-SUMIFS($F$9:$F$2008,$A$9:$A$2008,A345))&lt;0.5,"Yes","No"))</f>
        <v/>
      </c>
      <c r="L345" s="10" t="str">
        <f aca="false">IF(A345="","",IF(IF(K345="No","Does not balance | ","")&amp;IF(I345="","Not approved | ",IF(UPPER(TRIM(H345))=UPPER(TRIM(I345)),"Self-approved | ",""))&amp;IF(J345="","No support | ","")&amp;IF(WEEKDAY(B345,2)&gt;5,"Weekend posting | ","")&amp;IF(COUNTIF(Settings!$A$14:$A$43,B345)&gt;0,"Holiday posting | ","")&amp;IF(B345&gt;Settings!$C$8,"Posted after close | ","")&amp;IF(OR(B345&lt;Settings!$C$6,B345&gt;Settings!$C$7),"Outside period | ","")&amp;IF(COUNTIF(Settings!$E$14:$E$43,C345&amp;"")&gt;0,"Sensitive account | ","")&amp;IF(AND(MAX(N(E345),N(F345))&gt;=Settings!$C$9,MOD(MAX(N(E345),N(F345)),Settings!$C$10)=0),"Round amount | ","")="","",LEFT(IF(K345="No","Does not balance | ","")&amp;IF(I345="","Not approved | ",IF(UPPER(TRIM(H345))=UPPER(TRIM(I345)),"Self-approved | ",""))&amp;IF(J345="","No support | ","")&amp;IF(WEEKDAY(B345,2)&gt;5,"Weekend posting | ","")&amp;IF(COUNTIF(Settings!$A$14:$A$43,B345)&gt;0,"Holiday posting | ","")&amp;IF(B345&gt;Settings!$C$8,"Posted after close | ","")&amp;IF(OR(B345&lt;Settings!$C$6,B345&gt;Settings!$C$7),"Outside period | ","")&amp;IF(COUNTIF(Settings!$E$14:$E$43,C345&amp;"")&gt;0,"Sensitive account | ","")&amp;IF(AND(MAX(N(E345),N(F345))&gt;=Settings!$C$9,MOD(MAX(N(E345),N(F345)),Settings!$C$10)=0),"Round amount | ",""),LEN(IF(K345="No","Does not balance | ","")&amp;IF(I345="","Not approved | ",IF(UPPER(TRIM(H345))=UPPER(TRIM(I345)),"Self-approved | ",""))&amp;IF(J345="","No support | ","")&amp;IF(WEEKDAY(B345,2)&gt;5,"Weekend posting | ","")&amp;IF(COUNTIF(Settings!$A$14:$A$43,B345)&gt;0,"Holiday posting | ","")&amp;IF(B345&gt;Settings!$C$8,"Posted after close | ","")&amp;IF(OR(B345&lt;Settings!$C$6,B345&gt;Settings!$C$7),"Outside period | ","")&amp;IF(COUNTIF(Settings!$E$14:$E$43,C345&amp;"")&gt;0,"Sensitive account | ","")&amp;IF(AND(MAX(N(E345),N(F345))&gt;=Settings!$C$9,MOD(MAX(N(E345),N(F345)),Settings!$C$10)=0),"Round amount | ",""))-3)))</f>
        <v/>
      </c>
      <c r="M345" s="21" t="str">
        <f aca="false">IF(A345="","",IF(COUNTIF($A$9:A345,A345)=1,MAX($M$8:M344)+1,""))</f>
        <v/>
      </c>
    </row>
    <row r="346" customFormat="false" ht="15" hidden="false" customHeight="false" outlineLevel="0" collapsed="false">
      <c r="A346" s="8"/>
      <c r="B346" s="17"/>
      <c r="C346" s="19"/>
      <c r="D346" s="8"/>
      <c r="E346" s="18"/>
      <c r="F346" s="18"/>
      <c r="G346" s="8"/>
      <c r="H346" s="8"/>
      <c r="I346" s="8"/>
      <c r="J346" s="8"/>
      <c r="K346" s="10" t="str">
        <f aca="false">IF(A346="","",IF(ABS(SUMIFS($E$9:$E$2008,$A$9:$A$2008,A346)-SUMIFS($F$9:$F$2008,$A$9:$A$2008,A346))&lt;0.5,"Yes","No"))</f>
        <v/>
      </c>
      <c r="L346" s="10" t="str">
        <f aca="false">IF(A346="","",IF(IF(K346="No","Does not balance | ","")&amp;IF(I346="","Not approved | ",IF(UPPER(TRIM(H346))=UPPER(TRIM(I346)),"Self-approved | ",""))&amp;IF(J346="","No support | ","")&amp;IF(WEEKDAY(B346,2)&gt;5,"Weekend posting | ","")&amp;IF(COUNTIF(Settings!$A$14:$A$43,B346)&gt;0,"Holiday posting | ","")&amp;IF(B346&gt;Settings!$C$8,"Posted after close | ","")&amp;IF(OR(B346&lt;Settings!$C$6,B346&gt;Settings!$C$7),"Outside period | ","")&amp;IF(COUNTIF(Settings!$E$14:$E$43,C346&amp;"")&gt;0,"Sensitive account | ","")&amp;IF(AND(MAX(N(E346),N(F346))&gt;=Settings!$C$9,MOD(MAX(N(E346),N(F346)),Settings!$C$10)=0),"Round amount | ","")="","",LEFT(IF(K346="No","Does not balance | ","")&amp;IF(I346="","Not approved | ",IF(UPPER(TRIM(H346))=UPPER(TRIM(I346)),"Self-approved | ",""))&amp;IF(J346="","No support | ","")&amp;IF(WEEKDAY(B346,2)&gt;5,"Weekend posting | ","")&amp;IF(COUNTIF(Settings!$A$14:$A$43,B346)&gt;0,"Holiday posting | ","")&amp;IF(B346&gt;Settings!$C$8,"Posted after close | ","")&amp;IF(OR(B346&lt;Settings!$C$6,B346&gt;Settings!$C$7),"Outside period | ","")&amp;IF(COUNTIF(Settings!$E$14:$E$43,C346&amp;"")&gt;0,"Sensitive account | ","")&amp;IF(AND(MAX(N(E346),N(F346))&gt;=Settings!$C$9,MOD(MAX(N(E346),N(F346)),Settings!$C$10)=0),"Round amount | ",""),LEN(IF(K346="No","Does not balance | ","")&amp;IF(I346="","Not approved | ",IF(UPPER(TRIM(H346))=UPPER(TRIM(I346)),"Self-approved | ",""))&amp;IF(J346="","No support | ","")&amp;IF(WEEKDAY(B346,2)&gt;5,"Weekend posting | ","")&amp;IF(COUNTIF(Settings!$A$14:$A$43,B346)&gt;0,"Holiday posting | ","")&amp;IF(B346&gt;Settings!$C$8,"Posted after close | ","")&amp;IF(OR(B346&lt;Settings!$C$6,B346&gt;Settings!$C$7),"Outside period | ","")&amp;IF(COUNTIF(Settings!$E$14:$E$43,C346&amp;"")&gt;0,"Sensitive account | ","")&amp;IF(AND(MAX(N(E346),N(F346))&gt;=Settings!$C$9,MOD(MAX(N(E346),N(F346)),Settings!$C$10)=0),"Round amount | ",""))-3)))</f>
        <v/>
      </c>
      <c r="M346" s="21" t="str">
        <f aca="false">IF(A346="","",IF(COUNTIF($A$9:A346,A346)=1,MAX($M$8:M345)+1,""))</f>
        <v/>
      </c>
    </row>
    <row r="347" customFormat="false" ht="15" hidden="false" customHeight="false" outlineLevel="0" collapsed="false">
      <c r="A347" s="8"/>
      <c r="B347" s="17"/>
      <c r="C347" s="19"/>
      <c r="D347" s="8"/>
      <c r="E347" s="18"/>
      <c r="F347" s="18"/>
      <c r="G347" s="8"/>
      <c r="H347" s="8"/>
      <c r="I347" s="8"/>
      <c r="J347" s="8"/>
      <c r="K347" s="10" t="str">
        <f aca="false">IF(A347="","",IF(ABS(SUMIFS($E$9:$E$2008,$A$9:$A$2008,A347)-SUMIFS($F$9:$F$2008,$A$9:$A$2008,A347))&lt;0.5,"Yes","No"))</f>
        <v/>
      </c>
      <c r="L347" s="10" t="str">
        <f aca="false">IF(A347="","",IF(IF(K347="No","Does not balance | ","")&amp;IF(I347="","Not approved | ",IF(UPPER(TRIM(H347))=UPPER(TRIM(I347)),"Self-approved | ",""))&amp;IF(J347="","No support | ","")&amp;IF(WEEKDAY(B347,2)&gt;5,"Weekend posting | ","")&amp;IF(COUNTIF(Settings!$A$14:$A$43,B347)&gt;0,"Holiday posting | ","")&amp;IF(B347&gt;Settings!$C$8,"Posted after close | ","")&amp;IF(OR(B347&lt;Settings!$C$6,B347&gt;Settings!$C$7),"Outside period | ","")&amp;IF(COUNTIF(Settings!$E$14:$E$43,C347&amp;"")&gt;0,"Sensitive account | ","")&amp;IF(AND(MAX(N(E347),N(F347))&gt;=Settings!$C$9,MOD(MAX(N(E347),N(F347)),Settings!$C$10)=0),"Round amount | ","")="","",LEFT(IF(K347="No","Does not balance | ","")&amp;IF(I347="","Not approved | ",IF(UPPER(TRIM(H347))=UPPER(TRIM(I347)),"Self-approved | ",""))&amp;IF(J347="","No support | ","")&amp;IF(WEEKDAY(B347,2)&gt;5,"Weekend posting | ","")&amp;IF(COUNTIF(Settings!$A$14:$A$43,B347)&gt;0,"Holiday posting | ","")&amp;IF(B347&gt;Settings!$C$8,"Posted after close | ","")&amp;IF(OR(B347&lt;Settings!$C$6,B347&gt;Settings!$C$7),"Outside period | ","")&amp;IF(COUNTIF(Settings!$E$14:$E$43,C347&amp;"")&gt;0,"Sensitive account | ","")&amp;IF(AND(MAX(N(E347),N(F347))&gt;=Settings!$C$9,MOD(MAX(N(E347),N(F347)),Settings!$C$10)=0),"Round amount | ",""),LEN(IF(K347="No","Does not balance | ","")&amp;IF(I347="","Not approved | ",IF(UPPER(TRIM(H347))=UPPER(TRIM(I347)),"Self-approved | ",""))&amp;IF(J347="","No support | ","")&amp;IF(WEEKDAY(B347,2)&gt;5,"Weekend posting | ","")&amp;IF(COUNTIF(Settings!$A$14:$A$43,B347)&gt;0,"Holiday posting | ","")&amp;IF(B347&gt;Settings!$C$8,"Posted after close | ","")&amp;IF(OR(B347&lt;Settings!$C$6,B347&gt;Settings!$C$7),"Outside period | ","")&amp;IF(COUNTIF(Settings!$E$14:$E$43,C347&amp;"")&gt;0,"Sensitive account | ","")&amp;IF(AND(MAX(N(E347),N(F347))&gt;=Settings!$C$9,MOD(MAX(N(E347),N(F347)),Settings!$C$10)=0),"Round amount | ",""))-3)))</f>
        <v/>
      </c>
      <c r="M347" s="21" t="str">
        <f aca="false">IF(A347="","",IF(COUNTIF($A$9:A347,A347)=1,MAX($M$8:M346)+1,""))</f>
        <v/>
      </c>
    </row>
    <row r="348" customFormat="false" ht="15" hidden="false" customHeight="false" outlineLevel="0" collapsed="false">
      <c r="A348" s="8"/>
      <c r="B348" s="17"/>
      <c r="C348" s="19"/>
      <c r="D348" s="8"/>
      <c r="E348" s="18"/>
      <c r="F348" s="18"/>
      <c r="G348" s="8"/>
      <c r="H348" s="8"/>
      <c r="I348" s="8"/>
      <c r="J348" s="8"/>
      <c r="K348" s="10" t="str">
        <f aca="false">IF(A348="","",IF(ABS(SUMIFS($E$9:$E$2008,$A$9:$A$2008,A348)-SUMIFS($F$9:$F$2008,$A$9:$A$2008,A348))&lt;0.5,"Yes","No"))</f>
        <v/>
      </c>
      <c r="L348" s="10" t="str">
        <f aca="false">IF(A348="","",IF(IF(K348="No","Does not balance | ","")&amp;IF(I348="","Not approved | ",IF(UPPER(TRIM(H348))=UPPER(TRIM(I348)),"Self-approved | ",""))&amp;IF(J348="","No support | ","")&amp;IF(WEEKDAY(B348,2)&gt;5,"Weekend posting | ","")&amp;IF(COUNTIF(Settings!$A$14:$A$43,B348)&gt;0,"Holiday posting | ","")&amp;IF(B348&gt;Settings!$C$8,"Posted after close | ","")&amp;IF(OR(B348&lt;Settings!$C$6,B348&gt;Settings!$C$7),"Outside period | ","")&amp;IF(COUNTIF(Settings!$E$14:$E$43,C348&amp;"")&gt;0,"Sensitive account | ","")&amp;IF(AND(MAX(N(E348),N(F348))&gt;=Settings!$C$9,MOD(MAX(N(E348),N(F348)),Settings!$C$10)=0),"Round amount | ","")="","",LEFT(IF(K348="No","Does not balance | ","")&amp;IF(I348="","Not approved | ",IF(UPPER(TRIM(H348))=UPPER(TRIM(I348)),"Self-approved | ",""))&amp;IF(J348="","No support | ","")&amp;IF(WEEKDAY(B348,2)&gt;5,"Weekend posting | ","")&amp;IF(COUNTIF(Settings!$A$14:$A$43,B348)&gt;0,"Holiday posting | ","")&amp;IF(B348&gt;Settings!$C$8,"Posted after close | ","")&amp;IF(OR(B348&lt;Settings!$C$6,B348&gt;Settings!$C$7),"Outside period | ","")&amp;IF(COUNTIF(Settings!$E$14:$E$43,C348&amp;"")&gt;0,"Sensitive account | ","")&amp;IF(AND(MAX(N(E348),N(F348))&gt;=Settings!$C$9,MOD(MAX(N(E348),N(F348)),Settings!$C$10)=0),"Round amount | ",""),LEN(IF(K348="No","Does not balance | ","")&amp;IF(I348="","Not approved | ",IF(UPPER(TRIM(H348))=UPPER(TRIM(I348)),"Self-approved | ",""))&amp;IF(J348="","No support | ","")&amp;IF(WEEKDAY(B348,2)&gt;5,"Weekend posting | ","")&amp;IF(COUNTIF(Settings!$A$14:$A$43,B348)&gt;0,"Holiday posting | ","")&amp;IF(B348&gt;Settings!$C$8,"Posted after close | ","")&amp;IF(OR(B348&lt;Settings!$C$6,B348&gt;Settings!$C$7),"Outside period | ","")&amp;IF(COUNTIF(Settings!$E$14:$E$43,C348&amp;"")&gt;0,"Sensitive account | ","")&amp;IF(AND(MAX(N(E348),N(F348))&gt;=Settings!$C$9,MOD(MAX(N(E348),N(F348)),Settings!$C$10)=0),"Round amount | ",""))-3)))</f>
        <v/>
      </c>
      <c r="M348" s="21" t="str">
        <f aca="false">IF(A348="","",IF(COUNTIF($A$9:A348,A348)=1,MAX($M$8:M347)+1,""))</f>
        <v/>
      </c>
    </row>
    <row r="349" customFormat="false" ht="15" hidden="false" customHeight="false" outlineLevel="0" collapsed="false">
      <c r="A349" s="8"/>
      <c r="B349" s="17"/>
      <c r="C349" s="19"/>
      <c r="D349" s="8"/>
      <c r="E349" s="18"/>
      <c r="F349" s="18"/>
      <c r="G349" s="8"/>
      <c r="H349" s="8"/>
      <c r="I349" s="8"/>
      <c r="J349" s="8"/>
      <c r="K349" s="10" t="str">
        <f aca="false">IF(A349="","",IF(ABS(SUMIFS($E$9:$E$2008,$A$9:$A$2008,A349)-SUMIFS($F$9:$F$2008,$A$9:$A$2008,A349))&lt;0.5,"Yes","No"))</f>
        <v/>
      </c>
      <c r="L349" s="10" t="str">
        <f aca="false">IF(A349="","",IF(IF(K349="No","Does not balance | ","")&amp;IF(I349="","Not approved | ",IF(UPPER(TRIM(H349))=UPPER(TRIM(I349)),"Self-approved | ",""))&amp;IF(J349="","No support | ","")&amp;IF(WEEKDAY(B349,2)&gt;5,"Weekend posting | ","")&amp;IF(COUNTIF(Settings!$A$14:$A$43,B349)&gt;0,"Holiday posting | ","")&amp;IF(B349&gt;Settings!$C$8,"Posted after close | ","")&amp;IF(OR(B349&lt;Settings!$C$6,B349&gt;Settings!$C$7),"Outside period | ","")&amp;IF(COUNTIF(Settings!$E$14:$E$43,C349&amp;"")&gt;0,"Sensitive account | ","")&amp;IF(AND(MAX(N(E349),N(F349))&gt;=Settings!$C$9,MOD(MAX(N(E349),N(F349)),Settings!$C$10)=0),"Round amount | ","")="","",LEFT(IF(K349="No","Does not balance | ","")&amp;IF(I349="","Not approved | ",IF(UPPER(TRIM(H349))=UPPER(TRIM(I349)),"Self-approved | ",""))&amp;IF(J349="","No support | ","")&amp;IF(WEEKDAY(B349,2)&gt;5,"Weekend posting | ","")&amp;IF(COUNTIF(Settings!$A$14:$A$43,B349)&gt;0,"Holiday posting | ","")&amp;IF(B349&gt;Settings!$C$8,"Posted after close | ","")&amp;IF(OR(B349&lt;Settings!$C$6,B349&gt;Settings!$C$7),"Outside period | ","")&amp;IF(COUNTIF(Settings!$E$14:$E$43,C349&amp;"")&gt;0,"Sensitive account | ","")&amp;IF(AND(MAX(N(E349),N(F349))&gt;=Settings!$C$9,MOD(MAX(N(E349),N(F349)),Settings!$C$10)=0),"Round amount | ",""),LEN(IF(K349="No","Does not balance | ","")&amp;IF(I349="","Not approved | ",IF(UPPER(TRIM(H349))=UPPER(TRIM(I349)),"Self-approved | ",""))&amp;IF(J349="","No support | ","")&amp;IF(WEEKDAY(B349,2)&gt;5,"Weekend posting | ","")&amp;IF(COUNTIF(Settings!$A$14:$A$43,B349)&gt;0,"Holiday posting | ","")&amp;IF(B349&gt;Settings!$C$8,"Posted after close | ","")&amp;IF(OR(B349&lt;Settings!$C$6,B349&gt;Settings!$C$7),"Outside period | ","")&amp;IF(COUNTIF(Settings!$E$14:$E$43,C349&amp;"")&gt;0,"Sensitive account | ","")&amp;IF(AND(MAX(N(E349),N(F349))&gt;=Settings!$C$9,MOD(MAX(N(E349),N(F349)),Settings!$C$10)=0),"Round amount | ",""))-3)))</f>
        <v/>
      </c>
      <c r="M349" s="21" t="str">
        <f aca="false">IF(A349="","",IF(COUNTIF($A$9:A349,A349)=1,MAX($M$8:M348)+1,""))</f>
        <v/>
      </c>
    </row>
    <row r="350" customFormat="false" ht="15" hidden="false" customHeight="false" outlineLevel="0" collapsed="false">
      <c r="A350" s="8"/>
      <c r="B350" s="17"/>
      <c r="C350" s="19"/>
      <c r="D350" s="8"/>
      <c r="E350" s="18"/>
      <c r="F350" s="18"/>
      <c r="G350" s="8"/>
      <c r="H350" s="8"/>
      <c r="I350" s="8"/>
      <c r="J350" s="8"/>
      <c r="K350" s="10" t="str">
        <f aca="false">IF(A350="","",IF(ABS(SUMIFS($E$9:$E$2008,$A$9:$A$2008,A350)-SUMIFS($F$9:$F$2008,$A$9:$A$2008,A350))&lt;0.5,"Yes","No"))</f>
        <v/>
      </c>
      <c r="L350" s="10" t="str">
        <f aca="false">IF(A350="","",IF(IF(K350="No","Does not balance | ","")&amp;IF(I350="","Not approved | ",IF(UPPER(TRIM(H350))=UPPER(TRIM(I350)),"Self-approved | ",""))&amp;IF(J350="","No support | ","")&amp;IF(WEEKDAY(B350,2)&gt;5,"Weekend posting | ","")&amp;IF(COUNTIF(Settings!$A$14:$A$43,B350)&gt;0,"Holiday posting | ","")&amp;IF(B350&gt;Settings!$C$8,"Posted after close | ","")&amp;IF(OR(B350&lt;Settings!$C$6,B350&gt;Settings!$C$7),"Outside period | ","")&amp;IF(COUNTIF(Settings!$E$14:$E$43,C350&amp;"")&gt;0,"Sensitive account | ","")&amp;IF(AND(MAX(N(E350),N(F350))&gt;=Settings!$C$9,MOD(MAX(N(E350),N(F350)),Settings!$C$10)=0),"Round amount | ","")="","",LEFT(IF(K350="No","Does not balance | ","")&amp;IF(I350="","Not approved | ",IF(UPPER(TRIM(H350))=UPPER(TRIM(I350)),"Self-approved | ",""))&amp;IF(J350="","No support | ","")&amp;IF(WEEKDAY(B350,2)&gt;5,"Weekend posting | ","")&amp;IF(COUNTIF(Settings!$A$14:$A$43,B350)&gt;0,"Holiday posting | ","")&amp;IF(B350&gt;Settings!$C$8,"Posted after close | ","")&amp;IF(OR(B350&lt;Settings!$C$6,B350&gt;Settings!$C$7),"Outside period | ","")&amp;IF(COUNTIF(Settings!$E$14:$E$43,C350&amp;"")&gt;0,"Sensitive account | ","")&amp;IF(AND(MAX(N(E350),N(F350))&gt;=Settings!$C$9,MOD(MAX(N(E350),N(F350)),Settings!$C$10)=0),"Round amount | ",""),LEN(IF(K350="No","Does not balance | ","")&amp;IF(I350="","Not approved | ",IF(UPPER(TRIM(H350))=UPPER(TRIM(I350)),"Self-approved | ",""))&amp;IF(J350="","No support | ","")&amp;IF(WEEKDAY(B350,2)&gt;5,"Weekend posting | ","")&amp;IF(COUNTIF(Settings!$A$14:$A$43,B350)&gt;0,"Holiday posting | ","")&amp;IF(B350&gt;Settings!$C$8,"Posted after close | ","")&amp;IF(OR(B350&lt;Settings!$C$6,B350&gt;Settings!$C$7),"Outside period | ","")&amp;IF(COUNTIF(Settings!$E$14:$E$43,C350&amp;"")&gt;0,"Sensitive account | ","")&amp;IF(AND(MAX(N(E350),N(F350))&gt;=Settings!$C$9,MOD(MAX(N(E350),N(F350)),Settings!$C$10)=0),"Round amount | ",""))-3)))</f>
        <v/>
      </c>
      <c r="M350" s="21" t="str">
        <f aca="false">IF(A350="","",IF(COUNTIF($A$9:A350,A350)=1,MAX($M$8:M349)+1,""))</f>
        <v/>
      </c>
    </row>
    <row r="351" customFormat="false" ht="15" hidden="false" customHeight="false" outlineLevel="0" collapsed="false">
      <c r="A351" s="8"/>
      <c r="B351" s="17"/>
      <c r="C351" s="19"/>
      <c r="D351" s="8"/>
      <c r="E351" s="18"/>
      <c r="F351" s="18"/>
      <c r="G351" s="8"/>
      <c r="H351" s="8"/>
      <c r="I351" s="8"/>
      <c r="J351" s="8"/>
      <c r="K351" s="10" t="str">
        <f aca="false">IF(A351="","",IF(ABS(SUMIFS($E$9:$E$2008,$A$9:$A$2008,A351)-SUMIFS($F$9:$F$2008,$A$9:$A$2008,A351))&lt;0.5,"Yes","No"))</f>
        <v/>
      </c>
      <c r="L351" s="10" t="str">
        <f aca="false">IF(A351="","",IF(IF(K351="No","Does not balance | ","")&amp;IF(I351="","Not approved | ",IF(UPPER(TRIM(H351))=UPPER(TRIM(I351)),"Self-approved | ",""))&amp;IF(J351="","No support | ","")&amp;IF(WEEKDAY(B351,2)&gt;5,"Weekend posting | ","")&amp;IF(COUNTIF(Settings!$A$14:$A$43,B351)&gt;0,"Holiday posting | ","")&amp;IF(B351&gt;Settings!$C$8,"Posted after close | ","")&amp;IF(OR(B351&lt;Settings!$C$6,B351&gt;Settings!$C$7),"Outside period | ","")&amp;IF(COUNTIF(Settings!$E$14:$E$43,C351&amp;"")&gt;0,"Sensitive account | ","")&amp;IF(AND(MAX(N(E351),N(F351))&gt;=Settings!$C$9,MOD(MAX(N(E351),N(F351)),Settings!$C$10)=0),"Round amount | ","")="","",LEFT(IF(K351="No","Does not balance | ","")&amp;IF(I351="","Not approved | ",IF(UPPER(TRIM(H351))=UPPER(TRIM(I351)),"Self-approved | ",""))&amp;IF(J351="","No support | ","")&amp;IF(WEEKDAY(B351,2)&gt;5,"Weekend posting | ","")&amp;IF(COUNTIF(Settings!$A$14:$A$43,B351)&gt;0,"Holiday posting | ","")&amp;IF(B351&gt;Settings!$C$8,"Posted after close | ","")&amp;IF(OR(B351&lt;Settings!$C$6,B351&gt;Settings!$C$7),"Outside period | ","")&amp;IF(COUNTIF(Settings!$E$14:$E$43,C351&amp;"")&gt;0,"Sensitive account | ","")&amp;IF(AND(MAX(N(E351),N(F351))&gt;=Settings!$C$9,MOD(MAX(N(E351),N(F351)),Settings!$C$10)=0),"Round amount | ",""),LEN(IF(K351="No","Does not balance | ","")&amp;IF(I351="","Not approved | ",IF(UPPER(TRIM(H351))=UPPER(TRIM(I351)),"Self-approved | ",""))&amp;IF(J351="","No support | ","")&amp;IF(WEEKDAY(B351,2)&gt;5,"Weekend posting | ","")&amp;IF(COUNTIF(Settings!$A$14:$A$43,B351)&gt;0,"Holiday posting | ","")&amp;IF(B351&gt;Settings!$C$8,"Posted after close | ","")&amp;IF(OR(B351&lt;Settings!$C$6,B351&gt;Settings!$C$7),"Outside period | ","")&amp;IF(COUNTIF(Settings!$E$14:$E$43,C351&amp;"")&gt;0,"Sensitive account | ","")&amp;IF(AND(MAX(N(E351),N(F351))&gt;=Settings!$C$9,MOD(MAX(N(E351),N(F351)),Settings!$C$10)=0),"Round amount | ",""))-3)))</f>
        <v/>
      </c>
      <c r="M351" s="21" t="str">
        <f aca="false">IF(A351="","",IF(COUNTIF($A$9:A351,A351)=1,MAX($M$8:M350)+1,""))</f>
        <v/>
      </c>
    </row>
    <row r="352" customFormat="false" ht="15" hidden="false" customHeight="false" outlineLevel="0" collapsed="false">
      <c r="A352" s="8"/>
      <c r="B352" s="17"/>
      <c r="C352" s="19"/>
      <c r="D352" s="8"/>
      <c r="E352" s="18"/>
      <c r="F352" s="18"/>
      <c r="G352" s="8"/>
      <c r="H352" s="8"/>
      <c r="I352" s="8"/>
      <c r="J352" s="8"/>
      <c r="K352" s="10" t="str">
        <f aca="false">IF(A352="","",IF(ABS(SUMIFS($E$9:$E$2008,$A$9:$A$2008,A352)-SUMIFS($F$9:$F$2008,$A$9:$A$2008,A352))&lt;0.5,"Yes","No"))</f>
        <v/>
      </c>
      <c r="L352" s="10" t="str">
        <f aca="false">IF(A352="","",IF(IF(K352="No","Does not balance | ","")&amp;IF(I352="","Not approved | ",IF(UPPER(TRIM(H352))=UPPER(TRIM(I352)),"Self-approved | ",""))&amp;IF(J352="","No support | ","")&amp;IF(WEEKDAY(B352,2)&gt;5,"Weekend posting | ","")&amp;IF(COUNTIF(Settings!$A$14:$A$43,B352)&gt;0,"Holiday posting | ","")&amp;IF(B352&gt;Settings!$C$8,"Posted after close | ","")&amp;IF(OR(B352&lt;Settings!$C$6,B352&gt;Settings!$C$7),"Outside period | ","")&amp;IF(COUNTIF(Settings!$E$14:$E$43,C352&amp;"")&gt;0,"Sensitive account | ","")&amp;IF(AND(MAX(N(E352),N(F352))&gt;=Settings!$C$9,MOD(MAX(N(E352),N(F352)),Settings!$C$10)=0),"Round amount | ","")="","",LEFT(IF(K352="No","Does not balance | ","")&amp;IF(I352="","Not approved | ",IF(UPPER(TRIM(H352))=UPPER(TRIM(I352)),"Self-approved | ",""))&amp;IF(J352="","No support | ","")&amp;IF(WEEKDAY(B352,2)&gt;5,"Weekend posting | ","")&amp;IF(COUNTIF(Settings!$A$14:$A$43,B352)&gt;0,"Holiday posting | ","")&amp;IF(B352&gt;Settings!$C$8,"Posted after close | ","")&amp;IF(OR(B352&lt;Settings!$C$6,B352&gt;Settings!$C$7),"Outside period | ","")&amp;IF(COUNTIF(Settings!$E$14:$E$43,C352&amp;"")&gt;0,"Sensitive account | ","")&amp;IF(AND(MAX(N(E352),N(F352))&gt;=Settings!$C$9,MOD(MAX(N(E352),N(F352)),Settings!$C$10)=0),"Round amount | ",""),LEN(IF(K352="No","Does not balance | ","")&amp;IF(I352="","Not approved | ",IF(UPPER(TRIM(H352))=UPPER(TRIM(I352)),"Self-approved | ",""))&amp;IF(J352="","No support | ","")&amp;IF(WEEKDAY(B352,2)&gt;5,"Weekend posting | ","")&amp;IF(COUNTIF(Settings!$A$14:$A$43,B352)&gt;0,"Holiday posting | ","")&amp;IF(B352&gt;Settings!$C$8,"Posted after close | ","")&amp;IF(OR(B352&lt;Settings!$C$6,B352&gt;Settings!$C$7),"Outside period | ","")&amp;IF(COUNTIF(Settings!$E$14:$E$43,C352&amp;"")&gt;0,"Sensitive account | ","")&amp;IF(AND(MAX(N(E352),N(F352))&gt;=Settings!$C$9,MOD(MAX(N(E352),N(F352)),Settings!$C$10)=0),"Round amount | ",""))-3)))</f>
        <v/>
      </c>
      <c r="M352" s="21" t="str">
        <f aca="false">IF(A352="","",IF(COUNTIF($A$9:A352,A352)=1,MAX($M$8:M351)+1,""))</f>
        <v/>
      </c>
    </row>
    <row r="353" customFormat="false" ht="15" hidden="false" customHeight="false" outlineLevel="0" collapsed="false">
      <c r="A353" s="8"/>
      <c r="B353" s="17"/>
      <c r="C353" s="19"/>
      <c r="D353" s="8"/>
      <c r="E353" s="18"/>
      <c r="F353" s="18"/>
      <c r="G353" s="8"/>
      <c r="H353" s="8"/>
      <c r="I353" s="8"/>
      <c r="J353" s="8"/>
      <c r="K353" s="10" t="str">
        <f aca="false">IF(A353="","",IF(ABS(SUMIFS($E$9:$E$2008,$A$9:$A$2008,A353)-SUMIFS($F$9:$F$2008,$A$9:$A$2008,A353))&lt;0.5,"Yes","No"))</f>
        <v/>
      </c>
      <c r="L353" s="10" t="str">
        <f aca="false">IF(A353="","",IF(IF(K353="No","Does not balance | ","")&amp;IF(I353="","Not approved | ",IF(UPPER(TRIM(H353))=UPPER(TRIM(I353)),"Self-approved | ",""))&amp;IF(J353="","No support | ","")&amp;IF(WEEKDAY(B353,2)&gt;5,"Weekend posting | ","")&amp;IF(COUNTIF(Settings!$A$14:$A$43,B353)&gt;0,"Holiday posting | ","")&amp;IF(B353&gt;Settings!$C$8,"Posted after close | ","")&amp;IF(OR(B353&lt;Settings!$C$6,B353&gt;Settings!$C$7),"Outside period | ","")&amp;IF(COUNTIF(Settings!$E$14:$E$43,C353&amp;"")&gt;0,"Sensitive account | ","")&amp;IF(AND(MAX(N(E353),N(F353))&gt;=Settings!$C$9,MOD(MAX(N(E353),N(F353)),Settings!$C$10)=0),"Round amount | ","")="","",LEFT(IF(K353="No","Does not balance | ","")&amp;IF(I353="","Not approved | ",IF(UPPER(TRIM(H353))=UPPER(TRIM(I353)),"Self-approved | ",""))&amp;IF(J353="","No support | ","")&amp;IF(WEEKDAY(B353,2)&gt;5,"Weekend posting | ","")&amp;IF(COUNTIF(Settings!$A$14:$A$43,B353)&gt;0,"Holiday posting | ","")&amp;IF(B353&gt;Settings!$C$8,"Posted after close | ","")&amp;IF(OR(B353&lt;Settings!$C$6,B353&gt;Settings!$C$7),"Outside period | ","")&amp;IF(COUNTIF(Settings!$E$14:$E$43,C353&amp;"")&gt;0,"Sensitive account | ","")&amp;IF(AND(MAX(N(E353),N(F353))&gt;=Settings!$C$9,MOD(MAX(N(E353),N(F353)),Settings!$C$10)=0),"Round amount | ",""),LEN(IF(K353="No","Does not balance | ","")&amp;IF(I353="","Not approved | ",IF(UPPER(TRIM(H353))=UPPER(TRIM(I353)),"Self-approved | ",""))&amp;IF(J353="","No support | ","")&amp;IF(WEEKDAY(B353,2)&gt;5,"Weekend posting | ","")&amp;IF(COUNTIF(Settings!$A$14:$A$43,B353)&gt;0,"Holiday posting | ","")&amp;IF(B353&gt;Settings!$C$8,"Posted after close | ","")&amp;IF(OR(B353&lt;Settings!$C$6,B353&gt;Settings!$C$7),"Outside period | ","")&amp;IF(COUNTIF(Settings!$E$14:$E$43,C353&amp;"")&gt;0,"Sensitive account | ","")&amp;IF(AND(MAX(N(E353),N(F353))&gt;=Settings!$C$9,MOD(MAX(N(E353),N(F353)),Settings!$C$10)=0),"Round amount | ",""))-3)))</f>
        <v/>
      </c>
      <c r="M353" s="21" t="str">
        <f aca="false">IF(A353="","",IF(COUNTIF($A$9:A353,A353)=1,MAX($M$8:M352)+1,""))</f>
        <v/>
      </c>
    </row>
    <row r="354" customFormat="false" ht="15" hidden="false" customHeight="false" outlineLevel="0" collapsed="false">
      <c r="A354" s="8"/>
      <c r="B354" s="17"/>
      <c r="C354" s="19"/>
      <c r="D354" s="8"/>
      <c r="E354" s="18"/>
      <c r="F354" s="18"/>
      <c r="G354" s="8"/>
      <c r="H354" s="8"/>
      <c r="I354" s="8"/>
      <c r="J354" s="8"/>
      <c r="K354" s="10" t="str">
        <f aca="false">IF(A354="","",IF(ABS(SUMIFS($E$9:$E$2008,$A$9:$A$2008,A354)-SUMIFS($F$9:$F$2008,$A$9:$A$2008,A354))&lt;0.5,"Yes","No"))</f>
        <v/>
      </c>
      <c r="L354" s="10" t="str">
        <f aca="false">IF(A354="","",IF(IF(K354="No","Does not balance | ","")&amp;IF(I354="","Not approved | ",IF(UPPER(TRIM(H354))=UPPER(TRIM(I354)),"Self-approved | ",""))&amp;IF(J354="","No support | ","")&amp;IF(WEEKDAY(B354,2)&gt;5,"Weekend posting | ","")&amp;IF(COUNTIF(Settings!$A$14:$A$43,B354)&gt;0,"Holiday posting | ","")&amp;IF(B354&gt;Settings!$C$8,"Posted after close | ","")&amp;IF(OR(B354&lt;Settings!$C$6,B354&gt;Settings!$C$7),"Outside period | ","")&amp;IF(COUNTIF(Settings!$E$14:$E$43,C354&amp;"")&gt;0,"Sensitive account | ","")&amp;IF(AND(MAX(N(E354),N(F354))&gt;=Settings!$C$9,MOD(MAX(N(E354),N(F354)),Settings!$C$10)=0),"Round amount | ","")="","",LEFT(IF(K354="No","Does not balance | ","")&amp;IF(I354="","Not approved | ",IF(UPPER(TRIM(H354))=UPPER(TRIM(I354)),"Self-approved | ",""))&amp;IF(J354="","No support | ","")&amp;IF(WEEKDAY(B354,2)&gt;5,"Weekend posting | ","")&amp;IF(COUNTIF(Settings!$A$14:$A$43,B354)&gt;0,"Holiday posting | ","")&amp;IF(B354&gt;Settings!$C$8,"Posted after close | ","")&amp;IF(OR(B354&lt;Settings!$C$6,B354&gt;Settings!$C$7),"Outside period | ","")&amp;IF(COUNTIF(Settings!$E$14:$E$43,C354&amp;"")&gt;0,"Sensitive account | ","")&amp;IF(AND(MAX(N(E354),N(F354))&gt;=Settings!$C$9,MOD(MAX(N(E354),N(F354)),Settings!$C$10)=0),"Round amount | ",""),LEN(IF(K354="No","Does not balance | ","")&amp;IF(I354="","Not approved | ",IF(UPPER(TRIM(H354))=UPPER(TRIM(I354)),"Self-approved | ",""))&amp;IF(J354="","No support | ","")&amp;IF(WEEKDAY(B354,2)&gt;5,"Weekend posting | ","")&amp;IF(COUNTIF(Settings!$A$14:$A$43,B354)&gt;0,"Holiday posting | ","")&amp;IF(B354&gt;Settings!$C$8,"Posted after close | ","")&amp;IF(OR(B354&lt;Settings!$C$6,B354&gt;Settings!$C$7),"Outside period | ","")&amp;IF(COUNTIF(Settings!$E$14:$E$43,C354&amp;"")&gt;0,"Sensitive account | ","")&amp;IF(AND(MAX(N(E354),N(F354))&gt;=Settings!$C$9,MOD(MAX(N(E354),N(F354)),Settings!$C$10)=0),"Round amount | ",""))-3)))</f>
        <v/>
      </c>
      <c r="M354" s="21" t="str">
        <f aca="false">IF(A354="","",IF(COUNTIF($A$9:A354,A354)=1,MAX($M$8:M353)+1,""))</f>
        <v/>
      </c>
    </row>
    <row r="355" customFormat="false" ht="15" hidden="false" customHeight="false" outlineLevel="0" collapsed="false">
      <c r="A355" s="8"/>
      <c r="B355" s="17"/>
      <c r="C355" s="19"/>
      <c r="D355" s="8"/>
      <c r="E355" s="18"/>
      <c r="F355" s="18"/>
      <c r="G355" s="8"/>
      <c r="H355" s="8"/>
      <c r="I355" s="8"/>
      <c r="J355" s="8"/>
      <c r="K355" s="10" t="str">
        <f aca="false">IF(A355="","",IF(ABS(SUMIFS($E$9:$E$2008,$A$9:$A$2008,A355)-SUMIFS($F$9:$F$2008,$A$9:$A$2008,A355))&lt;0.5,"Yes","No"))</f>
        <v/>
      </c>
      <c r="L355" s="10" t="str">
        <f aca="false">IF(A355="","",IF(IF(K355="No","Does not balance | ","")&amp;IF(I355="","Not approved | ",IF(UPPER(TRIM(H355))=UPPER(TRIM(I355)),"Self-approved | ",""))&amp;IF(J355="","No support | ","")&amp;IF(WEEKDAY(B355,2)&gt;5,"Weekend posting | ","")&amp;IF(COUNTIF(Settings!$A$14:$A$43,B355)&gt;0,"Holiday posting | ","")&amp;IF(B355&gt;Settings!$C$8,"Posted after close | ","")&amp;IF(OR(B355&lt;Settings!$C$6,B355&gt;Settings!$C$7),"Outside period | ","")&amp;IF(COUNTIF(Settings!$E$14:$E$43,C355&amp;"")&gt;0,"Sensitive account | ","")&amp;IF(AND(MAX(N(E355),N(F355))&gt;=Settings!$C$9,MOD(MAX(N(E355),N(F355)),Settings!$C$10)=0),"Round amount | ","")="","",LEFT(IF(K355="No","Does not balance | ","")&amp;IF(I355="","Not approved | ",IF(UPPER(TRIM(H355))=UPPER(TRIM(I355)),"Self-approved | ",""))&amp;IF(J355="","No support | ","")&amp;IF(WEEKDAY(B355,2)&gt;5,"Weekend posting | ","")&amp;IF(COUNTIF(Settings!$A$14:$A$43,B355)&gt;0,"Holiday posting | ","")&amp;IF(B355&gt;Settings!$C$8,"Posted after close | ","")&amp;IF(OR(B355&lt;Settings!$C$6,B355&gt;Settings!$C$7),"Outside period | ","")&amp;IF(COUNTIF(Settings!$E$14:$E$43,C355&amp;"")&gt;0,"Sensitive account | ","")&amp;IF(AND(MAX(N(E355),N(F355))&gt;=Settings!$C$9,MOD(MAX(N(E355),N(F355)),Settings!$C$10)=0),"Round amount | ",""),LEN(IF(K355="No","Does not balance | ","")&amp;IF(I355="","Not approved | ",IF(UPPER(TRIM(H355))=UPPER(TRIM(I355)),"Self-approved | ",""))&amp;IF(J355="","No support | ","")&amp;IF(WEEKDAY(B355,2)&gt;5,"Weekend posting | ","")&amp;IF(COUNTIF(Settings!$A$14:$A$43,B355)&gt;0,"Holiday posting | ","")&amp;IF(B355&gt;Settings!$C$8,"Posted after close | ","")&amp;IF(OR(B355&lt;Settings!$C$6,B355&gt;Settings!$C$7),"Outside period | ","")&amp;IF(COUNTIF(Settings!$E$14:$E$43,C355&amp;"")&gt;0,"Sensitive account | ","")&amp;IF(AND(MAX(N(E355),N(F355))&gt;=Settings!$C$9,MOD(MAX(N(E355),N(F355)),Settings!$C$10)=0),"Round amount | ",""))-3)))</f>
        <v/>
      </c>
      <c r="M355" s="21" t="str">
        <f aca="false">IF(A355="","",IF(COUNTIF($A$9:A355,A355)=1,MAX($M$8:M354)+1,""))</f>
        <v/>
      </c>
    </row>
    <row r="356" customFormat="false" ht="15" hidden="false" customHeight="false" outlineLevel="0" collapsed="false">
      <c r="A356" s="8"/>
      <c r="B356" s="17"/>
      <c r="C356" s="19"/>
      <c r="D356" s="8"/>
      <c r="E356" s="18"/>
      <c r="F356" s="18"/>
      <c r="G356" s="8"/>
      <c r="H356" s="8"/>
      <c r="I356" s="8"/>
      <c r="J356" s="8"/>
      <c r="K356" s="10" t="str">
        <f aca="false">IF(A356="","",IF(ABS(SUMIFS($E$9:$E$2008,$A$9:$A$2008,A356)-SUMIFS($F$9:$F$2008,$A$9:$A$2008,A356))&lt;0.5,"Yes","No"))</f>
        <v/>
      </c>
      <c r="L356" s="10" t="str">
        <f aca="false">IF(A356="","",IF(IF(K356="No","Does not balance | ","")&amp;IF(I356="","Not approved | ",IF(UPPER(TRIM(H356))=UPPER(TRIM(I356)),"Self-approved | ",""))&amp;IF(J356="","No support | ","")&amp;IF(WEEKDAY(B356,2)&gt;5,"Weekend posting | ","")&amp;IF(COUNTIF(Settings!$A$14:$A$43,B356)&gt;0,"Holiday posting | ","")&amp;IF(B356&gt;Settings!$C$8,"Posted after close | ","")&amp;IF(OR(B356&lt;Settings!$C$6,B356&gt;Settings!$C$7),"Outside period | ","")&amp;IF(COUNTIF(Settings!$E$14:$E$43,C356&amp;"")&gt;0,"Sensitive account | ","")&amp;IF(AND(MAX(N(E356),N(F356))&gt;=Settings!$C$9,MOD(MAX(N(E356),N(F356)),Settings!$C$10)=0),"Round amount | ","")="","",LEFT(IF(K356="No","Does not balance | ","")&amp;IF(I356="","Not approved | ",IF(UPPER(TRIM(H356))=UPPER(TRIM(I356)),"Self-approved | ",""))&amp;IF(J356="","No support | ","")&amp;IF(WEEKDAY(B356,2)&gt;5,"Weekend posting | ","")&amp;IF(COUNTIF(Settings!$A$14:$A$43,B356)&gt;0,"Holiday posting | ","")&amp;IF(B356&gt;Settings!$C$8,"Posted after close | ","")&amp;IF(OR(B356&lt;Settings!$C$6,B356&gt;Settings!$C$7),"Outside period | ","")&amp;IF(COUNTIF(Settings!$E$14:$E$43,C356&amp;"")&gt;0,"Sensitive account | ","")&amp;IF(AND(MAX(N(E356),N(F356))&gt;=Settings!$C$9,MOD(MAX(N(E356),N(F356)),Settings!$C$10)=0),"Round amount | ",""),LEN(IF(K356="No","Does not balance | ","")&amp;IF(I356="","Not approved | ",IF(UPPER(TRIM(H356))=UPPER(TRIM(I356)),"Self-approved | ",""))&amp;IF(J356="","No support | ","")&amp;IF(WEEKDAY(B356,2)&gt;5,"Weekend posting | ","")&amp;IF(COUNTIF(Settings!$A$14:$A$43,B356)&gt;0,"Holiday posting | ","")&amp;IF(B356&gt;Settings!$C$8,"Posted after close | ","")&amp;IF(OR(B356&lt;Settings!$C$6,B356&gt;Settings!$C$7),"Outside period | ","")&amp;IF(COUNTIF(Settings!$E$14:$E$43,C356&amp;"")&gt;0,"Sensitive account | ","")&amp;IF(AND(MAX(N(E356),N(F356))&gt;=Settings!$C$9,MOD(MAX(N(E356),N(F356)),Settings!$C$10)=0),"Round amount | ",""))-3)))</f>
        <v/>
      </c>
      <c r="M356" s="21" t="str">
        <f aca="false">IF(A356="","",IF(COUNTIF($A$9:A356,A356)=1,MAX($M$8:M355)+1,""))</f>
        <v/>
      </c>
    </row>
    <row r="357" customFormat="false" ht="15" hidden="false" customHeight="false" outlineLevel="0" collapsed="false">
      <c r="A357" s="8"/>
      <c r="B357" s="17"/>
      <c r="C357" s="19"/>
      <c r="D357" s="8"/>
      <c r="E357" s="18"/>
      <c r="F357" s="18"/>
      <c r="G357" s="8"/>
      <c r="H357" s="8"/>
      <c r="I357" s="8"/>
      <c r="J357" s="8"/>
      <c r="K357" s="10" t="str">
        <f aca="false">IF(A357="","",IF(ABS(SUMIFS($E$9:$E$2008,$A$9:$A$2008,A357)-SUMIFS($F$9:$F$2008,$A$9:$A$2008,A357))&lt;0.5,"Yes","No"))</f>
        <v/>
      </c>
      <c r="L357" s="10" t="str">
        <f aca="false">IF(A357="","",IF(IF(K357="No","Does not balance | ","")&amp;IF(I357="","Not approved | ",IF(UPPER(TRIM(H357))=UPPER(TRIM(I357)),"Self-approved | ",""))&amp;IF(J357="","No support | ","")&amp;IF(WEEKDAY(B357,2)&gt;5,"Weekend posting | ","")&amp;IF(COUNTIF(Settings!$A$14:$A$43,B357)&gt;0,"Holiday posting | ","")&amp;IF(B357&gt;Settings!$C$8,"Posted after close | ","")&amp;IF(OR(B357&lt;Settings!$C$6,B357&gt;Settings!$C$7),"Outside period | ","")&amp;IF(COUNTIF(Settings!$E$14:$E$43,C357&amp;"")&gt;0,"Sensitive account | ","")&amp;IF(AND(MAX(N(E357),N(F357))&gt;=Settings!$C$9,MOD(MAX(N(E357),N(F357)),Settings!$C$10)=0),"Round amount | ","")="","",LEFT(IF(K357="No","Does not balance | ","")&amp;IF(I357="","Not approved | ",IF(UPPER(TRIM(H357))=UPPER(TRIM(I357)),"Self-approved | ",""))&amp;IF(J357="","No support | ","")&amp;IF(WEEKDAY(B357,2)&gt;5,"Weekend posting | ","")&amp;IF(COUNTIF(Settings!$A$14:$A$43,B357)&gt;0,"Holiday posting | ","")&amp;IF(B357&gt;Settings!$C$8,"Posted after close | ","")&amp;IF(OR(B357&lt;Settings!$C$6,B357&gt;Settings!$C$7),"Outside period | ","")&amp;IF(COUNTIF(Settings!$E$14:$E$43,C357&amp;"")&gt;0,"Sensitive account | ","")&amp;IF(AND(MAX(N(E357),N(F357))&gt;=Settings!$C$9,MOD(MAX(N(E357),N(F357)),Settings!$C$10)=0),"Round amount | ",""),LEN(IF(K357="No","Does not balance | ","")&amp;IF(I357="","Not approved | ",IF(UPPER(TRIM(H357))=UPPER(TRIM(I357)),"Self-approved | ",""))&amp;IF(J357="","No support | ","")&amp;IF(WEEKDAY(B357,2)&gt;5,"Weekend posting | ","")&amp;IF(COUNTIF(Settings!$A$14:$A$43,B357)&gt;0,"Holiday posting | ","")&amp;IF(B357&gt;Settings!$C$8,"Posted after close | ","")&amp;IF(OR(B357&lt;Settings!$C$6,B357&gt;Settings!$C$7),"Outside period | ","")&amp;IF(COUNTIF(Settings!$E$14:$E$43,C357&amp;"")&gt;0,"Sensitive account | ","")&amp;IF(AND(MAX(N(E357),N(F357))&gt;=Settings!$C$9,MOD(MAX(N(E357),N(F357)),Settings!$C$10)=0),"Round amount | ",""))-3)))</f>
        <v/>
      </c>
      <c r="M357" s="21" t="str">
        <f aca="false">IF(A357="","",IF(COUNTIF($A$9:A357,A357)=1,MAX($M$8:M356)+1,""))</f>
        <v/>
      </c>
    </row>
    <row r="358" customFormat="false" ht="15" hidden="false" customHeight="false" outlineLevel="0" collapsed="false">
      <c r="A358" s="8"/>
      <c r="B358" s="17"/>
      <c r="C358" s="19"/>
      <c r="D358" s="8"/>
      <c r="E358" s="18"/>
      <c r="F358" s="18"/>
      <c r="G358" s="8"/>
      <c r="H358" s="8"/>
      <c r="I358" s="8"/>
      <c r="J358" s="8"/>
      <c r="K358" s="10" t="str">
        <f aca="false">IF(A358="","",IF(ABS(SUMIFS($E$9:$E$2008,$A$9:$A$2008,A358)-SUMIFS($F$9:$F$2008,$A$9:$A$2008,A358))&lt;0.5,"Yes","No"))</f>
        <v/>
      </c>
      <c r="L358" s="10" t="str">
        <f aca="false">IF(A358="","",IF(IF(K358="No","Does not balance | ","")&amp;IF(I358="","Not approved | ",IF(UPPER(TRIM(H358))=UPPER(TRIM(I358)),"Self-approved | ",""))&amp;IF(J358="","No support | ","")&amp;IF(WEEKDAY(B358,2)&gt;5,"Weekend posting | ","")&amp;IF(COUNTIF(Settings!$A$14:$A$43,B358)&gt;0,"Holiday posting | ","")&amp;IF(B358&gt;Settings!$C$8,"Posted after close | ","")&amp;IF(OR(B358&lt;Settings!$C$6,B358&gt;Settings!$C$7),"Outside period | ","")&amp;IF(COUNTIF(Settings!$E$14:$E$43,C358&amp;"")&gt;0,"Sensitive account | ","")&amp;IF(AND(MAX(N(E358),N(F358))&gt;=Settings!$C$9,MOD(MAX(N(E358),N(F358)),Settings!$C$10)=0),"Round amount | ","")="","",LEFT(IF(K358="No","Does not balance | ","")&amp;IF(I358="","Not approved | ",IF(UPPER(TRIM(H358))=UPPER(TRIM(I358)),"Self-approved | ",""))&amp;IF(J358="","No support | ","")&amp;IF(WEEKDAY(B358,2)&gt;5,"Weekend posting | ","")&amp;IF(COUNTIF(Settings!$A$14:$A$43,B358)&gt;0,"Holiday posting | ","")&amp;IF(B358&gt;Settings!$C$8,"Posted after close | ","")&amp;IF(OR(B358&lt;Settings!$C$6,B358&gt;Settings!$C$7),"Outside period | ","")&amp;IF(COUNTIF(Settings!$E$14:$E$43,C358&amp;"")&gt;0,"Sensitive account | ","")&amp;IF(AND(MAX(N(E358),N(F358))&gt;=Settings!$C$9,MOD(MAX(N(E358),N(F358)),Settings!$C$10)=0),"Round amount | ",""),LEN(IF(K358="No","Does not balance | ","")&amp;IF(I358="","Not approved | ",IF(UPPER(TRIM(H358))=UPPER(TRIM(I358)),"Self-approved | ",""))&amp;IF(J358="","No support | ","")&amp;IF(WEEKDAY(B358,2)&gt;5,"Weekend posting | ","")&amp;IF(COUNTIF(Settings!$A$14:$A$43,B358)&gt;0,"Holiday posting | ","")&amp;IF(B358&gt;Settings!$C$8,"Posted after close | ","")&amp;IF(OR(B358&lt;Settings!$C$6,B358&gt;Settings!$C$7),"Outside period | ","")&amp;IF(COUNTIF(Settings!$E$14:$E$43,C358&amp;"")&gt;0,"Sensitive account | ","")&amp;IF(AND(MAX(N(E358),N(F358))&gt;=Settings!$C$9,MOD(MAX(N(E358),N(F358)),Settings!$C$10)=0),"Round amount | ",""))-3)))</f>
        <v/>
      </c>
      <c r="M358" s="21" t="str">
        <f aca="false">IF(A358="","",IF(COUNTIF($A$9:A358,A358)=1,MAX($M$8:M357)+1,""))</f>
        <v/>
      </c>
    </row>
    <row r="359" customFormat="false" ht="15" hidden="false" customHeight="false" outlineLevel="0" collapsed="false">
      <c r="A359" s="8"/>
      <c r="B359" s="17"/>
      <c r="C359" s="19"/>
      <c r="D359" s="8"/>
      <c r="E359" s="18"/>
      <c r="F359" s="18"/>
      <c r="G359" s="8"/>
      <c r="H359" s="8"/>
      <c r="I359" s="8"/>
      <c r="J359" s="8"/>
      <c r="K359" s="10" t="str">
        <f aca="false">IF(A359="","",IF(ABS(SUMIFS($E$9:$E$2008,$A$9:$A$2008,A359)-SUMIFS($F$9:$F$2008,$A$9:$A$2008,A359))&lt;0.5,"Yes","No"))</f>
        <v/>
      </c>
      <c r="L359" s="10" t="str">
        <f aca="false">IF(A359="","",IF(IF(K359="No","Does not balance | ","")&amp;IF(I359="","Not approved | ",IF(UPPER(TRIM(H359))=UPPER(TRIM(I359)),"Self-approved | ",""))&amp;IF(J359="","No support | ","")&amp;IF(WEEKDAY(B359,2)&gt;5,"Weekend posting | ","")&amp;IF(COUNTIF(Settings!$A$14:$A$43,B359)&gt;0,"Holiday posting | ","")&amp;IF(B359&gt;Settings!$C$8,"Posted after close | ","")&amp;IF(OR(B359&lt;Settings!$C$6,B359&gt;Settings!$C$7),"Outside period | ","")&amp;IF(COUNTIF(Settings!$E$14:$E$43,C359&amp;"")&gt;0,"Sensitive account | ","")&amp;IF(AND(MAX(N(E359),N(F359))&gt;=Settings!$C$9,MOD(MAX(N(E359),N(F359)),Settings!$C$10)=0),"Round amount | ","")="","",LEFT(IF(K359="No","Does not balance | ","")&amp;IF(I359="","Not approved | ",IF(UPPER(TRIM(H359))=UPPER(TRIM(I359)),"Self-approved | ",""))&amp;IF(J359="","No support | ","")&amp;IF(WEEKDAY(B359,2)&gt;5,"Weekend posting | ","")&amp;IF(COUNTIF(Settings!$A$14:$A$43,B359)&gt;0,"Holiday posting | ","")&amp;IF(B359&gt;Settings!$C$8,"Posted after close | ","")&amp;IF(OR(B359&lt;Settings!$C$6,B359&gt;Settings!$C$7),"Outside period | ","")&amp;IF(COUNTIF(Settings!$E$14:$E$43,C359&amp;"")&gt;0,"Sensitive account | ","")&amp;IF(AND(MAX(N(E359),N(F359))&gt;=Settings!$C$9,MOD(MAX(N(E359),N(F359)),Settings!$C$10)=0),"Round amount | ",""),LEN(IF(K359="No","Does not balance | ","")&amp;IF(I359="","Not approved | ",IF(UPPER(TRIM(H359))=UPPER(TRIM(I359)),"Self-approved | ",""))&amp;IF(J359="","No support | ","")&amp;IF(WEEKDAY(B359,2)&gt;5,"Weekend posting | ","")&amp;IF(COUNTIF(Settings!$A$14:$A$43,B359)&gt;0,"Holiday posting | ","")&amp;IF(B359&gt;Settings!$C$8,"Posted after close | ","")&amp;IF(OR(B359&lt;Settings!$C$6,B359&gt;Settings!$C$7),"Outside period | ","")&amp;IF(COUNTIF(Settings!$E$14:$E$43,C359&amp;"")&gt;0,"Sensitive account | ","")&amp;IF(AND(MAX(N(E359),N(F359))&gt;=Settings!$C$9,MOD(MAX(N(E359),N(F359)),Settings!$C$10)=0),"Round amount | ",""))-3)))</f>
        <v/>
      </c>
      <c r="M359" s="21" t="str">
        <f aca="false">IF(A359="","",IF(COUNTIF($A$9:A359,A359)=1,MAX($M$8:M358)+1,""))</f>
        <v/>
      </c>
    </row>
    <row r="360" customFormat="false" ht="15" hidden="false" customHeight="false" outlineLevel="0" collapsed="false">
      <c r="A360" s="8"/>
      <c r="B360" s="17"/>
      <c r="C360" s="19"/>
      <c r="D360" s="8"/>
      <c r="E360" s="18"/>
      <c r="F360" s="18"/>
      <c r="G360" s="8"/>
      <c r="H360" s="8"/>
      <c r="I360" s="8"/>
      <c r="J360" s="8"/>
      <c r="K360" s="10" t="str">
        <f aca="false">IF(A360="","",IF(ABS(SUMIFS($E$9:$E$2008,$A$9:$A$2008,A360)-SUMIFS($F$9:$F$2008,$A$9:$A$2008,A360))&lt;0.5,"Yes","No"))</f>
        <v/>
      </c>
      <c r="L360" s="10" t="str">
        <f aca="false">IF(A360="","",IF(IF(K360="No","Does not balance | ","")&amp;IF(I360="","Not approved | ",IF(UPPER(TRIM(H360))=UPPER(TRIM(I360)),"Self-approved | ",""))&amp;IF(J360="","No support | ","")&amp;IF(WEEKDAY(B360,2)&gt;5,"Weekend posting | ","")&amp;IF(COUNTIF(Settings!$A$14:$A$43,B360)&gt;0,"Holiday posting | ","")&amp;IF(B360&gt;Settings!$C$8,"Posted after close | ","")&amp;IF(OR(B360&lt;Settings!$C$6,B360&gt;Settings!$C$7),"Outside period | ","")&amp;IF(COUNTIF(Settings!$E$14:$E$43,C360&amp;"")&gt;0,"Sensitive account | ","")&amp;IF(AND(MAX(N(E360),N(F360))&gt;=Settings!$C$9,MOD(MAX(N(E360),N(F360)),Settings!$C$10)=0),"Round amount | ","")="","",LEFT(IF(K360="No","Does not balance | ","")&amp;IF(I360="","Not approved | ",IF(UPPER(TRIM(H360))=UPPER(TRIM(I360)),"Self-approved | ",""))&amp;IF(J360="","No support | ","")&amp;IF(WEEKDAY(B360,2)&gt;5,"Weekend posting | ","")&amp;IF(COUNTIF(Settings!$A$14:$A$43,B360)&gt;0,"Holiday posting | ","")&amp;IF(B360&gt;Settings!$C$8,"Posted after close | ","")&amp;IF(OR(B360&lt;Settings!$C$6,B360&gt;Settings!$C$7),"Outside period | ","")&amp;IF(COUNTIF(Settings!$E$14:$E$43,C360&amp;"")&gt;0,"Sensitive account | ","")&amp;IF(AND(MAX(N(E360),N(F360))&gt;=Settings!$C$9,MOD(MAX(N(E360),N(F360)),Settings!$C$10)=0),"Round amount | ",""),LEN(IF(K360="No","Does not balance | ","")&amp;IF(I360="","Not approved | ",IF(UPPER(TRIM(H360))=UPPER(TRIM(I360)),"Self-approved | ",""))&amp;IF(J360="","No support | ","")&amp;IF(WEEKDAY(B360,2)&gt;5,"Weekend posting | ","")&amp;IF(COUNTIF(Settings!$A$14:$A$43,B360)&gt;0,"Holiday posting | ","")&amp;IF(B360&gt;Settings!$C$8,"Posted after close | ","")&amp;IF(OR(B360&lt;Settings!$C$6,B360&gt;Settings!$C$7),"Outside period | ","")&amp;IF(COUNTIF(Settings!$E$14:$E$43,C360&amp;"")&gt;0,"Sensitive account | ","")&amp;IF(AND(MAX(N(E360),N(F360))&gt;=Settings!$C$9,MOD(MAX(N(E360),N(F360)),Settings!$C$10)=0),"Round amount | ",""))-3)))</f>
        <v/>
      </c>
      <c r="M360" s="21" t="str">
        <f aca="false">IF(A360="","",IF(COUNTIF($A$9:A360,A360)=1,MAX($M$8:M359)+1,""))</f>
        <v/>
      </c>
    </row>
    <row r="361" customFormat="false" ht="15" hidden="false" customHeight="false" outlineLevel="0" collapsed="false">
      <c r="A361" s="8"/>
      <c r="B361" s="17"/>
      <c r="C361" s="19"/>
      <c r="D361" s="8"/>
      <c r="E361" s="18"/>
      <c r="F361" s="18"/>
      <c r="G361" s="8"/>
      <c r="H361" s="8"/>
      <c r="I361" s="8"/>
      <c r="J361" s="8"/>
      <c r="K361" s="10" t="str">
        <f aca="false">IF(A361="","",IF(ABS(SUMIFS($E$9:$E$2008,$A$9:$A$2008,A361)-SUMIFS($F$9:$F$2008,$A$9:$A$2008,A361))&lt;0.5,"Yes","No"))</f>
        <v/>
      </c>
      <c r="L361" s="10" t="str">
        <f aca="false">IF(A361="","",IF(IF(K361="No","Does not balance | ","")&amp;IF(I361="","Not approved | ",IF(UPPER(TRIM(H361))=UPPER(TRIM(I361)),"Self-approved | ",""))&amp;IF(J361="","No support | ","")&amp;IF(WEEKDAY(B361,2)&gt;5,"Weekend posting | ","")&amp;IF(COUNTIF(Settings!$A$14:$A$43,B361)&gt;0,"Holiday posting | ","")&amp;IF(B361&gt;Settings!$C$8,"Posted after close | ","")&amp;IF(OR(B361&lt;Settings!$C$6,B361&gt;Settings!$C$7),"Outside period | ","")&amp;IF(COUNTIF(Settings!$E$14:$E$43,C361&amp;"")&gt;0,"Sensitive account | ","")&amp;IF(AND(MAX(N(E361),N(F361))&gt;=Settings!$C$9,MOD(MAX(N(E361),N(F361)),Settings!$C$10)=0),"Round amount | ","")="","",LEFT(IF(K361="No","Does not balance | ","")&amp;IF(I361="","Not approved | ",IF(UPPER(TRIM(H361))=UPPER(TRIM(I361)),"Self-approved | ",""))&amp;IF(J361="","No support | ","")&amp;IF(WEEKDAY(B361,2)&gt;5,"Weekend posting | ","")&amp;IF(COUNTIF(Settings!$A$14:$A$43,B361)&gt;0,"Holiday posting | ","")&amp;IF(B361&gt;Settings!$C$8,"Posted after close | ","")&amp;IF(OR(B361&lt;Settings!$C$6,B361&gt;Settings!$C$7),"Outside period | ","")&amp;IF(COUNTIF(Settings!$E$14:$E$43,C361&amp;"")&gt;0,"Sensitive account | ","")&amp;IF(AND(MAX(N(E361),N(F361))&gt;=Settings!$C$9,MOD(MAX(N(E361),N(F361)),Settings!$C$10)=0),"Round amount | ",""),LEN(IF(K361="No","Does not balance | ","")&amp;IF(I361="","Not approved | ",IF(UPPER(TRIM(H361))=UPPER(TRIM(I361)),"Self-approved | ",""))&amp;IF(J361="","No support | ","")&amp;IF(WEEKDAY(B361,2)&gt;5,"Weekend posting | ","")&amp;IF(COUNTIF(Settings!$A$14:$A$43,B361)&gt;0,"Holiday posting | ","")&amp;IF(B361&gt;Settings!$C$8,"Posted after close | ","")&amp;IF(OR(B361&lt;Settings!$C$6,B361&gt;Settings!$C$7),"Outside period | ","")&amp;IF(COUNTIF(Settings!$E$14:$E$43,C361&amp;"")&gt;0,"Sensitive account | ","")&amp;IF(AND(MAX(N(E361),N(F361))&gt;=Settings!$C$9,MOD(MAX(N(E361),N(F361)),Settings!$C$10)=0),"Round amount | ",""))-3)))</f>
        <v/>
      </c>
      <c r="M361" s="21" t="str">
        <f aca="false">IF(A361="","",IF(COUNTIF($A$9:A361,A361)=1,MAX($M$8:M360)+1,""))</f>
        <v/>
      </c>
    </row>
    <row r="362" customFormat="false" ht="15" hidden="false" customHeight="false" outlineLevel="0" collapsed="false">
      <c r="A362" s="8"/>
      <c r="B362" s="17"/>
      <c r="C362" s="19"/>
      <c r="D362" s="8"/>
      <c r="E362" s="18"/>
      <c r="F362" s="18"/>
      <c r="G362" s="8"/>
      <c r="H362" s="8"/>
      <c r="I362" s="8"/>
      <c r="J362" s="8"/>
      <c r="K362" s="10" t="str">
        <f aca="false">IF(A362="","",IF(ABS(SUMIFS($E$9:$E$2008,$A$9:$A$2008,A362)-SUMIFS($F$9:$F$2008,$A$9:$A$2008,A362))&lt;0.5,"Yes","No"))</f>
        <v/>
      </c>
      <c r="L362" s="10" t="str">
        <f aca="false">IF(A362="","",IF(IF(K362="No","Does not balance | ","")&amp;IF(I362="","Not approved | ",IF(UPPER(TRIM(H362))=UPPER(TRIM(I362)),"Self-approved | ",""))&amp;IF(J362="","No support | ","")&amp;IF(WEEKDAY(B362,2)&gt;5,"Weekend posting | ","")&amp;IF(COUNTIF(Settings!$A$14:$A$43,B362)&gt;0,"Holiday posting | ","")&amp;IF(B362&gt;Settings!$C$8,"Posted after close | ","")&amp;IF(OR(B362&lt;Settings!$C$6,B362&gt;Settings!$C$7),"Outside period | ","")&amp;IF(COUNTIF(Settings!$E$14:$E$43,C362&amp;"")&gt;0,"Sensitive account | ","")&amp;IF(AND(MAX(N(E362),N(F362))&gt;=Settings!$C$9,MOD(MAX(N(E362),N(F362)),Settings!$C$10)=0),"Round amount | ","")="","",LEFT(IF(K362="No","Does not balance | ","")&amp;IF(I362="","Not approved | ",IF(UPPER(TRIM(H362))=UPPER(TRIM(I362)),"Self-approved | ",""))&amp;IF(J362="","No support | ","")&amp;IF(WEEKDAY(B362,2)&gt;5,"Weekend posting | ","")&amp;IF(COUNTIF(Settings!$A$14:$A$43,B362)&gt;0,"Holiday posting | ","")&amp;IF(B362&gt;Settings!$C$8,"Posted after close | ","")&amp;IF(OR(B362&lt;Settings!$C$6,B362&gt;Settings!$C$7),"Outside period | ","")&amp;IF(COUNTIF(Settings!$E$14:$E$43,C362&amp;"")&gt;0,"Sensitive account | ","")&amp;IF(AND(MAX(N(E362),N(F362))&gt;=Settings!$C$9,MOD(MAX(N(E362),N(F362)),Settings!$C$10)=0),"Round amount | ",""),LEN(IF(K362="No","Does not balance | ","")&amp;IF(I362="","Not approved | ",IF(UPPER(TRIM(H362))=UPPER(TRIM(I362)),"Self-approved | ",""))&amp;IF(J362="","No support | ","")&amp;IF(WEEKDAY(B362,2)&gt;5,"Weekend posting | ","")&amp;IF(COUNTIF(Settings!$A$14:$A$43,B362)&gt;0,"Holiday posting | ","")&amp;IF(B362&gt;Settings!$C$8,"Posted after close | ","")&amp;IF(OR(B362&lt;Settings!$C$6,B362&gt;Settings!$C$7),"Outside period | ","")&amp;IF(COUNTIF(Settings!$E$14:$E$43,C362&amp;"")&gt;0,"Sensitive account | ","")&amp;IF(AND(MAX(N(E362),N(F362))&gt;=Settings!$C$9,MOD(MAX(N(E362),N(F362)),Settings!$C$10)=0),"Round amount | ",""))-3)))</f>
        <v/>
      </c>
      <c r="M362" s="21" t="str">
        <f aca="false">IF(A362="","",IF(COUNTIF($A$9:A362,A362)=1,MAX($M$8:M361)+1,""))</f>
        <v/>
      </c>
    </row>
    <row r="363" customFormat="false" ht="15" hidden="false" customHeight="false" outlineLevel="0" collapsed="false">
      <c r="A363" s="8"/>
      <c r="B363" s="17"/>
      <c r="C363" s="19"/>
      <c r="D363" s="8"/>
      <c r="E363" s="18"/>
      <c r="F363" s="18"/>
      <c r="G363" s="8"/>
      <c r="H363" s="8"/>
      <c r="I363" s="8"/>
      <c r="J363" s="8"/>
      <c r="K363" s="10" t="str">
        <f aca="false">IF(A363="","",IF(ABS(SUMIFS($E$9:$E$2008,$A$9:$A$2008,A363)-SUMIFS($F$9:$F$2008,$A$9:$A$2008,A363))&lt;0.5,"Yes","No"))</f>
        <v/>
      </c>
      <c r="L363" s="10" t="str">
        <f aca="false">IF(A363="","",IF(IF(K363="No","Does not balance | ","")&amp;IF(I363="","Not approved | ",IF(UPPER(TRIM(H363))=UPPER(TRIM(I363)),"Self-approved | ",""))&amp;IF(J363="","No support | ","")&amp;IF(WEEKDAY(B363,2)&gt;5,"Weekend posting | ","")&amp;IF(COUNTIF(Settings!$A$14:$A$43,B363)&gt;0,"Holiday posting | ","")&amp;IF(B363&gt;Settings!$C$8,"Posted after close | ","")&amp;IF(OR(B363&lt;Settings!$C$6,B363&gt;Settings!$C$7),"Outside period | ","")&amp;IF(COUNTIF(Settings!$E$14:$E$43,C363&amp;"")&gt;0,"Sensitive account | ","")&amp;IF(AND(MAX(N(E363),N(F363))&gt;=Settings!$C$9,MOD(MAX(N(E363),N(F363)),Settings!$C$10)=0),"Round amount | ","")="","",LEFT(IF(K363="No","Does not balance | ","")&amp;IF(I363="","Not approved | ",IF(UPPER(TRIM(H363))=UPPER(TRIM(I363)),"Self-approved | ",""))&amp;IF(J363="","No support | ","")&amp;IF(WEEKDAY(B363,2)&gt;5,"Weekend posting | ","")&amp;IF(COUNTIF(Settings!$A$14:$A$43,B363)&gt;0,"Holiday posting | ","")&amp;IF(B363&gt;Settings!$C$8,"Posted after close | ","")&amp;IF(OR(B363&lt;Settings!$C$6,B363&gt;Settings!$C$7),"Outside period | ","")&amp;IF(COUNTIF(Settings!$E$14:$E$43,C363&amp;"")&gt;0,"Sensitive account | ","")&amp;IF(AND(MAX(N(E363),N(F363))&gt;=Settings!$C$9,MOD(MAX(N(E363),N(F363)),Settings!$C$10)=0),"Round amount | ",""),LEN(IF(K363="No","Does not balance | ","")&amp;IF(I363="","Not approved | ",IF(UPPER(TRIM(H363))=UPPER(TRIM(I363)),"Self-approved | ",""))&amp;IF(J363="","No support | ","")&amp;IF(WEEKDAY(B363,2)&gt;5,"Weekend posting | ","")&amp;IF(COUNTIF(Settings!$A$14:$A$43,B363)&gt;0,"Holiday posting | ","")&amp;IF(B363&gt;Settings!$C$8,"Posted after close | ","")&amp;IF(OR(B363&lt;Settings!$C$6,B363&gt;Settings!$C$7),"Outside period | ","")&amp;IF(COUNTIF(Settings!$E$14:$E$43,C363&amp;"")&gt;0,"Sensitive account | ","")&amp;IF(AND(MAX(N(E363),N(F363))&gt;=Settings!$C$9,MOD(MAX(N(E363),N(F363)),Settings!$C$10)=0),"Round amount | ",""))-3)))</f>
        <v/>
      </c>
      <c r="M363" s="21" t="str">
        <f aca="false">IF(A363="","",IF(COUNTIF($A$9:A363,A363)=1,MAX($M$8:M362)+1,""))</f>
        <v/>
      </c>
    </row>
    <row r="364" customFormat="false" ht="15" hidden="false" customHeight="false" outlineLevel="0" collapsed="false">
      <c r="A364" s="8"/>
      <c r="B364" s="17"/>
      <c r="C364" s="19"/>
      <c r="D364" s="8"/>
      <c r="E364" s="18"/>
      <c r="F364" s="18"/>
      <c r="G364" s="8"/>
      <c r="H364" s="8"/>
      <c r="I364" s="8"/>
      <c r="J364" s="8"/>
      <c r="K364" s="10" t="str">
        <f aca="false">IF(A364="","",IF(ABS(SUMIFS($E$9:$E$2008,$A$9:$A$2008,A364)-SUMIFS($F$9:$F$2008,$A$9:$A$2008,A364))&lt;0.5,"Yes","No"))</f>
        <v/>
      </c>
      <c r="L364" s="10" t="str">
        <f aca="false">IF(A364="","",IF(IF(K364="No","Does not balance | ","")&amp;IF(I364="","Not approved | ",IF(UPPER(TRIM(H364))=UPPER(TRIM(I364)),"Self-approved | ",""))&amp;IF(J364="","No support | ","")&amp;IF(WEEKDAY(B364,2)&gt;5,"Weekend posting | ","")&amp;IF(COUNTIF(Settings!$A$14:$A$43,B364)&gt;0,"Holiday posting | ","")&amp;IF(B364&gt;Settings!$C$8,"Posted after close | ","")&amp;IF(OR(B364&lt;Settings!$C$6,B364&gt;Settings!$C$7),"Outside period | ","")&amp;IF(COUNTIF(Settings!$E$14:$E$43,C364&amp;"")&gt;0,"Sensitive account | ","")&amp;IF(AND(MAX(N(E364),N(F364))&gt;=Settings!$C$9,MOD(MAX(N(E364),N(F364)),Settings!$C$10)=0),"Round amount | ","")="","",LEFT(IF(K364="No","Does not balance | ","")&amp;IF(I364="","Not approved | ",IF(UPPER(TRIM(H364))=UPPER(TRIM(I364)),"Self-approved | ",""))&amp;IF(J364="","No support | ","")&amp;IF(WEEKDAY(B364,2)&gt;5,"Weekend posting | ","")&amp;IF(COUNTIF(Settings!$A$14:$A$43,B364)&gt;0,"Holiday posting | ","")&amp;IF(B364&gt;Settings!$C$8,"Posted after close | ","")&amp;IF(OR(B364&lt;Settings!$C$6,B364&gt;Settings!$C$7),"Outside period | ","")&amp;IF(COUNTIF(Settings!$E$14:$E$43,C364&amp;"")&gt;0,"Sensitive account | ","")&amp;IF(AND(MAX(N(E364),N(F364))&gt;=Settings!$C$9,MOD(MAX(N(E364),N(F364)),Settings!$C$10)=0),"Round amount | ",""),LEN(IF(K364="No","Does not balance | ","")&amp;IF(I364="","Not approved | ",IF(UPPER(TRIM(H364))=UPPER(TRIM(I364)),"Self-approved | ",""))&amp;IF(J364="","No support | ","")&amp;IF(WEEKDAY(B364,2)&gt;5,"Weekend posting | ","")&amp;IF(COUNTIF(Settings!$A$14:$A$43,B364)&gt;0,"Holiday posting | ","")&amp;IF(B364&gt;Settings!$C$8,"Posted after close | ","")&amp;IF(OR(B364&lt;Settings!$C$6,B364&gt;Settings!$C$7),"Outside period | ","")&amp;IF(COUNTIF(Settings!$E$14:$E$43,C364&amp;"")&gt;0,"Sensitive account | ","")&amp;IF(AND(MAX(N(E364),N(F364))&gt;=Settings!$C$9,MOD(MAX(N(E364),N(F364)),Settings!$C$10)=0),"Round amount | ",""))-3)))</f>
        <v/>
      </c>
      <c r="M364" s="21" t="str">
        <f aca="false">IF(A364="","",IF(COUNTIF($A$9:A364,A364)=1,MAX($M$8:M363)+1,""))</f>
        <v/>
      </c>
    </row>
    <row r="365" customFormat="false" ht="15" hidden="false" customHeight="false" outlineLevel="0" collapsed="false">
      <c r="A365" s="8"/>
      <c r="B365" s="17"/>
      <c r="C365" s="19"/>
      <c r="D365" s="8"/>
      <c r="E365" s="18"/>
      <c r="F365" s="18"/>
      <c r="G365" s="8"/>
      <c r="H365" s="8"/>
      <c r="I365" s="8"/>
      <c r="J365" s="8"/>
      <c r="K365" s="10" t="str">
        <f aca="false">IF(A365="","",IF(ABS(SUMIFS($E$9:$E$2008,$A$9:$A$2008,A365)-SUMIFS($F$9:$F$2008,$A$9:$A$2008,A365))&lt;0.5,"Yes","No"))</f>
        <v/>
      </c>
      <c r="L365" s="10" t="str">
        <f aca="false">IF(A365="","",IF(IF(K365="No","Does not balance | ","")&amp;IF(I365="","Not approved | ",IF(UPPER(TRIM(H365))=UPPER(TRIM(I365)),"Self-approved | ",""))&amp;IF(J365="","No support | ","")&amp;IF(WEEKDAY(B365,2)&gt;5,"Weekend posting | ","")&amp;IF(COUNTIF(Settings!$A$14:$A$43,B365)&gt;0,"Holiday posting | ","")&amp;IF(B365&gt;Settings!$C$8,"Posted after close | ","")&amp;IF(OR(B365&lt;Settings!$C$6,B365&gt;Settings!$C$7),"Outside period | ","")&amp;IF(COUNTIF(Settings!$E$14:$E$43,C365&amp;"")&gt;0,"Sensitive account | ","")&amp;IF(AND(MAX(N(E365),N(F365))&gt;=Settings!$C$9,MOD(MAX(N(E365),N(F365)),Settings!$C$10)=0),"Round amount | ","")="","",LEFT(IF(K365="No","Does not balance | ","")&amp;IF(I365="","Not approved | ",IF(UPPER(TRIM(H365))=UPPER(TRIM(I365)),"Self-approved | ",""))&amp;IF(J365="","No support | ","")&amp;IF(WEEKDAY(B365,2)&gt;5,"Weekend posting | ","")&amp;IF(COUNTIF(Settings!$A$14:$A$43,B365)&gt;0,"Holiday posting | ","")&amp;IF(B365&gt;Settings!$C$8,"Posted after close | ","")&amp;IF(OR(B365&lt;Settings!$C$6,B365&gt;Settings!$C$7),"Outside period | ","")&amp;IF(COUNTIF(Settings!$E$14:$E$43,C365&amp;"")&gt;0,"Sensitive account | ","")&amp;IF(AND(MAX(N(E365),N(F365))&gt;=Settings!$C$9,MOD(MAX(N(E365),N(F365)),Settings!$C$10)=0),"Round amount | ",""),LEN(IF(K365="No","Does not balance | ","")&amp;IF(I365="","Not approved | ",IF(UPPER(TRIM(H365))=UPPER(TRIM(I365)),"Self-approved | ",""))&amp;IF(J365="","No support | ","")&amp;IF(WEEKDAY(B365,2)&gt;5,"Weekend posting | ","")&amp;IF(COUNTIF(Settings!$A$14:$A$43,B365)&gt;0,"Holiday posting | ","")&amp;IF(B365&gt;Settings!$C$8,"Posted after close | ","")&amp;IF(OR(B365&lt;Settings!$C$6,B365&gt;Settings!$C$7),"Outside period | ","")&amp;IF(COUNTIF(Settings!$E$14:$E$43,C365&amp;"")&gt;0,"Sensitive account | ","")&amp;IF(AND(MAX(N(E365),N(F365))&gt;=Settings!$C$9,MOD(MAX(N(E365),N(F365)),Settings!$C$10)=0),"Round amount | ",""))-3)))</f>
        <v/>
      </c>
      <c r="M365" s="21" t="str">
        <f aca="false">IF(A365="","",IF(COUNTIF($A$9:A365,A365)=1,MAX($M$8:M364)+1,""))</f>
        <v/>
      </c>
    </row>
    <row r="366" customFormat="false" ht="15" hidden="false" customHeight="false" outlineLevel="0" collapsed="false">
      <c r="A366" s="8"/>
      <c r="B366" s="17"/>
      <c r="C366" s="19"/>
      <c r="D366" s="8"/>
      <c r="E366" s="18"/>
      <c r="F366" s="18"/>
      <c r="G366" s="8"/>
      <c r="H366" s="8"/>
      <c r="I366" s="8"/>
      <c r="J366" s="8"/>
      <c r="K366" s="10" t="str">
        <f aca="false">IF(A366="","",IF(ABS(SUMIFS($E$9:$E$2008,$A$9:$A$2008,A366)-SUMIFS($F$9:$F$2008,$A$9:$A$2008,A366))&lt;0.5,"Yes","No"))</f>
        <v/>
      </c>
      <c r="L366" s="10" t="str">
        <f aca="false">IF(A366="","",IF(IF(K366="No","Does not balance | ","")&amp;IF(I366="","Not approved | ",IF(UPPER(TRIM(H366))=UPPER(TRIM(I366)),"Self-approved | ",""))&amp;IF(J366="","No support | ","")&amp;IF(WEEKDAY(B366,2)&gt;5,"Weekend posting | ","")&amp;IF(COUNTIF(Settings!$A$14:$A$43,B366)&gt;0,"Holiday posting | ","")&amp;IF(B366&gt;Settings!$C$8,"Posted after close | ","")&amp;IF(OR(B366&lt;Settings!$C$6,B366&gt;Settings!$C$7),"Outside period | ","")&amp;IF(COUNTIF(Settings!$E$14:$E$43,C366&amp;"")&gt;0,"Sensitive account | ","")&amp;IF(AND(MAX(N(E366),N(F366))&gt;=Settings!$C$9,MOD(MAX(N(E366),N(F366)),Settings!$C$10)=0),"Round amount | ","")="","",LEFT(IF(K366="No","Does not balance | ","")&amp;IF(I366="","Not approved | ",IF(UPPER(TRIM(H366))=UPPER(TRIM(I366)),"Self-approved | ",""))&amp;IF(J366="","No support | ","")&amp;IF(WEEKDAY(B366,2)&gt;5,"Weekend posting | ","")&amp;IF(COUNTIF(Settings!$A$14:$A$43,B366)&gt;0,"Holiday posting | ","")&amp;IF(B366&gt;Settings!$C$8,"Posted after close | ","")&amp;IF(OR(B366&lt;Settings!$C$6,B366&gt;Settings!$C$7),"Outside period | ","")&amp;IF(COUNTIF(Settings!$E$14:$E$43,C366&amp;"")&gt;0,"Sensitive account | ","")&amp;IF(AND(MAX(N(E366),N(F366))&gt;=Settings!$C$9,MOD(MAX(N(E366),N(F366)),Settings!$C$10)=0),"Round amount | ",""),LEN(IF(K366="No","Does not balance | ","")&amp;IF(I366="","Not approved | ",IF(UPPER(TRIM(H366))=UPPER(TRIM(I366)),"Self-approved | ",""))&amp;IF(J366="","No support | ","")&amp;IF(WEEKDAY(B366,2)&gt;5,"Weekend posting | ","")&amp;IF(COUNTIF(Settings!$A$14:$A$43,B366)&gt;0,"Holiday posting | ","")&amp;IF(B366&gt;Settings!$C$8,"Posted after close | ","")&amp;IF(OR(B366&lt;Settings!$C$6,B366&gt;Settings!$C$7),"Outside period | ","")&amp;IF(COUNTIF(Settings!$E$14:$E$43,C366&amp;"")&gt;0,"Sensitive account | ","")&amp;IF(AND(MAX(N(E366),N(F366))&gt;=Settings!$C$9,MOD(MAX(N(E366),N(F366)),Settings!$C$10)=0),"Round amount | ",""))-3)))</f>
        <v/>
      </c>
      <c r="M366" s="21" t="str">
        <f aca="false">IF(A366="","",IF(COUNTIF($A$9:A366,A366)=1,MAX($M$8:M365)+1,""))</f>
        <v/>
      </c>
    </row>
    <row r="367" customFormat="false" ht="15" hidden="false" customHeight="false" outlineLevel="0" collapsed="false">
      <c r="A367" s="8"/>
      <c r="B367" s="17"/>
      <c r="C367" s="19"/>
      <c r="D367" s="8"/>
      <c r="E367" s="18"/>
      <c r="F367" s="18"/>
      <c r="G367" s="8"/>
      <c r="H367" s="8"/>
      <c r="I367" s="8"/>
      <c r="J367" s="8"/>
      <c r="K367" s="10" t="str">
        <f aca="false">IF(A367="","",IF(ABS(SUMIFS($E$9:$E$2008,$A$9:$A$2008,A367)-SUMIFS($F$9:$F$2008,$A$9:$A$2008,A367))&lt;0.5,"Yes","No"))</f>
        <v/>
      </c>
      <c r="L367" s="10" t="str">
        <f aca="false">IF(A367="","",IF(IF(K367="No","Does not balance | ","")&amp;IF(I367="","Not approved | ",IF(UPPER(TRIM(H367))=UPPER(TRIM(I367)),"Self-approved | ",""))&amp;IF(J367="","No support | ","")&amp;IF(WEEKDAY(B367,2)&gt;5,"Weekend posting | ","")&amp;IF(COUNTIF(Settings!$A$14:$A$43,B367)&gt;0,"Holiday posting | ","")&amp;IF(B367&gt;Settings!$C$8,"Posted after close | ","")&amp;IF(OR(B367&lt;Settings!$C$6,B367&gt;Settings!$C$7),"Outside period | ","")&amp;IF(COUNTIF(Settings!$E$14:$E$43,C367&amp;"")&gt;0,"Sensitive account | ","")&amp;IF(AND(MAX(N(E367),N(F367))&gt;=Settings!$C$9,MOD(MAX(N(E367),N(F367)),Settings!$C$10)=0),"Round amount | ","")="","",LEFT(IF(K367="No","Does not balance | ","")&amp;IF(I367="","Not approved | ",IF(UPPER(TRIM(H367))=UPPER(TRIM(I367)),"Self-approved | ",""))&amp;IF(J367="","No support | ","")&amp;IF(WEEKDAY(B367,2)&gt;5,"Weekend posting | ","")&amp;IF(COUNTIF(Settings!$A$14:$A$43,B367)&gt;0,"Holiday posting | ","")&amp;IF(B367&gt;Settings!$C$8,"Posted after close | ","")&amp;IF(OR(B367&lt;Settings!$C$6,B367&gt;Settings!$C$7),"Outside period | ","")&amp;IF(COUNTIF(Settings!$E$14:$E$43,C367&amp;"")&gt;0,"Sensitive account | ","")&amp;IF(AND(MAX(N(E367),N(F367))&gt;=Settings!$C$9,MOD(MAX(N(E367),N(F367)),Settings!$C$10)=0),"Round amount | ",""),LEN(IF(K367="No","Does not balance | ","")&amp;IF(I367="","Not approved | ",IF(UPPER(TRIM(H367))=UPPER(TRIM(I367)),"Self-approved | ",""))&amp;IF(J367="","No support | ","")&amp;IF(WEEKDAY(B367,2)&gt;5,"Weekend posting | ","")&amp;IF(COUNTIF(Settings!$A$14:$A$43,B367)&gt;0,"Holiday posting | ","")&amp;IF(B367&gt;Settings!$C$8,"Posted after close | ","")&amp;IF(OR(B367&lt;Settings!$C$6,B367&gt;Settings!$C$7),"Outside period | ","")&amp;IF(COUNTIF(Settings!$E$14:$E$43,C367&amp;"")&gt;0,"Sensitive account | ","")&amp;IF(AND(MAX(N(E367),N(F367))&gt;=Settings!$C$9,MOD(MAX(N(E367),N(F367)),Settings!$C$10)=0),"Round amount | ",""))-3)))</f>
        <v/>
      </c>
      <c r="M367" s="21" t="str">
        <f aca="false">IF(A367="","",IF(COUNTIF($A$9:A367,A367)=1,MAX($M$8:M366)+1,""))</f>
        <v/>
      </c>
    </row>
    <row r="368" customFormat="false" ht="15" hidden="false" customHeight="false" outlineLevel="0" collapsed="false">
      <c r="A368" s="8"/>
      <c r="B368" s="17"/>
      <c r="C368" s="19"/>
      <c r="D368" s="8"/>
      <c r="E368" s="18"/>
      <c r="F368" s="18"/>
      <c r="G368" s="8"/>
      <c r="H368" s="8"/>
      <c r="I368" s="8"/>
      <c r="J368" s="8"/>
      <c r="K368" s="10" t="str">
        <f aca="false">IF(A368="","",IF(ABS(SUMIFS($E$9:$E$2008,$A$9:$A$2008,A368)-SUMIFS($F$9:$F$2008,$A$9:$A$2008,A368))&lt;0.5,"Yes","No"))</f>
        <v/>
      </c>
      <c r="L368" s="10" t="str">
        <f aca="false">IF(A368="","",IF(IF(K368="No","Does not balance | ","")&amp;IF(I368="","Not approved | ",IF(UPPER(TRIM(H368))=UPPER(TRIM(I368)),"Self-approved | ",""))&amp;IF(J368="","No support | ","")&amp;IF(WEEKDAY(B368,2)&gt;5,"Weekend posting | ","")&amp;IF(COUNTIF(Settings!$A$14:$A$43,B368)&gt;0,"Holiday posting | ","")&amp;IF(B368&gt;Settings!$C$8,"Posted after close | ","")&amp;IF(OR(B368&lt;Settings!$C$6,B368&gt;Settings!$C$7),"Outside period | ","")&amp;IF(COUNTIF(Settings!$E$14:$E$43,C368&amp;"")&gt;0,"Sensitive account | ","")&amp;IF(AND(MAX(N(E368),N(F368))&gt;=Settings!$C$9,MOD(MAX(N(E368),N(F368)),Settings!$C$10)=0),"Round amount | ","")="","",LEFT(IF(K368="No","Does not balance | ","")&amp;IF(I368="","Not approved | ",IF(UPPER(TRIM(H368))=UPPER(TRIM(I368)),"Self-approved | ",""))&amp;IF(J368="","No support | ","")&amp;IF(WEEKDAY(B368,2)&gt;5,"Weekend posting | ","")&amp;IF(COUNTIF(Settings!$A$14:$A$43,B368)&gt;0,"Holiday posting | ","")&amp;IF(B368&gt;Settings!$C$8,"Posted after close | ","")&amp;IF(OR(B368&lt;Settings!$C$6,B368&gt;Settings!$C$7),"Outside period | ","")&amp;IF(COUNTIF(Settings!$E$14:$E$43,C368&amp;"")&gt;0,"Sensitive account | ","")&amp;IF(AND(MAX(N(E368),N(F368))&gt;=Settings!$C$9,MOD(MAX(N(E368),N(F368)),Settings!$C$10)=0),"Round amount | ",""),LEN(IF(K368="No","Does not balance | ","")&amp;IF(I368="","Not approved | ",IF(UPPER(TRIM(H368))=UPPER(TRIM(I368)),"Self-approved | ",""))&amp;IF(J368="","No support | ","")&amp;IF(WEEKDAY(B368,2)&gt;5,"Weekend posting | ","")&amp;IF(COUNTIF(Settings!$A$14:$A$43,B368)&gt;0,"Holiday posting | ","")&amp;IF(B368&gt;Settings!$C$8,"Posted after close | ","")&amp;IF(OR(B368&lt;Settings!$C$6,B368&gt;Settings!$C$7),"Outside period | ","")&amp;IF(COUNTIF(Settings!$E$14:$E$43,C368&amp;"")&gt;0,"Sensitive account | ","")&amp;IF(AND(MAX(N(E368),N(F368))&gt;=Settings!$C$9,MOD(MAX(N(E368),N(F368)),Settings!$C$10)=0),"Round amount | ",""))-3)))</f>
        <v/>
      </c>
      <c r="M368" s="21" t="str">
        <f aca="false">IF(A368="","",IF(COUNTIF($A$9:A368,A368)=1,MAX($M$8:M367)+1,""))</f>
        <v/>
      </c>
    </row>
    <row r="369" customFormat="false" ht="15" hidden="false" customHeight="false" outlineLevel="0" collapsed="false">
      <c r="A369" s="8"/>
      <c r="B369" s="17"/>
      <c r="C369" s="19"/>
      <c r="D369" s="8"/>
      <c r="E369" s="18"/>
      <c r="F369" s="18"/>
      <c r="G369" s="8"/>
      <c r="H369" s="8"/>
      <c r="I369" s="8"/>
      <c r="J369" s="8"/>
      <c r="K369" s="10" t="str">
        <f aca="false">IF(A369="","",IF(ABS(SUMIFS($E$9:$E$2008,$A$9:$A$2008,A369)-SUMIFS($F$9:$F$2008,$A$9:$A$2008,A369))&lt;0.5,"Yes","No"))</f>
        <v/>
      </c>
      <c r="L369" s="10" t="str">
        <f aca="false">IF(A369="","",IF(IF(K369="No","Does not balance | ","")&amp;IF(I369="","Not approved | ",IF(UPPER(TRIM(H369))=UPPER(TRIM(I369)),"Self-approved | ",""))&amp;IF(J369="","No support | ","")&amp;IF(WEEKDAY(B369,2)&gt;5,"Weekend posting | ","")&amp;IF(COUNTIF(Settings!$A$14:$A$43,B369)&gt;0,"Holiday posting | ","")&amp;IF(B369&gt;Settings!$C$8,"Posted after close | ","")&amp;IF(OR(B369&lt;Settings!$C$6,B369&gt;Settings!$C$7),"Outside period | ","")&amp;IF(COUNTIF(Settings!$E$14:$E$43,C369&amp;"")&gt;0,"Sensitive account | ","")&amp;IF(AND(MAX(N(E369),N(F369))&gt;=Settings!$C$9,MOD(MAX(N(E369),N(F369)),Settings!$C$10)=0),"Round amount | ","")="","",LEFT(IF(K369="No","Does not balance | ","")&amp;IF(I369="","Not approved | ",IF(UPPER(TRIM(H369))=UPPER(TRIM(I369)),"Self-approved | ",""))&amp;IF(J369="","No support | ","")&amp;IF(WEEKDAY(B369,2)&gt;5,"Weekend posting | ","")&amp;IF(COUNTIF(Settings!$A$14:$A$43,B369)&gt;0,"Holiday posting | ","")&amp;IF(B369&gt;Settings!$C$8,"Posted after close | ","")&amp;IF(OR(B369&lt;Settings!$C$6,B369&gt;Settings!$C$7),"Outside period | ","")&amp;IF(COUNTIF(Settings!$E$14:$E$43,C369&amp;"")&gt;0,"Sensitive account | ","")&amp;IF(AND(MAX(N(E369),N(F369))&gt;=Settings!$C$9,MOD(MAX(N(E369),N(F369)),Settings!$C$10)=0),"Round amount | ",""),LEN(IF(K369="No","Does not balance | ","")&amp;IF(I369="","Not approved | ",IF(UPPER(TRIM(H369))=UPPER(TRIM(I369)),"Self-approved | ",""))&amp;IF(J369="","No support | ","")&amp;IF(WEEKDAY(B369,2)&gt;5,"Weekend posting | ","")&amp;IF(COUNTIF(Settings!$A$14:$A$43,B369)&gt;0,"Holiday posting | ","")&amp;IF(B369&gt;Settings!$C$8,"Posted after close | ","")&amp;IF(OR(B369&lt;Settings!$C$6,B369&gt;Settings!$C$7),"Outside period | ","")&amp;IF(COUNTIF(Settings!$E$14:$E$43,C369&amp;"")&gt;0,"Sensitive account | ","")&amp;IF(AND(MAX(N(E369),N(F369))&gt;=Settings!$C$9,MOD(MAX(N(E369),N(F369)),Settings!$C$10)=0),"Round amount | ",""))-3)))</f>
        <v/>
      </c>
      <c r="M369" s="21" t="str">
        <f aca="false">IF(A369="","",IF(COUNTIF($A$9:A369,A369)=1,MAX($M$8:M368)+1,""))</f>
        <v/>
      </c>
    </row>
    <row r="370" customFormat="false" ht="15" hidden="false" customHeight="false" outlineLevel="0" collapsed="false">
      <c r="A370" s="8"/>
      <c r="B370" s="17"/>
      <c r="C370" s="19"/>
      <c r="D370" s="8"/>
      <c r="E370" s="18"/>
      <c r="F370" s="18"/>
      <c r="G370" s="8"/>
      <c r="H370" s="8"/>
      <c r="I370" s="8"/>
      <c r="J370" s="8"/>
      <c r="K370" s="10" t="str">
        <f aca="false">IF(A370="","",IF(ABS(SUMIFS($E$9:$E$2008,$A$9:$A$2008,A370)-SUMIFS($F$9:$F$2008,$A$9:$A$2008,A370))&lt;0.5,"Yes","No"))</f>
        <v/>
      </c>
      <c r="L370" s="10" t="str">
        <f aca="false">IF(A370="","",IF(IF(K370="No","Does not balance | ","")&amp;IF(I370="","Not approved | ",IF(UPPER(TRIM(H370))=UPPER(TRIM(I370)),"Self-approved | ",""))&amp;IF(J370="","No support | ","")&amp;IF(WEEKDAY(B370,2)&gt;5,"Weekend posting | ","")&amp;IF(COUNTIF(Settings!$A$14:$A$43,B370)&gt;0,"Holiday posting | ","")&amp;IF(B370&gt;Settings!$C$8,"Posted after close | ","")&amp;IF(OR(B370&lt;Settings!$C$6,B370&gt;Settings!$C$7),"Outside period | ","")&amp;IF(COUNTIF(Settings!$E$14:$E$43,C370&amp;"")&gt;0,"Sensitive account | ","")&amp;IF(AND(MAX(N(E370),N(F370))&gt;=Settings!$C$9,MOD(MAX(N(E370),N(F370)),Settings!$C$10)=0),"Round amount | ","")="","",LEFT(IF(K370="No","Does not balance | ","")&amp;IF(I370="","Not approved | ",IF(UPPER(TRIM(H370))=UPPER(TRIM(I370)),"Self-approved | ",""))&amp;IF(J370="","No support | ","")&amp;IF(WEEKDAY(B370,2)&gt;5,"Weekend posting | ","")&amp;IF(COUNTIF(Settings!$A$14:$A$43,B370)&gt;0,"Holiday posting | ","")&amp;IF(B370&gt;Settings!$C$8,"Posted after close | ","")&amp;IF(OR(B370&lt;Settings!$C$6,B370&gt;Settings!$C$7),"Outside period | ","")&amp;IF(COUNTIF(Settings!$E$14:$E$43,C370&amp;"")&gt;0,"Sensitive account | ","")&amp;IF(AND(MAX(N(E370),N(F370))&gt;=Settings!$C$9,MOD(MAX(N(E370),N(F370)),Settings!$C$10)=0),"Round amount | ",""),LEN(IF(K370="No","Does not balance | ","")&amp;IF(I370="","Not approved | ",IF(UPPER(TRIM(H370))=UPPER(TRIM(I370)),"Self-approved | ",""))&amp;IF(J370="","No support | ","")&amp;IF(WEEKDAY(B370,2)&gt;5,"Weekend posting | ","")&amp;IF(COUNTIF(Settings!$A$14:$A$43,B370)&gt;0,"Holiday posting | ","")&amp;IF(B370&gt;Settings!$C$8,"Posted after close | ","")&amp;IF(OR(B370&lt;Settings!$C$6,B370&gt;Settings!$C$7),"Outside period | ","")&amp;IF(COUNTIF(Settings!$E$14:$E$43,C370&amp;"")&gt;0,"Sensitive account | ","")&amp;IF(AND(MAX(N(E370),N(F370))&gt;=Settings!$C$9,MOD(MAX(N(E370),N(F370)),Settings!$C$10)=0),"Round amount | ",""))-3)))</f>
        <v/>
      </c>
      <c r="M370" s="21" t="str">
        <f aca="false">IF(A370="","",IF(COUNTIF($A$9:A370,A370)=1,MAX($M$8:M369)+1,""))</f>
        <v/>
      </c>
    </row>
    <row r="371" customFormat="false" ht="15" hidden="false" customHeight="false" outlineLevel="0" collapsed="false">
      <c r="A371" s="8"/>
      <c r="B371" s="17"/>
      <c r="C371" s="19"/>
      <c r="D371" s="8"/>
      <c r="E371" s="18"/>
      <c r="F371" s="18"/>
      <c r="G371" s="8"/>
      <c r="H371" s="8"/>
      <c r="I371" s="8"/>
      <c r="J371" s="8"/>
      <c r="K371" s="10" t="str">
        <f aca="false">IF(A371="","",IF(ABS(SUMIFS($E$9:$E$2008,$A$9:$A$2008,A371)-SUMIFS($F$9:$F$2008,$A$9:$A$2008,A371))&lt;0.5,"Yes","No"))</f>
        <v/>
      </c>
      <c r="L371" s="10" t="str">
        <f aca="false">IF(A371="","",IF(IF(K371="No","Does not balance | ","")&amp;IF(I371="","Not approved | ",IF(UPPER(TRIM(H371))=UPPER(TRIM(I371)),"Self-approved | ",""))&amp;IF(J371="","No support | ","")&amp;IF(WEEKDAY(B371,2)&gt;5,"Weekend posting | ","")&amp;IF(COUNTIF(Settings!$A$14:$A$43,B371)&gt;0,"Holiday posting | ","")&amp;IF(B371&gt;Settings!$C$8,"Posted after close | ","")&amp;IF(OR(B371&lt;Settings!$C$6,B371&gt;Settings!$C$7),"Outside period | ","")&amp;IF(COUNTIF(Settings!$E$14:$E$43,C371&amp;"")&gt;0,"Sensitive account | ","")&amp;IF(AND(MAX(N(E371),N(F371))&gt;=Settings!$C$9,MOD(MAX(N(E371),N(F371)),Settings!$C$10)=0),"Round amount | ","")="","",LEFT(IF(K371="No","Does not balance | ","")&amp;IF(I371="","Not approved | ",IF(UPPER(TRIM(H371))=UPPER(TRIM(I371)),"Self-approved | ",""))&amp;IF(J371="","No support | ","")&amp;IF(WEEKDAY(B371,2)&gt;5,"Weekend posting | ","")&amp;IF(COUNTIF(Settings!$A$14:$A$43,B371)&gt;0,"Holiday posting | ","")&amp;IF(B371&gt;Settings!$C$8,"Posted after close | ","")&amp;IF(OR(B371&lt;Settings!$C$6,B371&gt;Settings!$C$7),"Outside period | ","")&amp;IF(COUNTIF(Settings!$E$14:$E$43,C371&amp;"")&gt;0,"Sensitive account | ","")&amp;IF(AND(MAX(N(E371),N(F371))&gt;=Settings!$C$9,MOD(MAX(N(E371),N(F371)),Settings!$C$10)=0),"Round amount | ",""),LEN(IF(K371="No","Does not balance | ","")&amp;IF(I371="","Not approved | ",IF(UPPER(TRIM(H371))=UPPER(TRIM(I371)),"Self-approved | ",""))&amp;IF(J371="","No support | ","")&amp;IF(WEEKDAY(B371,2)&gt;5,"Weekend posting | ","")&amp;IF(COUNTIF(Settings!$A$14:$A$43,B371)&gt;0,"Holiday posting | ","")&amp;IF(B371&gt;Settings!$C$8,"Posted after close | ","")&amp;IF(OR(B371&lt;Settings!$C$6,B371&gt;Settings!$C$7),"Outside period | ","")&amp;IF(COUNTIF(Settings!$E$14:$E$43,C371&amp;"")&gt;0,"Sensitive account | ","")&amp;IF(AND(MAX(N(E371),N(F371))&gt;=Settings!$C$9,MOD(MAX(N(E371),N(F371)),Settings!$C$10)=0),"Round amount | ",""))-3)))</f>
        <v/>
      </c>
      <c r="M371" s="21" t="str">
        <f aca="false">IF(A371="","",IF(COUNTIF($A$9:A371,A371)=1,MAX($M$8:M370)+1,""))</f>
        <v/>
      </c>
    </row>
    <row r="372" customFormat="false" ht="15" hidden="false" customHeight="false" outlineLevel="0" collapsed="false">
      <c r="A372" s="8"/>
      <c r="B372" s="17"/>
      <c r="C372" s="19"/>
      <c r="D372" s="8"/>
      <c r="E372" s="18"/>
      <c r="F372" s="18"/>
      <c r="G372" s="8"/>
      <c r="H372" s="8"/>
      <c r="I372" s="8"/>
      <c r="J372" s="8"/>
      <c r="K372" s="10" t="str">
        <f aca="false">IF(A372="","",IF(ABS(SUMIFS($E$9:$E$2008,$A$9:$A$2008,A372)-SUMIFS($F$9:$F$2008,$A$9:$A$2008,A372))&lt;0.5,"Yes","No"))</f>
        <v/>
      </c>
      <c r="L372" s="10" t="str">
        <f aca="false">IF(A372="","",IF(IF(K372="No","Does not balance | ","")&amp;IF(I372="","Not approved | ",IF(UPPER(TRIM(H372))=UPPER(TRIM(I372)),"Self-approved | ",""))&amp;IF(J372="","No support | ","")&amp;IF(WEEKDAY(B372,2)&gt;5,"Weekend posting | ","")&amp;IF(COUNTIF(Settings!$A$14:$A$43,B372)&gt;0,"Holiday posting | ","")&amp;IF(B372&gt;Settings!$C$8,"Posted after close | ","")&amp;IF(OR(B372&lt;Settings!$C$6,B372&gt;Settings!$C$7),"Outside period | ","")&amp;IF(COUNTIF(Settings!$E$14:$E$43,C372&amp;"")&gt;0,"Sensitive account | ","")&amp;IF(AND(MAX(N(E372),N(F372))&gt;=Settings!$C$9,MOD(MAX(N(E372),N(F372)),Settings!$C$10)=0),"Round amount | ","")="","",LEFT(IF(K372="No","Does not balance | ","")&amp;IF(I372="","Not approved | ",IF(UPPER(TRIM(H372))=UPPER(TRIM(I372)),"Self-approved | ",""))&amp;IF(J372="","No support | ","")&amp;IF(WEEKDAY(B372,2)&gt;5,"Weekend posting | ","")&amp;IF(COUNTIF(Settings!$A$14:$A$43,B372)&gt;0,"Holiday posting | ","")&amp;IF(B372&gt;Settings!$C$8,"Posted after close | ","")&amp;IF(OR(B372&lt;Settings!$C$6,B372&gt;Settings!$C$7),"Outside period | ","")&amp;IF(COUNTIF(Settings!$E$14:$E$43,C372&amp;"")&gt;0,"Sensitive account | ","")&amp;IF(AND(MAX(N(E372),N(F372))&gt;=Settings!$C$9,MOD(MAX(N(E372),N(F372)),Settings!$C$10)=0),"Round amount | ",""),LEN(IF(K372="No","Does not balance | ","")&amp;IF(I372="","Not approved | ",IF(UPPER(TRIM(H372))=UPPER(TRIM(I372)),"Self-approved | ",""))&amp;IF(J372="","No support | ","")&amp;IF(WEEKDAY(B372,2)&gt;5,"Weekend posting | ","")&amp;IF(COUNTIF(Settings!$A$14:$A$43,B372)&gt;0,"Holiday posting | ","")&amp;IF(B372&gt;Settings!$C$8,"Posted after close | ","")&amp;IF(OR(B372&lt;Settings!$C$6,B372&gt;Settings!$C$7),"Outside period | ","")&amp;IF(COUNTIF(Settings!$E$14:$E$43,C372&amp;"")&gt;0,"Sensitive account | ","")&amp;IF(AND(MAX(N(E372),N(F372))&gt;=Settings!$C$9,MOD(MAX(N(E372),N(F372)),Settings!$C$10)=0),"Round amount | ",""))-3)))</f>
        <v/>
      </c>
      <c r="M372" s="21" t="str">
        <f aca="false">IF(A372="","",IF(COUNTIF($A$9:A372,A372)=1,MAX($M$8:M371)+1,""))</f>
        <v/>
      </c>
    </row>
    <row r="373" customFormat="false" ht="15" hidden="false" customHeight="false" outlineLevel="0" collapsed="false">
      <c r="A373" s="8"/>
      <c r="B373" s="17"/>
      <c r="C373" s="19"/>
      <c r="D373" s="8"/>
      <c r="E373" s="18"/>
      <c r="F373" s="18"/>
      <c r="G373" s="8"/>
      <c r="H373" s="8"/>
      <c r="I373" s="8"/>
      <c r="J373" s="8"/>
      <c r="K373" s="10" t="str">
        <f aca="false">IF(A373="","",IF(ABS(SUMIFS($E$9:$E$2008,$A$9:$A$2008,A373)-SUMIFS($F$9:$F$2008,$A$9:$A$2008,A373))&lt;0.5,"Yes","No"))</f>
        <v/>
      </c>
      <c r="L373" s="10" t="str">
        <f aca="false">IF(A373="","",IF(IF(K373="No","Does not balance | ","")&amp;IF(I373="","Not approved | ",IF(UPPER(TRIM(H373))=UPPER(TRIM(I373)),"Self-approved | ",""))&amp;IF(J373="","No support | ","")&amp;IF(WEEKDAY(B373,2)&gt;5,"Weekend posting | ","")&amp;IF(COUNTIF(Settings!$A$14:$A$43,B373)&gt;0,"Holiday posting | ","")&amp;IF(B373&gt;Settings!$C$8,"Posted after close | ","")&amp;IF(OR(B373&lt;Settings!$C$6,B373&gt;Settings!$C$7),"Outside period | ","")&amp;IF(COUNTIF(Settings!$E$14:$E$43,C373&amp;"")&gt;0,"Sensitive account | ","")&amp;IF(AND(MAX(N(E373),N(F373))&gt;=Settings!$C$9,MOD(MAX(N(E373),N(F373)),Settings!$C$10)=0),"Round amount | ","")="","",LEFT(IF(K373="No","Does not balance | ","")&amp;IF(I373="","Not approved | ",IF(UPPER(TRIM(H373))=UPPER(TRIM(I373)),"Self-approved | ",""))&amp;IF(J373="","No support | ","")&amp;IF(WEEKDAY(B373,2)&gt;5,"Weekend posting | ","")&amp;IF(COUNTIF(Settings!$A$14:$A$43,B373)&gt;0,"Holiday posting | ","")&amp;IF(B373&gt;Settings!$C$8,"Posted after close | ","")&amp;IF(OR(B373&lt;Settings!$C$6,B373&gt;Settings!$C$7),"Outside period | ","")&amp;IF(COUNTIF(Settings!$E$14:$E$43,C373&amp;"")&gt;0,"Sensitive account | ","")&amp;IF(AND(MAX(N(E373),N(F373))&gt;=Settings!$C$9,MOD(MAX(N(E373),N(F373)),Settings!$C$10)=0),"Round amount | ",""),LEN(IF(K373="No","Does not balance | ","")&amp;IF(I373="","Not approved | ",IF(UPPER(TRIM(H373))=UPPER(TRIM(I373)),"Self-approved | ",""))&amp;IF(J373="","No support | ","")&amp;IF(WEEKDAY(B373,2)&gt;5,"Weekend posting | ","")&amp;IF(COUNTIF(Settings!$A$14:$A$43,B373)&gt;0,"Holiday posting | ","")&amp;IF(B373&gt;Settings!$C$8,"Posted after close | ","")&amp;IF(OR(B373&lt;Settings!$C$6,B373&gt;Settings!$C$7),"Outside period | ","")&amp;IF(COUNTIF(Settings!$E$14:$E$43,C373&amp;"")&gt;0,"Sensitive account | ","")&amp;IF(AND(MAX(N(E373),N(F373))&gt;=Settings!$C$9,MOD(MAX(N(E373),N(F373)),Settings!$C$10)=0),"Round amount | ",""))-3)))</f>
        <v/>
      </c>
      <c r="M373" s="21" t="str">
        <f aca="false">IF(A373="","",IF(COUNTIF($A$9:A373,A373)=1,MAX($M$8:M372)+1,""))</f>
        <v/>
      </c>
    </row>
    <row r="374" customFormat="false" ht="15" hidden="false" customHeight="false" outlineLevel="0" collapsed="false">
      <c r="A374" s="8"/>
      <c r="B374" s="17"/>
      <c r="C374" s="19"/>
      <c r="D374" s="8"/>
      <c r="E374" s="18"/>
      <c r="F374" s="18"/>
      <c r="G374" s="8"/>
      <c r="H374" s="8"/>
      <c r="I374" s="8"/>
      <c r="J374" s="8"/>
      <c r="K374" s="10" t="str">
        <f aca="false">IF(A374="","",IF(ABS(SUMIFS($E$9:$E$2008,$A$9:$A$2008,A374)-SUMIFS($F$9:$F$2008,$A$9:$A$2008,A374))&lt;0.5,"Yes","No"))</f>
        <v/>
      </c>
      <c r="L374" s="10" t="str">
        <f aca="false">IF(A374="","",IF(IF(K374="No","Does not balance | ","")&amp;IF(I374="","Not approved | ",IF(UPPER(TRIM(H374))=UPPER(TRIM(I374)),"Self-approved | ",""))&amp;IF(J374="","No support | ","")&amp;IF(WEEKDAY(B374,2)&gt;5,"Weekend posting | ","")&amp;IF(COUNTIF(Settings!$A$14:$A$43,B374)&gt;0,"Holiday posting | ","")&amp;IF(B374&gt;Settings!$C$8,"Posted after close | ","")&amp;IF(OR(B374&lt;Settings!$C$6,B374&gt;Settings!$C$7),"Outside period | ","")&amp;IF(COUNTIF(Settings!$E$14:$E$43,C374&amp;"")&gt;0,"Sensitive account | ","")&amp;IF(AND(MAX(N(E374),N(F374))&gt;=Settings!$C$9,MOD(MAX(N(E374),N(F374)),Settings!$C$10)=0),"Round amount | ","")="","",LEFT(IF(K374="No","Does not balance | ","")&amp;IF(I374="","Not approved | ",IF(UPPER(TRIM(H374))=UPPER(TRIM(I374)),"Self-approved | ",""))&amp;IF(J374="","No support | ","")&amp;IF(WEEKDAY(B374,2)&gt;5,"Weekend posting | ","")&amp;IF(COUNTIF(Settings!$A$14:$A$43,B374)&gt;0,"Holiday posting | ","")&amp;IF(B374&gt;Settings!$C$8,"Posted after close | ","")&amp;IF(OR(B374&lt;Settings!$C$6,B374&gt;Settings!$C$7),"Outside period | ","")&amp;IF(COUNTIF(Settings!$E$14:$E$43,C374&amp;"")&gt;0,"Sensitive account | ","")&amp;IF(AND(MAX(N(E374),N(F374))&gt;=Settings!$C$9,MOD(MAX(N(E374),N(F374)),Settings!$C$10)=0),"Round amount | ",""),LEN(IF(K374="No","Does not balance | ","")&amp;IF(I374="","Not approved | ",IF(UPPER(TRIM(H374))=UPPER(TRIM(I374)),"Self-approved | ",""))&amp;IF(J374="","No support | ","")&amp;IF(WEEKDAY(B374,2)&gt;5,"Weekend posting | ","")&amp;IF(COUNTIF(Settings!$A$14:$A$43,B374)&gt;0,"Holiday posting | ","")&amp;IF(B374&gt;Settings!$C$8,"Posted after close | ","")&amp;IF(OR(B374&lt;Settings!$C$6,B374&gt;Settings!$C$7),"Outside period | ","")&amp;IF(COUNTIF(Settings!$E$14:$E$43,C374&amp;"")&gt;0,"Sensitive account | ","")&amp;IF(AND(MAX(N(E374),N(F374))&gt;=Settings!$C$9,MOD(MAX(N(E374),N(F374)),Settings!$C$10)=0),"Round amount | ",""))-3)))</f>
        <v/>
      </c>
      <c r="M374" s="21" t="str">
        <f aca="false">IF(A374="","",IF(COUNTIF($A$9:A374,A374)=1,MAX($M$8:M373)+1,""))</f>
        <v/>
      </c>
    </row>
    <row r="375" customFormat="false" ht="15" hidden="false" customHeight="false" outlineLevel="0" collapsed="false">
      <c r="A375" s="8"/>
      <c r="B375" s="17"/>
      <c r="C375" s="19"/>
      <c r="D375" s="8"/>
      <c r="E375" s="18"/>
      <c r="F375" s="18"/>
      <c r="G375" s="8"/>
      <c r="H375" s="8"/>
      <c r="I375" s="8"/>
      <c r="J375" s="8"/>
      <c r="K375" s="10" t="str">
        <f aca="false">IF(A375="","",IF(ABS(SUMIFS($E$9:$E$2008,$A$9:$A$2008,A375)-SUMIFS($F$9:$F$2008,$A$9:$A$2008,A375))&lt;0.5,"Yes","No"))</f>
        <v/>
      </c>
      <c r="L375" s="10" t="str">
        <f aca="false">IF(A375="","",IF(IF(K375="No","Does not balance | ","")&amp;IF(I375="","Not approved | ",IF(UPPER(TRIM(H375))=UPPER(TRIM(I375)),"Self-approved | ",""))&amp;IF(J375="","No support | ","")&amp;IF(WEEKDAY(B375,2)&gt;5,"Weekend posting | ","")&amp;IF(COUNTIF(Settings!$A$14:$A$43,B375)&gt;0,"Holiday posting | ","")&amp;IF(B375&gt;Settings!$C$8,"Posted after close | ","")&amp;IF(OR(B375&lt;Settings!$C$6,B375&gt;Settings!$C$7),"Outside period | ","")&amp;IF(COUNTIF(Settings!$E$14:$E$43,C375&amp;"")&gt;0,"Sensitive account | ","")&amp;IF(AND(MAX(N(E375),N(F375))&gt;=Settings!$C$9,MOD(MAX(N(E375),N(F375)),Settings!$C$10)=0),"Round amount | ","")="","",LEFT(IF(K375="No","Does not balance | ","")&amp;IF(I375="","Not approved | ",IF(UPPER(TRIM(H375))=UPPER(TRIM(I375)),"Self-approved | ",""))&amp;IF(J375="","No support | ","")&amp;IF(WEEKDAY(B375,2)&gt;5,"Weekend posting | ","")&amp;IF(COUNTIF(Settings!$A$14:$A$43,B375)&gt;0,"Holiday posting | ","")&amp;IF(B375&gt;Settings!$C$8,"Posted after close | ","")&amp;IF(OR(B375&lt;Settings!$C$6,B375&gt;Settings!$C$7),"Outside period | ","")&amp;IF(COUNTIF(Settings!$E$14:$E$43,C375&amp;"")&gt;0,"Sensitive account | ","")&amp;IF(AND(MAX(N(E375),N(F375))&gt;=Settings!$C$9,MOD(MAX(N(E375),N(F375)),Settings!$C$10)=0),"Round amount | ",""),LEN(IF(K375="No","Does not balance | ","")&amp;IF(I375="","Not approved | ",IF(UPPER(TRIM(H375))=UPPER(TRIM(I375)),"Self-approved | ",""))&amp;IF(J375="","No support | ","")&amp;IF(WEEKDAY(B375,2)&gt;5,"Weekend posting | ","")&amp;IF(COUNTIF(Settings!$A$14:$A$43,B375)&gt;0,"Holiday posting | ","")&amp;IF(B375&gt;Settings!$C$8,"Posted after close | ","")&amp;IF(OR(B375&lt;Settings!$C$6,B375&gt;Settings!$C$7),"Outside period | ","")&amp;IF(COUNTIF(Settings!$E$14:$E$43,C375&amp;"")&gt;0,"Sensitive account | ","")&amp;IF(AND(MAX(N(E375),N(F375))&gt;=Settings!$C$9,MOD(MAX(N(E375),N(F375)),Settings!$C$10)=0),"Round amount | ",""))-3)))</f>
        <v/>
      </c>
      <c r="M375" s="21" t="str">
        <f aca="false">IF(A375="","",IF(COUNTIF($A$9:A375,A375)=1,MAX($M$8:M374)+1,""))</f>
        <v/>
      </c>
    </row>
    <row r="376" customFormat="false" ht="15" hidden="false" customHeight="false" outlineLevel="0" collapsed="false">
      <c r="A376" s="8"/>
      <c r="B376" s="17"/>
      <c r="C376" s="19"/>
      <c r="D376" s="8"/>
      <c r="E376" s="18"/>
      <c r="F376" s="18"/>
      <c r="G376" s="8"/>
      <c r="H376" s="8"/>
      <c r="I376" s="8"/>
      <c r="J376" s="8"/>
      <c r="K376" s="10" t="str">
        <f aca="false">IF(A376="","",IF(ABS(SUMIFS($E$9:$E$2008,$A$9:$A$2008,A376)-SUMIFS($F$9:$F$2008,$A$9:$A$2008,A376))&lt;0.5,"Yes","No"))</f>
        <v/>
      </c>
      <c r="L376" s="10" t="str">
        <f aca="false">IF(A376="","",IF(IF(K376="No","Does not balance | ","")&amp;IF(I376="","Not approved | ",IF(UPPER(TRIM(H376))=UPPER(TRIM(I376)),"Self-approved | ",""))&amp;IF(J376="","No support | ","")&amp;IF(WEEKDAY(B376,2)&gt;5,"Weekend posting | ","")&amp;IF(COUNTIF(Settings!$A$14:$A$43,B376)&gt;0,"Holiday posting | ","")&amp;IF(B376&gt;Settings!$C$8,"Posted after close | ","")&amp;IF(OR(B376&lt;Settings!$C$6,B376&gt;Settings!$C$7),"Outside period | ","")&amp;IF(COUNTIF(Settings!$E$14:$E$43,C376&amp;"")&gt;0,"Sensitive account | ","")&amp;IF(AND(MAX(N(E376),N(F376))&gt;=Settings!$C$9,MOD(MAX(N(E376),N(F376)),Settings!$C$10)=0),"Round amount | ","")="","",LEFT(IF(K376="No","Does not balance | ","")&amp;IF(I376="","Not approved | ",IF(UPPER(TRIM(H376))=UPPER(TRIM(I376)),"Self-approved | ",""))&amp;IF(J376="","No support | ","")&amp;IF(WEEKDAY(B376,2)&gt;5,"Weekend posting | ","")&amp;IF(COUNTIF(Settings!$A$14:$A$43,B376)&gt;0,"Holiday posting | ","")&amp;IF(B376&gt;Settings!$C$8,"Posted after close | ","")&amp;IF(OR(B376&lt;Settings!$C$6,B376&gt;Settings!$C$7),"Outside period | ","")&amp;IF(COUNTIF(Settings!$E$14:$E$43,C376&amp;"")&gt;0,"Sensitive account | ","")&amp;IF(AND(MAX(N(E376),N(F376))&gt;=Settings!$C$9,MOD(MAX(N(E376),N(F376)),Settings!$C$10)=0),"Round amount | ",""),LEN(IF(K376="No","Does not balance | ","")&amp;IF(I376="","Not approved | ",IF(UPPER(TRIM(H376))=UPPER(TRIM(I376)),"Self-approved | ",""))&amp;IF(J376="","No support | ","")&amp;IF(WEEKDAY(B376,2)&gt;5,"Weekend posting | ","")&amp;IF(COUNTIF(Settings!$A$14:$A$43,B376)&gt;0,"Holiday posting | ","")&amp;IF(B376&gt;Settings!$C$8,"Posted after close | ","")&amp;IF(OR(B376&lt;Settings!$C$6,B376&gt;Settings!$C$7),"Outside period | ","")&amp;IF(COUNTIF(Settings!$E$14:$E$43,C376&amp;"")&gt;0,"Sensitive account | ","")&amp;IF(AND(MAX(N(E376),N(F376))&gt;=Settings!$C$9,MOD(MAX(N(E376),N(F376)),Settings!$C$10)=0),"Round amount | ",""))-3)))</f>
        <v/>
      </c>
      <c r="M376" s="21" t="str">
        <f aca="false">IF(A376="","",IF(COUNTIF($A$9:A376,A376)=1,MAX($M$8:M375)+1,""))</f>
        <v/>
      </c>
    </row>
    <row r="377" customFormat="false" ht="15" hidden="false" customHeight="false" outlineLevel="0" collapsed="false">
      <c r="A377" s="8"/>
      <c r="B377" s="17"/>
      <c r="C377" s="19"/>
      <c r="D377" s="8"/>
      <c r="E377" s="18"/>
      <c r="F377" s="18"/>
      <c r="G377" s="8"/>
      <c r="H377" s="8"/>
      <c r="I377" s="8"/>
      <c r="J377" s="8"/>
      <c r="K377" s="10" t="str">
        <f aca="false">IF(A377="","",IF(ABS(SUMIFS($E$9:$E$2008,$A$9:$A$2008,A377)-SUMIFS($F$9:$F$2008,$A$9:$A$2008,A377))&lt;0.5,"Yes","No"))</f>
        <v/>
      </c>
      <c r="L377" s="10" t="str">
        <f aca="false">IF(A377="","",IF(IF(K377="No","Does not balance | ","")&amp;IF(I377="","Not approved | ",IF(UPPER(TRIM(H377))=UPPER(TRIM(I377)),"Self-approved | ",""))&amp;IF(J377="","No support | ","")&amp;IF(WEEKDAY(B377,2)&gt;5,"Weekend posting | ","")&amp;IF(COUNTIF(Settings!$A$14:$A$43,B377)&gt;0,"Holiday posting | ","")&amp;IF(B377&gt;Settings!$C$8,"Posted after close | ","")&amp;IF(OR(B377&lt;Settings!$C$6,B377&gt;Settings!$C$7),"Outside period | ","")&amp;IF(COUNTIF(Settings!$E$14:$E$43,C377&amp;"")&gt;0,"Sensitive account | ","")&amp;IF(AND(MAX(N(E377),N(F377))&gt;=Settings!$C$9,MOD(MAX(N(E377),N(F377)),Settings!$C$10)=0),"Round amount | ","")="","",LEFT(IF(K377="No","Does not balance | ","")&amp;IF(I377="","Not approved | ",IF(UPPER(TRIM(H377))=UPPER(TRIM(I377)),"Self-approved | ",""))&amp;IF(J377="","No support | ","")&amp;IF(WEEKDAY(B377,2)&gt;5,"Weekend posting | ","")&amp;IF(COUNTIF(Settings!$A$14:$A$43,B377)&gt;0,"Holiday posting | ","")&amp;IF(B377&gt;Settings!$C$8,"Posted after close | ","")&amp;IF(OR(B377&lt;Settings!$C$6,B377&gt;Settings!$C$7),"Outside period | ","")&amp;IF(COUNTIF(Settings!$E$14:$E$43,C377&amp;"")&gt;0,"Sensitive account | ","")&amp;IF(AND(MAX(N(E377),N(F377))&gt;=Settings!$C$9,MOD(MAX(N(E377),N(F377)),Settings!$C$10)=0),"Round amount | ",""),LEN(IF(K377="No","Does not balance | ","")&amp;IF(I377="","Not approved | ",IF(UPPER(TRIM(H377))=UPPER(TRIM(I377)),"Self-approved | ",""))&amp;IF(J377="","No support | ","")&amp;IF(WEEKDAY(B377,2)&gt;5,"Weekend posting | ","")&amp;IF(COUNTIF(Settings!$A$14:$A$43,B377)&gt;0,"Holiday posting | ","")&amp;IF(B377&gt;Settings!$C$8,"Posted after close | ","")&amp;IF(OR(B377&lt;Settings!$C$6,B377&gt;Settings!$C$7),"Outside period | ","")&amp;IF(COUNTIF(Settings!$E$14:$E$43,C377&amp;"")&gt;0,"Sensitive account | ","")&amp;IF(AND(MAX(N(E377),N(F377))&gt;=Settings!$C$9,MOD(MAX(N(E377),N(F377)),Settings!$C$10)=0),"Round amount | ",""))-3)))</f>
        <v/>
      </c>
      <c r="M377" s="21" t="str">
        <f aca="false">IF(A377="","",IF(COUNTIF($A$9:A377,A377)=1,MAX($M$8:M376)+1,""))</f>
        <v/>
      </c>
    </row>
    <row r="378" customFormat="false" ht="15" hidden="false" customHeight="false" outlineLevel="0" collapsed="false">
      <c r="A378" s="8"/>
      <c r="B378" s="17"/>
      <c r="C378" s="19"/>
      <c r="D378" s="8"/>
      <c r="E378" s="18"/>
      <c r="F378" s="18"/>
      <c r="G378" s="8"/>
      <c r="H378" s="8"/>
      <c r="I378" s="8"/>
      <c r="J378" s="8"/>
      <c r="K378" s="10" t="str">
        <f aca="false">IF(A378="","",IF(ABS(SUMIFS($E$9:$E$2008,$A$9:$A$2008,A378)-SUMIFS($F$9:$F$2008,$A$9:$A$2008,A378))&lt;0.5,"Yes","No"))</f>
        <v/>
      </c>
      <c r="L378" s="10" t="str">
        <f aca="false">IF(A378="","",IF(IF(K378="No","Does not balance | ","")&amp;IF(I378="","Not approved | ",IF(UPPER(TRIM(H378))=UPPER(TRIM(I378)),"Self-approved | ",""))&amp;IF(J378="","No support | ","")&amp;IF(WEEKDAY(B378,2)&gt;5,"Weekend posting | ","")&amp;IF(COUNTIF(Settings!$A$14:$A$43,B378)&gt;0,"Holiday posting | ","")&amp;IF(B378&gt;Settings!$C$8,"Posted after close | ","")&amp;IF(OR(B378&lt;Settings!$C$6,B378&gt;Settings!$C$7),"Outside period | ","")&amp;IF(COUNTIF(Settings!$E$14:$E$43,C378&amp;"")&gt;0,"Sensitive account | ","")&amp;IF(AND(MAX(N(E378),N(F378))&gt;=Settings!$C$9,MOD(MAX(N(E378),N(F378)),Settings!$C$10)=0),"Round amount | ","")="","",LEFT(IF(K378="No","Does not balance | ","")&amp;IF(I378="","Not approved | ",IF(UPPER(TRIM(H378))=UPPER(TRIM(I378)),"Self-approved | ",""))&amp;IF(J378="","No support | ","")&amp;IF(WEEKDAY(B378,2)&gt;5,"Weekend posting | ","")&amp;IF(COUNTIF(Settings!$A$14:$A$43,B378)&gt;0,"Holiday posting | ","")&amp;IF(B378&gt;Settings!$C$8,"Posted after close | ","")&amp;IF(OR(B378&lt;Settings!$C$6,B378&gt;Settings!$C$7),"Outside period | ","")&amp;IF(COUNTIF(Settings!$E$14:$E$43,C378&amp;"")&gt;0,"Sensitive account | ","")&amp;IF(AND(MAX(N(E378),N(F378))&gt;=Settings!$C$9,MOD(MAX(N(E378),N(F378)),Settings!$C$10)=0),"Round amount | ",""),LEN(IF(K378="No","Does not balance | ","")&amp;IF(I378="","Not approved | ",IF(UPPER(TRIM(H378))=UPPER(TRIM(I378)),"Self-approved | ",""))&amp;IF(J378="","No support | ","")&amp;IF(WEEKDAY(B378,2)&gt;5,"Weekend posting | ","")&amp;IF(COUNTIF(Settings!$A$14:$A$43,B378)&gt;0,"Holiday posting | ","")&amp;IF(B378&gt;Settings!$C$8,"Posted after close | ","")&amp;IF(OR(B378&lt;Settings!$C$6,B378&gt;Settings!$C$7),"Outside period | ","")&amp;IF(COUNTIF(Settings!$E$14:$E$43,C378&amp;"")&gt;0,"Sensitive account | ","")&amp;IF(AND(MAX(N(E378),N(F378))&gt;=Settings!$C$9,MOD(MAX(N(E378),N(F378)),Settings!$C$10)=0),"Round amount | ",""))-3)))</f>
        <v/>
      </c>
      <c r="M378" s="21" t="str">
        <f aca="false">IF(A378="","",IF(COUNTIF($A$9:A378,A378)=1,MAX($M$8:M377)+1,""))</f>
        <v/>
      </c>
    </row>
    <row r="379" customFormat="false" ht="15" hidden="false" customHeight="false" outlineLevel="0" collapsed="false">
      <c r="A379" s="8"/>
      <c r="B379" s="17"/>
      <c r="C379" s="19"/>
      <c r="D379" s="8"/>
      <c r="E379" s="18"/>
      <c r="F379" s="18"/>
      <c r="G379" s="8"/>
      <c r="H379" s="8"/>
      <c r="I379" s="8"/>
      <c r="J379" s="8"/>
      <c r="K379" s="10" t="str">
        <f aca="false">IF(A379="","",IF(ABS(SUMIFS($E$9:$E$2008,$A$9:$A$2008,A379)-SUMIFS($F$9:$F$2008,$A$9:$A$2008,A379))&lt;0.5,"Yes","No"))</f>
        <v/>
      </c>
      <c r="L379" s="10" t="str">
        <f aca="false">IF(A379="","",IF(IF(K379="No","Does not balance | ","")&amp;IF(I379="","Not approved | ",IF(UPPER(TRIM(H379))=UPPER(TRIM(I379)),"Self-approved | ",""))&amp;IF(J379="","No support | ","")&amp;IF(WEEKDAY(B379,2)&gt;5,"Weekend posting | ","")&amp;IF(COUNTIF(Settings!$A$14:$A$43,B379)&gt;0,"Holiday posting | ","")&amp;IF(B379&gt;Settings!$C$8,"Posted after close | ","")&amp;IF(OR(B379&lt;Settings!$C$6,B379&gt;Settings!$C$7),"Outside period | ","")&amp;IF(COUNTIF(Settings!$E$14:$E$43,C379&amp;"")&gt;0,"Sensitive account | ","")&amp;IF(AND(MAX(N(E379),N(F379))&gt;=Settings!$C$9,MOD(MAX(N(E379),N(F379)),Settings!$C$10)=0),"Round amount | ","")="","",LEFT(IF(K379="No","Does not balance | ","")&amp;IF(I379="","Not approved | ",IF(UPPER(TRIM(H379))=UPPER(TRIM(I379)),"Self-approved | ",""))&amp;IF(J379="","No support | ","")&amp;IF(WEEKDAY(B379,2)&gt;5,"Weekend posting | ","")&amp;IF(COUNTIF(Settings!$A$14:$A$43,B379)&gt;0,"Holiday posting | ","")&amp;IF(B379&gt;Settings!$C$8,"Posted after close | ","")&amp;IF(OR(B379&lt;Settings!$C$6,B379&gt;Settings!$C$7),"Outside period | ","")&amp;IF(COUNTIF(Settings!$E$14:$E$43,C379&amp;"")&gt;0,"Sensitive account | ","")&amp;IF(AND(MAX(N(E379),N(F379))&gt;=Settings!$C$9,MOD(MAX(N(E379),N(F379)),Settings!$C$10)=0),"Round amount | ",""),LEN(IF(K379="No","Does not balance | ","")&amp;IF(I379="","Not approved | ",IF(UPPER(TRIM(H379))=UPPER(TRIM(I379)),"Self-approved | ",""))&amp;IF(J379="","No support | ","")&amp;IF(WEEKDAY(B379,2)&gt;5,"Weekend posting | ","")&amp;IF(COUNTIF(Settings!$A$14:$A$43,B379)&gt;0,"Holiday posting | ","")&amp;IF(B379&gt;Settings!$C$8,"Posted after close | ","")&amp;IF(OR(B379&lt;Settings!$C$6,B379&gt;Settings!$C$7),"Outside period | ","")&amp;IF(COUNTIF(Settings!$E$14:$E$43,C379&amp;"")&gt;0,"Sensitive account | ","")&amp;IF(AND(MAX(N(E379),N(F379))&gt;=Settings!$C$9,MOD(MAX(N(E379),N(F379)),Settings!$C$10)=0),"Round amount | ",""))-3)))</f>
        <v/>
      </c>
      <c r="M379" s="21" t="str">
        <f aca="false">IF(A379="","",IF(COUNTIF($A$9:A379,A379)=1,MAX($M$8:M378)+1,""))</f>
        <v/>
      </c>
    </row>
    <row r="380" customFormat="false" ht="15" hidden="false" customHeight="false" outlineLevel="0" collapsed="false">
      <c r="A380" s="8"/>
      <c r="B380" s="17"/>
      <c r="C380" s="19"/>
      <c r="D380" s="8"/>
      <c r="E380" s="18"/>
      <c r="F380" s="18"/>
      <c r="G380" s="8"/>
      <c r="H380" s="8"/>
      <c r="I380" s="8"/>
      <c r="J380" s="8"/>
      <c r="K380" s="10" t="str">
        <f aca="false">IF(A380="","",IF(ABS(SUMIFS($E$9:$E$2008,$A$9:$A$2008,A380)-SUMIFS($F$9:$F$2008,$A$9:$A$2008,A380))&lt;0.5,"Yes","No"))</f>
        <v/>
      </c>
      <c r="L380" s="10" t="str">
        <f aca="false">IF(A380="","",IF(IF(K380="No","Does not balance | ","")&amp;IF(I380="","Not approved | ",IF(UPPER(TRIM(H380))=UPPER(TRIM(I380)),"Self-approved | ",""))&amp;IF(J380="","No support | ","")&amp;IF(WEEKDAY(B380,2)&gt;5,"Weekend posting | ","")&amp;IF(COUNTIF(Settings!$A$14:$A$43,B380)&gt;0,"Holiday posting | ","")&amp;IF(B380&gt;Settings!$C$8,"Posted after close | ","")&amp;IF(OR(B380&lt;Settings!$C$6,B380&gt;Settings!$C$7),"Outside period | ","")&amp;IF(COUNTIF(Settings!$E$14:$E$43,C380&amp;"")&gt;0,"Sensitive account | ","")&amp;IF(AND(MAX(N(E380),N(F380))&gt;=Settings!$C$9,MOD(MAX(N(E380),N(F380)),Settings!$C$10)=0),"Round amount | ","")="","",LEFT(IF(K380="No","Does not balance | ","")&amp;IF(I380="","Not approved | ",IF(UPPER(TRIM(H380))=UPPER(TRIM(I380)),"Self-approved | ",""))&amp;IF(J380="","No support | ","")&amp;IF(WEEKDAY(B380,2)&gt;5,"Weekend posting | ","")&amp;IF(COUNTIF(Settings!$A$14:$A$43,B380)&gt;0,"Holiday posting | ","")&amp;IF(B380&gt;Settings!$C$8,"Posted after close | ","")&amp;IF(OR(B380&lt;Settings!$C$6,B380&gt;Settings!$C$7),"Outside period | ","")&amp;IF(COUNTIF(Settings!$E$14:$E$43,C380&amp;"")&gt;0,"Sensitive account | ","")&amp;IF(AND(MAX(N(E380),N(F380))&gt;=Settings!$C$9,MOD(MAX(N(E380),N(F380)),Settings!$C$10)=0),"Round amount | ",""),LEN(IF(K380="No","Does not balance | ","")&amp;IF(I380="","Not approved | ",IF(UPPER(TRIM(H380))=UPPER(TRIM(I380)),"Self-approved | ",""))&amp;IF(J380="","No support | ","")&amp;IF(WEEKDAY(B380,2)&gt;5,"Weekend posting | ","")&amp;IF(COUNTIF(Settings!$A$14:$A$43,B380)&gt;0,"Holiday posting | ","")&amp;IF(B380&gt;Settings!$C$8,"Posted after close | ","")&amp;IF(OR(B380&lt;Settings!$C$6,B380&gt;Settings!$C$7),"Outside period | ","")&amp;IF(COUNTIF(Settings!$E$14:$E$43,C380&amp;"")&gt;0,"Sensitive account | ","")&amp;IF(AND(MAX(N(E380),N(F380))&gt;=Settings!$C$9,MOD(MAX(N(E380),N(F380)),Settings!$C$10)=0),"Round amount | ",""))-3)))</f>
        <v/>
      </c>
      <c r="M380" s="21" t="str">
        <f aca="false">IF(A380="","",IF(COUNTIF($A$9:A380,A380)=1,MAX($M$8:M379)+1,""))</f>
        <v/>
      </c>
    </row>
    <row r="381" customFormat="false" ht="15" hidden="false" customHeight="false" outlineLevel="0" collapsed="false">
      <c r="A381" s="8"/>
      <c r="B381" s="17"/>
      <c r="C381" s="19"/>
      <c r="D381" s="8"/>
      <c r="E381" s="18"/>
      <c r="F381" s="18"/>
      <c r="G381" s="8"/>
      <c r="H381" s="8"/>
      <c r="I381" s="8"/>
      <c r="J381" s="8"/>
      <c r="K381" s="10" t="str">
        <f aca="false">IF(A381="","",IF(ABS(SUMIFS($E$9:$E$2008,$A$9:$A$2008,A381)-SUMIFS($F$9:$F$2008,$A$9:$A$2008,A381))&lt;0.5,"Yes","No"))</f>
        <v/>
      </c>
      <c r="L381" s="10" t="str">
        <f aca="false">IF(A381="","",IF(IF(K381="No","Does not balance | ","")&amp;IF(I381="","Not approved | ",IF(UPPER(TRIM(H381))=UPPER(TRIM(I381)),"Self-approved | ",""))&amp;IF(J381="","No support | ","")&amp;IF(WEEKDAY(B381,2)&gt;5,"Weekend posting | ","")&amp;IF(COUNTIF(Settings!$A$14:$A$43,B381)&gt;0,"Holiday posting | ","")&amp;IF(B381&gt;Settings!$C$8,"Posted after close | ","")&amp;IF(OR(B381&lt;Settings!$C$6,B381&gt;Settings!$C$7),"Outside period | ","")&amp;IF(COUNTIF(Settings!$E$14:$E$43,C381&amp;"")&gt;0,"Sensitive account | ","")&amp;IF(AND(MAX(N(E381),N(F381))&gt;=Settings!$C$9,MOD(MAX(N(E381),N(F381)),Settings!$C$10)=0),"Round amount | ","")="","",LEFT(IF(K381="No","Does not balance | ","")&amp;IF(I381="","Not approved | ",IF(UPPER(TRIM(H381))=UPPER(TRIM(I381)),"Self-approved | ",""))&amp;IF(J381="","No support | ","")&amp;IF(WEEKDAY(B381,2)&gt;5,"Weekend posting | ","")&amp;IF(COUNTIF(Settings!$A$14:$A$43,B381)&gt;0,"Holiday posting | ","")&amp;IF(B381&gt;Settings!$C$8,"Posted after close | ","")&amp;IF(OR(B381&lt;Settings!$C$6,B381&gt;Settings!$C$7),"Outside period | ","")&amp;IF(COUNTIF(Settings!$E$14:$E$43,C381&amp;"")&gt;0,"Sensitive account | ","")&amp;IF(AND(MAX(N(E381),N(F381))&gt;=Settings!$C$9,MOD(MAX(N(E381),N(F381)),Settings!$C$10)=0),"Round amount | ",""),LEN(IF(K381="No","Does not balance | ","")&amp;IF(I381="","Not approved | ",IF(UPPER(TRIM(H381))=UPPER(TRIM(I381)),"Self-approved | ",""))&amp;IF(J381="","No support | ","")&amp;IF(WEEKDAY(B381,2)&gt;5,"Weekend posting | ","")&amp;IF(COUNTIF(Settings!$A$14:$A$43,B381)&gt;0,"Holiday posting | ","")&amp;IF(B381&gt;Settings!$C$8,"Posted after close | ","")&amp;IF(OR(B381&lt;Settings!$C$6,B381&gt;Settings!$C$7),"Outside period | ","")&amp;IF(COUNTIF(Settings!$E$14:$E$43,C381&amp;"")&gt;0,"Sensitive account | ","")&amp;IF(AND(MAX(N(E381),N(F381))&gt;=Settings!$C$9,MOD(MAX(N(E381),N(F381)),Settings!$C$10)=0),"Round amount | ",""))-3)))</f>
        <v/>
      </c>
      <c r="M381" s="21" t="str">
        <f aca="false">IF(A381="","",IF(COUNTIF($A$9:A381,A381)=1,MAX($M$8:M380)+1,""))</f>
        <v/>
      </c>
    </row>
    <row r="382" customFormat="false" ht="15" hidden="false" customHeight="false" outlineLevel="0" collapsed="false">
      <c r="A382" s="8"/>
      <c r="B382" s="17"/>
      <c r="C382" s="19"/>
      <c r="D382" s="8"/>
      <c r="E382" s="18"/>
      <c r="F382" s="18"/>
      <c r="G382" s="8"/>
      <c r="H382" s="8"/>
      <c r="I382" s="8"/>
      <c r="J382" s="8"/>
      <c r="K382" s="10" t="str">
        <f aca="false">IF(A382="","",IF(ABS(SUMIFS($E$9:$E$2008,$A$9:$A$2008,A382)-SUMIFS($F$9:$F$2008,$A$9:$A$2008,A382))&lt;0.5,"Yes","No"))</f>
        <v/>
      </c>
      <c r="L382" s="10" t="str">
        <f aca="false">IF(A382="","",IF(IF(K382="No","Does not balance | ","")&amp;IF(I382="","Not approved | ",IF(UPPER(TRIM(H382))=UPPER(TRIM(I382)),"Self-approved | ",""))&amp;IF(J382="","No support | ","")&amp;IF(WEEKDAY(B382,2)&gt;5,"Weekend posting | ","")&amp;IF(COUNTIF(Settings!$A$14:$A$43,B382)&gt;0,"Holiday posting | ","")&amp;IF(B382&gt;Settings!$C$8,"Posted after close | ","")&amp;IF(OR(B382&lt;Settings!$C$6,B382&gt;Settings!$C$7),"Outside period | ","")&amp;IF(COUNTIF(Settings!$E$14:$E$43,C382&amp;"")&gt;0,"Sensitive account | ","")&amp;IF(AND(MAX(N(E382),N(F382))&gt;=Settings!$C$9,MOD(MAX(N(E382),N(F382)),Settings!$C$10)=0),"Round amount | ","")="","",LEFT(IF(K382="No","Does not balance | ","")&amp;IF(I382="","Not approved | ",IF(UPPER(TRIM(H382))=UPPER(TRIM(I382)),"Self-approved | ",""))&amp;IF(J382="","No support | ","")&amp;IF(WEEKDAY(B382,2)&gt;5,"Weekend posting | ","")&amp;IF(COUNTIF(Settings!$A$14:$A$43,B382)&gt;0,"Holiday posting | ","")&amp;IF(B382&gt;Settings!$C$8,"Posted after close | ","")&amp;IF(OR(B382&lt;Settings!$C$6,B382&gt;Settings!$C$7),"Outside period | ","")&amp;IF(COUNTIF(Settings!$E$14:$E$43,C382&amp;"")&gt;0,"Sensitive account | ","")&amp;IF(AND(MAX(N(E382),N(F382))&gt;=Settings!$C$9,MOD(MAX(N(E382),N(F382)),Settings!$C$10)=0),"Round amount | ",""),LEN(IF(K382="No","Does not balance | ","")&amp;IF(I382="","Not approved | ",IF(UPPER(TRIM(H382))=UPPER(TRIM(I382)),"Self-approved | ",""))&amp;IF(J382="","No support | ","")&amp;IF(WEEKDAY(B382,2)&gt;5,"Weekend posting | ","")&amp;IF(COUNTIF(Settings!$A$14:$A$43,B382)&gt;0,"Holiday posting | ","")&amp;IF(B382&gt;Settings!$C$8,"Posted after close | ","")&amp;IF(OR(B382&lt;Settings!$C$6,B382&gt;Settings!$C$7),"Outside period | ","")&amp;IF(COUNTIF(Settings!$E$14:$E$43,C382&amp;"")&gt;0,"Sensitive account | ","")&amp;IF(AND(MAX(N(E382),N(F382))&gt;=Settings!$C$9,MOD(MAX(N(E382),N(F382)),Settings!$C$10)=0),"Round amount | ",""))-3)))</f>
        <v/>
      </c>
      <c r="M382" s="21" t="str">
        <f aca="false">IF(A382="","",IF(COUNTIF($A$9:A382,A382)=1,MAX($M$8:M381)+1,""))</f>
        <v/>
      </c>
    </row>
    <row r="383" customFormat="false" ht="15" hidden="false" customHeight="false" outlineLevel="0" collapsed="false">
      <c r="A383" s="8"/>
      <c r="B383" s="17"/>
      <c r="C383" s="19"/>
      <c r="D383" s="8"/>
      <c r="E383" s="18"/>
      <c r="F383" s="18"/>
      <c r="G383" s="8"/>
      <c r="H383" s="8"/>
      <c r="I383" s="8"/>
      <c r="J383" s="8"/>
      <c r="K383" s="10" t="str">
        <f aca="false">IF(A383="","",IF(ABS(SUMIFS($E$9:$E$2008,$A$9:$A$2008,A383)-SUMIFS($F$9:$F$2008,$A$9:$A$2008,A383))&lt;0.5,"Yes","No"))</f>
        <v/>
      </c>
      <c r="L383" s="10" t="str">
        <f aca="false">IF(A383="","",IF(IF(K383="No","Does not balance | ","")&amp;IF(I383="","Not approved | ",IF(UPPER(TRIM(H383))=UPPER(TRIM(I383)),"Self-approved | ",""))&amp;IF(J383="","No support | ","")&amp;IF(WEEKDAY(B383,2)&gt;5,"Weekend posting | ","")&amp;IF(COUNTIF(Settings!$A$14:$A$43,B383)&gt;0,"Holiday posting | ","")&amp;IF(B383&gt;Settings!$C$8,"Posted after close | ","")&amp;IF(OR(B383&lt;Settings!$C$6,B383&gt;Settings!$C$7),"Outside period | ","")&amp;IF(COUNTIF(Settings!$E$14:$E$43,C383&amp;"")&gt;0,"Sensitive account | ","")&amp;IF(AND(MAX(N(E383),N(F383))&gt;=Settings!$C$9,MOD(MAX(N(E383),N(F383)),Settings!$C$10)=0),"Round amount | ","")="","",LEFT(IF(K383="No","Does not balance | ","")&amp;IF(I383="","Not approved | ",IF(UPPER(TRIM(H383))=UPPER(TRIM(I383)),"Self-approved | ",""))&amp;IF(J383="","No support | ","")&amp;IF(WEEKDAY(B383,2)&gt;5,"Weekend posting | ","")&amp;IF(COUNTIF(Settings!$A$14:$A$43,B383)&gt;0,"Holiday posting | ","")&amp;IF(B383&gt;Settings!$C$8,"Posted after close | ","")&amp;IF(OR(B383&lt;Settings!$C$6,B383&gt;Settings!$C$7),"Outside period | ","")&amp;IF(COUNTIF(Settings!$E$14:$E$43,C383&amp;"")&gt;0,"Sensitive account | ","")&amp;IF(AND(MAX(N(E383),N(F383))&gt;=Settings!$C$9,MOD(MAX(N(E383),N(F383)),Settings!$C$10)=0),"Round amount | ",""),LEN(IF(K383="No","Does not balance | ","")&amp;IF(I383="","Not approved | ",IF(UPPER(TRIM(H383))=UPPER(TRIM(I383)),"Self-approved | ",""))&amp;IF(J383="","No support | ","")&amp;IF(WEEKDAY(B383,2)&gt;5,"Weekend posting | ","")&amp;IF(COUNTIF(Settings!$A$14:$A$43,B383)&gt;0,"Holiday posting | ","")&amp;IF(B383&gt;Settings!$C$8,"Posted after close | ","")&amp;IF(OR(B383&lt;Settings!$C$6,B383&gt;Settings!$C$7),"Outside period | ","")&amp;IF(COUNTIF(Settings!$E$14:$E$43,C383&amp;"")&gt;0,"Sensitive account | ","")&amp;IF(AND(MAX(N(E383),N(F383))&gt;=Settings!$C$9,MOD(MAX(N(E383),N(F383)),Settings!$C$10)=0),"Round amount | ",""))-3)))</f>
        <v/>
      </c>
      <c r="M383" s="21" t="str">
        <f aca="false">IF(A383="","",IF(COUNTIF($A$9:A383,A383)=1,MAX($M$8:M382)+1,""))</f>
        <v/>
      </c>
    </row>
    <row r="384" customFormat="false" ht="15" hidden="false" customHeight="false" outlineLevel="0" collapsed="false">
      <c r="A384" s="8"/>
      <c r="B384" s="17"/>
      <c r="C384" s="19"/>
      <c r="D384" s="8"/>
      <c r="E384" s="18"/>
      <c r="F384" s="18"/>
      <c r="G384" s="8"/>
      <c r="H384" s="8"/>
      <c r="I384" s="8"/>
      <c r="J384" s="8"/>
      <c r="K384" s="10" t="str">
        <f aca="false">IF(A384="","",IF(ABS(SUMIFS($E$9:$E$2008,$A$9:$A$2008,A384)-SUMIFS($F$9:$F$2008,$A$9:$A$2008,A384))&lt;0.5,"Yes","No"))</f>
        <v/>
      </c>
      <c r="L384" s="10" t="str">
        <f aca="false">IF(A384="","",IF(IF(K384="No","Does not balance | ","")&amp;IF(I384="","Not approved | ",IF(UPPER(TRIM(H384))=UPPER(TRIM(I384)),"Self-approved | ",""))&amp;IF(J384="","No support | ","")&amp;IF(WEEKDAY(B384,2)&gt;5,"Weekend posting | ","")&amp;IF(COUNTIF(Settings!$A$14:$A$43,B384)&gt;0,"Holiday posting | ","")&amp;IF(B384&gt;Settings!$C$8,"Posted after close | ","")&amp;IF(OR(B384&lt;Settings!$C$6,B384&gt;Settings!$C$7),"Outside period | ","")&amp;IF(COUNTIF(Settings!$E$14:$E$43,C384&amp;"")&gt;0,"Sensitive account | ","")&amp;IF(AND(MAX(N(E384),N(F384))&gt;=Settings!$C$9,MOD(MAX(N(E384),N(F384)),Settings!$C$10)=0),"Round amount | ","")="","",LEFT(IF(K384="No","Does not balance | ","")&amp;IF(I384="","Not approved | ",IF(UPPER(TRIM(H384))=UPPER(TRIM(I384)),"Self-approved | ",""))&amp;IF(J384="","No support | ","")&amp;IF(WEEKDAY(B384,2)&gt;5,"Weekend posting | ","")&amp;IF(COUNTIF(Settings!$A$14:$A$43,B384)&gt;0,"Holiday posting | ","")&amp;IF(B384&gt;Settings!$C$8,"Posted after close | ","")&amp;IF(OR(B384&lt;Settings!$C$6,B384&gt;Settings!$C$7),"Outside period | ","")&amp;IF(COUNTIF(Settings!$E$14:$E$43,C384&amp;"")&gt;0,"Sensitive account | ","")&amp;IF(AND(MAX(N(E384),N(F384))&gt;=Settings!$C$9,MOD(MAX(N(E384),N(F384)),Settings!$C$10)=0),"Round amount | ",""),LEN(IF(K384="No","Does not balance | ","")&amp;IF(I384="","Not approved | ",IF(UPPER(TRIM(H384))=UPPER(TRIM(I384)),"Self-approved | ",""))&amp;IF(J384="","No support | ","")&amp;IF(WEEKDAY(B384,2)&gt;5,"Weekend posting | ","")&amp;IF(COUNTIF(Settings!$A$14:$A$43,B384)&gt;0,"Holiday posting | ","")&amp;IF(B384&gt;Settings!$C$8,"Posted after close | ","")&amp;IF(OR(B384&lt;Settings!$C$6,B384&gt;Settings!$C$7),"Outside period | ","")&amp;IF(COUNTIF(Settings!$E$14:$E$43,C384&amp;"")&gt;0,"Sensitive account | ","")&amp;IF(AND(MAX(N(E384),N(F384))&gt;=Settings!$C$9,MOD(MAX(N(E384),N(F384)),Settings!$C$10)=0),"Round amount | ",""))-3)))</f>
        <v/>
      </c>
      <c r="M384" s="21" t="str">
        <f aca="false">IF(A384="","",IF(COUNTIF($A$9:A384,A384)=1,MAX($M$8:M383)+1,""))</f>
        <v/>
      </c>
    </row>
    <row r="385" customFormat="false" ht="15" hidden="false" customHeight="false" outlineLevel="0" collapsed="false">
      <c r="A385" s="8"/>
      <c r="B385" s="17"/>
      <c r="C385" s="19"/>
      <c r="D385" s="8"/>
      <c r="E385" s="18"/>
      <c r="F385" s="18"/>
      <c r="G385" s="8"/>
      <c r="H385" s="8"/>
      <c r="I385" s="8"/>
      <c r="J385" s="8"/>
      <c r="K385" s="10" t="str">
        <f aca="false">IF(A385="","",IF(ABS(SUMIFS($E$9:$E$2008,$A$9:$A$2008,A385)-SUMIFS($F$9:$F$2008,$A$9:$A$2008,A385))&lt;0.5,"Yes","No"))</f>
        <v/>
      </c>
      <c r="L385" s="10" t="str">
        <f aca="false">IF(A385="","",IF(IF(K385="No","Does not balance | ","")&amp;IF(I385="","Not approved | ",IF(UPPER(TRIM(H385))=UPPER(TRIM(I385)),"Self-approved | ",""))&amp;IF(J385="","No support | ","")&amp;IF(WEEKDAY(B385,2)&gt;5,"Weekend posting | ","")&amp;IF(COUNTIF(Settings!$A$14:$A$43,B385)&gt;0,"Holiday posting | ","")&amp;IF(B385&gt;Settings!$C$8,"Posted after close | ","")&amp;IF(OR(B385&lt;Settings!$C$6,B385&gt;Settings!$C$7),"Outside period | ","")&amp;IF(COUNTIF(Settings!$E$14:$E$43,C385&amp;"")&gt;0,"Sensitive account | ","")&amp;IF(AND(MAX(N(E385),N(F385))&gt;=Settings!$C$9,MOD(MAX(N(E385),N(F385)),Settings!$C$10)=0),"Round amount | ","")="","",LEFT(IF(K385="No","Does not balance | ","")&amp;IF(I385="","Not approved | ",IF(UPPER(TRIM(H385))=UPPER(TRIM(I385)),"Self-approved | ",""))&amp;IF(J385="","No support | ","")&amp;IF(WEEKDAY(B385,2)&gt;5,"Weekend posting | ","")&amp;IF(COUNTIF(Settings!$A$14:$A$43,B385)&gt;0,"Holiday posting | ","")&amp;IF(B385&gt;Settings!$C$8,"Posted after close | ","")&amp;IF(OR(B385&lt;Settings!$C$6,B385&gt;Settings!$C$7),"Outside period | ","")&amp;IF(COUNTIF(Settings!$E$14:$E$43,C385&amp;"")&gt;0,"Sensitive account | ","")&amp;IF(AND(MAX(N(E385),N(F385))&gt;=Settings!$C$9,MOD(MAX(N(E385),N(F385)),Settings!$C$10)=0),"Round amount | ",""),LEN(IF(K385="No","Does not balance | ","")&amp;IF(I385="","Not approved | ",IF(UPPER(TRIM(H385))=UPPER(TRIM(I385)),"Self-approved | ",""))&amp;IF(J385="","No support | ","")&amp;IF(WEEKDAY(B385,2)&gt;5,"Weekend posting | ","")&amp;IF(COUNTIF(Settings!$A$14:$A$43,B385)&gt;0,"Holiday posting | ","")&amp;IF(B385&gt;Settings!$C$8,"Posted after close | ","")&amp;IF(OR(B385&lt;Settings!$C$6,B385&gt;Settings!$C$7),"Outside period | ","")&amp;IF(COUNTIF(Settings!$E$14:$E$43,C385&amp;"")&gt;0,"Sensitive account | ","")&amp;IF(AND(MAX(N(E385),N(F385))&gt;=Settings!$C$9,MOD(MAX(N(E385),N(F385)),Settings!$C$10)=0),"Round amount | ",""))-3)))</f>
        <v/>
      </c>
      <c r="M385" s="21" t="str">
        <f aca="false">IF(A385="","",IF(COUNTIF($A$9:A385,A385)=1,MAX($M$8:M384)+1,""))</f>
        <v/>
      </c>
    </row>
    <row r="386" customFormat="false" ht="15" hidden="false" customHeight="false" outlineLevel="0" collapsed="false">
      <c r="A386" s="8"/>
      <c r="B386" s="17"/>
      <c r="C386" s="19"/>
      <c r="D386" s="8"/>
      <c r="E386" s="18"/>
      <c r="F386" s="18"/>
      <c r="G386" s="8"/>
      <c r="H386" s="8"/>
      <c r="I386" s="8"/>
      <c r="J386" s="8"/>
      <c r="K386" s="10" t="str">
        <f aca="false">IF(A386="","",IF(ABS(SUMIFS($E$9:$E$2008,$A$9:$A$2008,A386)-SUMIFS($F$9:$F$2008,$A$9:$A$2008,A386))&lt;0.5,"Yes","No"))</f>
        <v/>
      </c>
      <c r="L386" s="10" t="str">
        <f aca="false">IF(A386="","",IF(IF(K386="No","Does not balance | ","")&amp;IF(I386="","Not approved | ",IF(UPPER(TRIM(H386))=UPPER(TRIM(I386)),"Self-approved | ",""))&amp;IF(J386="","No support | ","")&amp;IF(WEEKDAY(B386,2)&gt;5,"Weekend posting | ","")&amp;IF(COUNTIF(Settings!$A$14:$A$43,B386)&gt;0,"Holiday posting | ","")&amp;IF(B386&gt;Settings!$C$8,"Posted after close | ","")&amp;IF(OR(B386&lt;Settings!$C$6,B386&gt;Settings!$C$7),"Outside period | ","")&amp;IF(COUNTIF(Settings!$E$14:$E$43,C386&amp;"")&gt;0,"Sensitive account | ","")&amp;IF(AND(MAX(N(E386),N(F386))&gt;=Settings!$C$9,MOD(MAX(N(E386),N(F386)),Settings!$C$10)=0),"Round amount | ","")="","",LEFT(IF(K386="No","Does not balance | ","")&amp;IF(I386="","Not approved | ",IF(UPPER(TRIM(H386))=UPPER(TRIM(I386)),"Self-approved | ",""))&amp;IF(J386="","No support | ","")&amp;IF(WEEKDAY(B386,2)&gt;5,"Weekend posting | ","")&amp;IF(COUNTIF(Settings!$A$14:$A$43,B386)&gt;0,"Holiday posting | ","")&amp;IF(B386&gt;Settings!$C$8,"Posted after close | ","")&amp;IF(OR(B386&lt;Settings!$C$6,B386&gt;Settings!$C$7),"Outside period | ","")&amp;IF(COUNTIF(Settings!$E$14:$E$43,C386&amp;"")&gt;0,"Sensitive account | ","")&amp;IF(AND(MAX(N(E386),N(F386))&gt;=Settings!$C$9,MOD(MAX(N(E386),N(F386)),Settings!$C$10)=0),"Round amount | ",""),LEN(IF(K386="No","Does not balance | ","")&amp;IF(I386="","Not approved | ",IF(UPPER(TRIM(H386))=UPPER(TRIM(I386)),"Self-approved | ",""))&amp;IF(J386="","No support | ","")&amp;IF(WEEKDAY(B386,2)&gt;5,"Weekend posting | ","")&amp;IF(COUNTIF(Settings!$A$14:$A$43,B386)&gt;0,"Holiday posting | ","")&amp;IF(B386&gt;Settings!$C$8,"Posted after close | ","")&amp;IF(OR(B386&lt;Settings!$C$6,B386&gt;Settings!$C$7),"Outside period | ","")&amp;IF(COUNTIF(Settings!$E$14:$E$43,C386&amp;"")&gt;0,"Sensitive account | ","")&amp;IF(AND(MAX(N(E386),N(F386))&gt;=Settings!$C$9,MOD(MAX(N(E386),N(F386)),Settings!$C$10)=0),"Round amount | ",""))-3)))</f>
        <v/>
      </c>
      <c r="M386" s="21" t="str">
        <f aca="false">IF(A386="","",IF(COUNTIF($A$9:A386,A386)=1,MAX($M$8:M385)+1,""))</f>
        <v/>
      </c>
    </row>
    <row r="387" customFormat="false" ht="15" hidden="false" customHeight="false" outlineLevel="0" collapsed="false">
      <c r="A387" s="8"/>
      <c r="B387" s="17"/>
      <c r="C387" s="19"/>
      <c r="D387" s="8"/>
      <c r="E387" s="18"/>
      <c r="F387" s="18"/>
      <c r="G387" s="8"/>
      <c r="H387" s="8"/>
      <c r="I387" s="8"/>
      <c r="J387" s="8"/>
      <c r="K387" s="10" t="str">
        <f aca="false">IF(A387="","",IF(ABS(SUMIFS($E$9:$E$2008,$A$9:$A$2008,A387)-SUMIFS($F$9:$F$2008,$A$9:$A$2008,A387))&lt;0.5,"Yes","No"))</f>
        <v/>
      </c>
      <c r="L387" s="10" t="str">
        <f aca="false">IF(A387="","",IF(IF(K387="No","Does not balance | ","")&amp;IF(I387="","Not approved | ",IF(UPPER(TRIM(H387))=UPPER(TRIM(I387)),"Self-approved | ",""))&amp;IF(J387="","No support | ","")&amp;IF(WEEKDAY(B387,2)&gt;5,"Weekend posting | ","")&amp;IF(COUNTIF(Settings!$A$14:$A$43,B387)&gt;0,"Holiday posting | ","")&amp;IF(B387&gt;Settings!$C$8,"Posted after close | ","")&amp;IF(OR(B387&lt;Settings!$C$6,B387&gt;Settings!$C$7),"Outside period | ","")&amp;IF(COUNTIF(Settings!$E$14:$E$43,C387&amp;"")&gt;0,"Sensitive account | ","")&amp;IF(AND(MAX(N(E387),N(F387))&gt;=Settings!$C$9,MOD(MAX(N(E387),N(F387)),Settings!$C$10)=0),"Round amount | ","")="","",LEFT(IF(K387="No","Does not balance | ","")&amp;IF(I387="","Not approved | ",IF(UPPER(TRIM(H387))=UPPER(TRIM(I387)),"Self-approved | ",""))&amp;IF(J387="","No support | ","")&amp;IF(WEEKDAY(B387,2)&gt;5,"Weekend posting | ","")&amp;IF(COUNTIF(Settings!$A$14:$A$43,B387)&gt;0,"Holiday posting | ","")&amp;IF(B387&gt;Settings!$C$8,"Posted after close | ","")&amp;IF(OR(B387&lt;Settings!$C$6,B387&gt;Settings!$C$7),"Outside period | ","")&amp;IF(COUNTIF(Settings!$E$14:$E$43,C387&amp;"")&gt;0,"Sensitive account | ","")&amp;IF(AND(MAX(N(E387),N(F387))&gt;=Settings!$C$9,MOD(MAX(N(E387),N(F387)),Settings!$C$10)=0),"Round amount | ",""),LEN(IF(K387="No","Does not balance | ","")&amp;IF(I387="","Not approved | ",IF(UPPER(TRIM(H387))=UPPER(TRIM(I387)),"Self-approved | ",""))&amp;IF(J387="","No support | ","")&amp;IF(WEEKDAY(B387,2)&gt;5,"Weekend posting | ","")&amp;IF(COUNTIF(Settings!$A$14:$A$43,B387)&gt;0,"Holiday posting | ","")&amp;IF(B387&gt;Settings!$C$8,"Posted after close | ","")&amp;IF(OR(B387&lt;Settings!$C$6,B387&gt;Settings!$C$7),"Outside period | ","")&amp;IF(COUNTIF(Settings!$E$14:$E$43,C387&amp;"")&gt;0,"Sensitive account | ","")&amp;IF(AND(MAX(N(E387),N(F387))&gt;=Settings!$C$9,MOD(MAX(N(E387),N(F387)),Settings!$C$10)=0),"Round amount | ",""))-3)))</f>
        <v/>
      </c>
      <c r="M387" s="21" t="str">
        <f aca="false">IF(A387="","",IF(COUNTIF($A$9:A387,A387)=1,MAX($M$8:M386)+1,""))</f>
        <v/>
      </c>
    </row>
    <row r="388" customFormat="false" ht="15" hidden="false" customHeight="false" outlineLevel="0" collapsed="false">
      <c r="A388" s="8"/>
      <c r="B388" s="17"/>
      <c r="C388" s="19"/>
      <c r="D388" s="8"/>
      <c r="E388" s="18"/>
      <c r="F388" s="18"/>
      <c r="G388" s="8"/>
      <c r="H388" s="8"/>
      <c r="I388" s="8"/>
      <c r="J388" s="8"/>
      <c r="K388" s="10" t="str">
        <f aca="false">IF(A388="","",IF(ABS(SUMIFS($E$9:$E$2008,$A$9:$A$2008,A388)-SUMIFS($F$9:$F$2008,$A$9:$A$2008,A388))&lt;0.5,"Yes","No"))</f>
        <v/>
      </c>
      <c r="L388" s="10" t="str">
        <f aca="false">IF(A388="","",IF(IF(K388="No","Does not balance | ","")&amp;IF(I388="","Not approved | ",IF(UPPER(TRIM(H388))=UPPER(TRIM(I388)),"Self-approved | ",""))&amp;IF(J388="","No support | ","")&amp;IF(WEEKDAY(B388,2)&gt;5,"Weekend posting | ","")&amp;IF(COUNTIF(Settings!$A$14:$A$43,B388)&gt;0,"Holiday posting | ","")&amp;IF(B388&gt;Settings!$C$8,"Posted after close | ","")&amp;IF(OR(B388&lt;Settings!$C$6,B388&gt;Settings!$C$7),"Outside period | ","")&amp;IF(COUNTIF(Settings!$E$14:$E$43,C388&amp;"")&gt;0,"Sensitive account | ","")&amp;IF(AND(MAX(N(E388),N(F388))&gt;=Settings!$C$9,MOD(MAX(N(E388),N(F388)),Settings!$C$10)=0),"Round amount | ","")="","",LEFT(IF(K388="No","Does not balance | ","")&amp;IF(I388="","Not approved | ",IF(UPPER(TRIM(H388))=UPPER(TRIM(I388)),"Self-approved | ",""))&amp;IF(J388="","No support | ","")&amp;IF(WEEKDAY(B388,2)&gt;5,"Weekend posting | ","")&amp;IF(COUNTIF(Settings!$A$14:$A$43,B388)&gt;0,"Holiday posting | ","")&amp;IF(B388&gt;Settings!$C$8,"Posted after close | ","")&amp;IF(OR(B388&lt;Settings!$C$6,B388&gt;Settings!$C$7),"Outside period | ","")&amp;IF(COUNTIF(Settings!$E$14:$E$43,C388&amp;"")&gt;0,"Sensitive account | ","")&amp;IF(AND(MAX(N(E388),N(F388))&gt;=Settings!$C$9,MOD(MAX(N(E388),N(F388)),Settings!$C$10)=0),"Round amount | ",""),LEN(IF(K388="No","Does not balance | ","")&amp;IF(I388="","Not approved | ",IF(UPPER(TRIM(H388))=UPPER(TRIM(I388)),"Self-approved | ",""))&amp;IF(J388="","No support | ","")&amp;IF(WEEKDAY(B388,2)&gt;5,"Weekend posting | ","")&amp;IF(COUNTIF(Settings!$A$14:$A$43,B388)&gt;0,"Holiday posting | ","")&amp;IF(B388&gt;Settings!$C$8,"Posted after close | ","")&amp;IF(OR(B388&lt;Settings!$C$6,B388&gt;Settings!$C$7),"Outside period | ","")&amp;IF(COUNTIF(Settings!$E$14:$E$43,C388&amp;"")&gt;0,"Sensitive account | ","")&amp;IF(AND(MAX(N(E388),N(F388))&gt;=Settings!$C$9,MOD(MAX(N(E388),N(F388)),Settings!$C$10)=0),"Round amount | ",""))-3)))</f>
        <v/>
      </c>
      <c r="M388" s="21" t="str">
        <f aca="false">IF(A388="","",IF(COUNTIF($A$9:A388,A388)=1,MAX($M$8:M387)+1,""))</f>
        <v/>
      </c>
    </row>
    <row r="389" customFormat="false" ht="15" hidden="false" customHeight="false" outlineLevel="0" collapsed="false">
      <c r="A389" s="8"/>
      <c r="B389" s="17"/>
      <c r="C389" s="19"/>
      <c r="D389" s="8"/>
      <c r="E389" s="18"/>
      <c r="F389" s="18"/>
      <c r="G389" s="8"/>
      <c r="H389" s="8"/>
      <c r="I389" s="8"/>
      <c r="J389" s="8"/>
      <c r="K389" s="10" t="str">
        <f aca="false">IF(A389="","",IF(ABS(SUMIFS($E$9:$E$2008,$A$9:$A$2008,A389)-SUMIFS($F$9:$F$2008,$A$9:$A$2008,A389))&lt;0.5,"Yes","No"))</f>
        <v/>
      </c>
      <c r="L389" s="10" t="str">
        <f aca="false">IF(A389="","",IF(IF(K389="No","Does not balance | ","")&amp;IF(I389="","Not approved | ",IF(UPPER(TRIM(H389))=UPPER(TRIM(I389)),"Self-approved | ",""))&amp;IF(J389="","No support | ","")&amp;IF(WEEKDAY(B389,2)&gt;5,"Weekend posting | ","")&amp;IF(COUNTIF(Settings!$A$14:$A$43,B389)&gt;0,"Holiday posting | ","")&amp;IF(B389&gt;Settings!$C$8,"Posted after close | ","")&amp;IF(OR(B389&lt;Settings!$C$6,B389&gt;Settings!$C$7),"Outside period | ","")&amp;IF(COUNTIF(Settings!$E$14:$E$43,C389&amp;"")&gt;0,"Sensitive account | ","")&amp;IF(AND(MAX(N(E389),N(F389))&gt;=Settings!$C$9,MOD(MAX(N(E389),N(F389)),Settings!$C$10)=0),"Round amount | ","")="","",LEFT(IF(K389="No","Does not balance | ","")&amp;IF(I389="","Not approved | ",IF(UPPER(TRIM(H389))=UPPER(TRIM(I389)),"Self-approved | ",""))&amp;IF(J389="","No support | ","")&amp;IF(WEEKDAY(B389,2)&gt;5,"Weekend posting | ","")&amp;IF(COUNTIF(Settings!$A$14:$A$43,B389)&gt;0,"Holiday posting | ","")&amp;IF(B389&gt;Settings!$C$8,"Posted after close | ","")&amp;IF(OR(B389&lt;Settings!$C$6,B389&gt;Settings!$C$7),"Outside period | ","")&amp;IF(COUNTIF(Settings!$E$14:$E$43,C389&amp;"")&gt;0,"Sensitive account | ","")&amp;IF(AND(MAX(N(E389),N(F389))&gt;=Settings!$C$9,MOD(MAX(N(E389),N(F389)),Settings!$C$10)=0),"Round amount | ",""),LEN(IF(K389="No","Does not balance | ","")&amp;IF(I389="","Not approved | ",IF(UPPER(TRIM(H389))=UPPER(TRIM(I389)),"Self-approved | ",""))&amp;IF(J389="","No support | ","")&amp;IF(WEEKDAY(B389,2)&gt;5,"Weekend posting | ","")&amp;IF(COUNTIF(Settings!$A$14:$A$43,B389)&gt;0,"Holiday posting | ","")&amp;IF(B389&gt;Settings!$C$8,"Posted after close | ","")&amp;IF(OR(B389&lt;Settings!$C$6,B389&gt;Settings!$C$7),"Outside period | ","")&amp;IF(COUNTIF(Settings!$E$14:$E$43,C389&amp;"")&gt;0,"Sensitive account | ","")&amp;IF(AND(MAX(N(E389),N(F389))&gt;=Settings!$C$9,MOD(MAX(N(E389),N(F389)),Settings!$C$10)=0),"Round amount | ",""))-3)))</f>
        <v/>
      </c>
      <c r="M389" s="21" t="str">
        <f aca="false">IF(A389="","",IF(COUNTIF($A$9:A389,A389)=1,MAX($M$8:M388)+1,""))</f>
        <v/>
      </c>
    </row>
    <row r="390" customFormat="false" ht="15" hidden="false" customHeight="false" outlineLevel="0" collapsed="false">
      <c r="A390" s="8"/>
      <c r="B390" s="17"/>
      <c r="C390" s="19"/>
      <c r="D390" s="8"/>
      <c r="E390" s="18"/>
      <c r="F390" s="18"/>
      <c r="G390" s="8"/>
      <c r="H390" s="8"/>
      <c r="I390" s="8"/>
      <c r="J390" s="8"/>
      <c r="K390" s="10" t="str">
        <f aca="false">IF(A390="","",IF(ABS(SUMIFS($E$9:$E$2008,$A$9:$A$2008,A390)-SUMIFS($F$9:$F$2008,$A$9:$A$2008,A390))&lt;0.5,"Yes","No"))</f>
        <v/>
      </c>
      <c r="L390" s="10" t="str">
        <f aca="false">IF(A390="","",IF(IF(K390="No","Does not balance | ","")&amp;IF(I390="","Not approved | ",IF(UPPER(TRIM(H390))=UPPER(TRIM(I390)),"Self-approved | ",""))&amp;IF(J390="","No support | ","")&amp;IF(WEEKDAY(B390,2)&gt;5,"Weekend posting | ","")&amp;IF(COUNTIF(Settings!$A$14:$A$43,B390)&gt;0,"Holiday posting | ","")&amp;IF(B390&gt;Settings!$C$8,"Posted after close | ","")&amp;IF(OR(B390&lt;Settings!$C$6,B390&gt;Settings!$C$7),"Outside period | ","")&amp;IF(COUNTIF(Settings!$E$14:$E$43,C390&amp;"")&gt;0,"Sensitive account | ","")&amp;IF(AND(MAX(N(E390),N(F390))&gt;=Settings!$C$9,MOD(MAX(N(E390),N(F390)),Settings!$C$10)=0),"Round amount | ","")="","",LEFT(IF(K390="No","Does not balance | ","")&amp;IF(I390="","Not approved | ",IF(UPPER(TRIM(H390))=UPPER(TRIM(I390)),"Self-approved | ",""))&amp;IF(J390="","No support | ","")&amp;IF(WEEKDAY(B390,2)&gt;5,"Weekend posting | ","")&amp;IF(COUNTIF(Settings!$A$14:$A$43,B390)&gt;0,"Holiday posting | ","")&amp;IF(B390&gt;Settings!$C$8,"Posted after close | ","")&amp;IF(OR(B390&lt;Settings!$C$6,B390&gt;Settings!$C$7),"Outside period | ","")&amp;IF(COUNTIF(Settings!$E$14:$E$43,C390&amp;"")&gt;0,"Sensitive account | ","")&amp;IF(AND(MAX(N(E390),N(F390))&gt;=Settings!$C$9,MOD(MAX(N(E390),N(F390)),Settings!$C$10)=0),"Round amount | ",""),LEN(IF(K390="No","Does not balance | ","")&amp;IF(I390="","Not approved | ",IF(UPPER(TRIM(H390))=UPPER(TRIM(I390)),"Self-approved | ",""))&amp;IF(J390="","No support | ","")&amp;IF(WEEKDAY(B390,2)&gt;5,"Weekend posting | ","")&amp;IF(COUNTIF(Settings!$A$14:$A$43,B390)&gt;0,"Holiday posting | ","")&amp;IF(B390&gt;Settings!$C$8,"Posted after close | ","")&amp;IF(OR(B390&lt;Settings!$C$6,B390&gt;Settings!$C$7),"Outside period | ","")&amp;IF(COUNTIF(Settings!$E$14:$E$43,C390&amp;"")&gt;0,"Sensitive account | ","")&amp;IF(AND(MAX(N(E390),N(F390))&gt;=Settings!$C$9,MOD(MAX(N(E390),N(F390)),Settings!$C$10)=0),"Round amount | ",""))-3)))</f>
        <v/>
      </c>
      <c r="M390" s="21" t="str">
        <f aca="false">IF(A390="","",IF(COUNTIF($A$9:A390,A390)=1,MAX($M$8:M389)+1,""))</f>
        <v/>
      </c>
    </row>
    <row r="391" customFormat="false" ht="15" hidden="false" customHeight="false" outlineLevel="0" collapsed="false">
      <c r="A391" s="8"/>
      <c r="B391" s="17"/>
      <c r="C391" s="19"/>
      <c r="D391" s="8"/>
      <c r="E391" s="18"/>
      <c r="F391" s="18"/>
      <c r="G391" s="8"/>
      <c r="H391" s="8"/>
      <c r="I391" s="8"/>
      <c r="J391" s="8"/>
      <c r="K391" s="10" t="str">
        <f aca="false">IF(A391="","",IF(ABS(SUMIFS($E$9:$E$2008,$A$9:$A$2008,A391)-SUMIFS($F$9:$F$2008,$A$9:$A$2008,A391))&lt;0.5,"Yes","No"))</f>
        <v/>
      </c>
      <c r="L391" s="10" t="str">
        <f aca="false">IF(A391="","",IF(IF(K391="No","Does not balance | ","")&amp;IF(I391="","Not approved | ",IF(UPPER(TRIM(H391))=UPPER(TRIM(I391)),"Self-approved | ",""))&amp;IF(J391="","No support | ","")&amp;IF(WEEKDAY(B391,2)&gt;5,"Weekend posting | ","")&amp;IF(COUNTIF(Settings!$A$14:$A$43,B391)&gt;0,"Holiday posting | ","")&amp;IF(B391&gt;Settings!$C$8,"Posted after close | ","")&amp;IF(OR(B391&lt;Settings!$C$6,B391&gt;Settings!$C$7),"Outside period | ","")&amp;IF(COUNTIF(Settings!$E$14:$E$43,C391&amp;"")&gt;0,"Sensitive account | ","")&amp;IF(AND(MAX(N(E391),N(F391))&gt;=Settings!$C$9,MOD(MAX(N(E391),N(F391)),Settings!$C$10)=0),"Round amount | ","")="","",LEFT(IF(K391="No","Does not balance | ","")&amp;IF(I391="","Not approved | ",IF(UPPER(TRIM(H391))=UPPER(TRIM(I391)),"Self-approved | ",""))&amp;IF(J391="","No support | ","")&amp;IF(WEEKDAY(B391,2)&gt;5,"Weekend posting | ","")&amp;IF(COUNTIF(Settings!$A$14:$A$43,B391)&gt;0,"Holiday posting | ","")&amp;IF(B391&gt;Settings!$C$8,"Posted after close | ","")&amp;IF(OR(B391&lt;Settings!$C$6,B391&gt;Settings!$C$7),"Outside period | ","")&amp;IF(COUNTIF(Settings!$E$14:$E$43,C391&amp;"")&gt;0,"Sensitive account | ","")&amp;IF(AND(MAX(N(E391),N(F391))&gt;=Settings!$C$9,MOD(MAX(N(E391),N(F391)),Settings!$C$10)=0),"Round amount | ",""),LEN(IF(K391="No","Does not balance | ","")&amp;IF(I391="","Not approved | ",IF(UPPER(TRIM(H391))=UPPER(TRIM(I391)),"Self-approved | ",""))&amp;IF(J391="","No support | ","")&amp;IF(WEEKDAY(B391,2)&gt;5,"Weekend posting | ","")&amp;IF(COUNTIF(Settings!$A$14:$A$43,B391)&gt;0,"Holiday posting | ","")&amp;IF(B391&gt;Settings!$C$8,"Posted after close | ","")&amp;IF(OR(B391&lt;Settings!$C$6,B391&gt;Settings!$C$7),"Outside period | ","")&amp;IF(COUNTIF(Settings!$E$14:$E$43,C391&amp;"")&gt;0,"Sensitive account | ","")&amp;IF(AND(MAX(N(E391),N(F391))&gt;=Settings!$C$9,MOD(MAX(N(E391),N(F391)),Settings!$C$10)=0),"Round amount | ",""))-3)))</f>
        <v/>
      </c>
      <c r="M391" s="21" t="str">
        <f aca="false">IF(A391="","",IF(COUNTIF($A$9:A391,A391)=1,MAX($M$8:M390)+1,""))</f>
        <v/>
      </c>
    </row>
    <row r="392" customFormat="false" ht="15" hidden="false" customHeight="false" outlineLevel="0" collapsed="false">
      <c r="A392" s="8"/>
      <c r="B392" s="17"/>
      <c r="C392" s="19"/>
      <c r="D392" s="8"/>
      <c r="E392" s="18"/>
      <c r="F392" s="18"/>
      <c r="G392" s="8"/>
      <c r="H392" s="8"/>
      <c r="I392" s="8"/>
      <c r="J392" s="8"/>
      <c r="K392" s="10" t="str">
        <f aca="false">IF(A392="","",IF(ABS(SUMIFS($E$9:$E$2008,$A$9:$A$2008,A392)-SUMIFS($F$9:$F$2008,$A$9:$A$2008,A392))&lt;0.5,"Yes","No"))</f>
        <v/>
      </c>
      <c r="L392" s="10" t="str">
        <f aca="false">IF(A392="","",IF(IF(K392="No","Does not balance | ","")&amp;IF(I392="","Not approved | ",IF(UPPER(TRIM(H392))=UPPER(TRIM(I392)),"Self-approved | ",""))&amp;IF(J392="","No support | ","")&amp;IF(WEEKDAY(B392,2)&gt;5,"Weekend posting | ","")&amp;IF(COUNTIF(Settings!$A$14:$A$43,B392)&gt;0,"Holiday posting | ","")&amp;IF(B392&gt;Settings!$C$8,"Posted after close | ","")&amp;IF(OR(B392&lt;Settings!$C$6,B392&gt;Settings!$C$7),"Outside period | ","")&amp;IF(COUNTIF(Settings!$E$14:$E$43,C392&amp;"")&gt;0,"Sensitive account | ","")&amp;IF(AND(MAX(N(E392),N(F392))&gt;=Settings!$C$9,MOD(MAX(N(E392),N(F392)),Settings!$C$10)=0),"Round amount | ","")="","",LEFT(IF(K392="No","Does not balance | ","")&amp;IF(I392="","Not approved | ",IF(UPPER(TRIM(H392))=UPPER(TRIM(I392)),"Self-approved | ",""))&amp;IF(J392="","No support | ","")&amp;IF(WEEKDAY(B392,2)&gt;5,"Weekend posting | ","")&amp;IF(COUNTIF(Settings!$A$14:$A$43,B392)&gt;0,"Holiday posting | ","")&amp;IF(B392&gt;Settings!$C$8,"Posted after close | ","")&amp;IF(OR(B392&lt;Settings!$C$6,B392&gt;Settings!$C$7),"Outside period | ","")&amp;IF(COUNTIF(Settings!$E$14:$E$43,C392&amp;"")&gt;0,"Sensitive account | ","")&amp;IF(AND(MAX(N(E392),N(F392))&gt;=Settings!$C$9,MOD(MAX(N(E392),N(F392)),Settings!$C$10)=0),"Round amount | ",""),LEN(IF(K392="No","Does not balance | ","")&amp;IF(I392="","Not approved | ",IF(UPPER(TRIM(H392))=UPPER(TRIM(I392)),"Self-approved | ",""))&amp;IF(J392="","No support | ","")&amp;IF(WEEKDAY(B392,2)&gt;5,"Weekend posting | ","")&amp;IF(COUNTIF(Settings!$A$14:$A$43,B392)&gt;0,"Holiday posting | ","")&amp;IF(B392&gt;Settings!$C$8,"Posted after close | ","")&amp;IF(OR(B392&lt;Settings!$C$6,B392&gt;Settings!$C$7),"Outside period | ","")&amp;IF(COUNTIF(Settings!$E$14:$E$43,C392&amp;"")&gt;0,"Sensitive account | ","")&amp;IF(AND(MAX(N(E392),N(F392))&gt;=Settings!$C$9,MOD(MAX(N(E392),N(F392)),Settings!$C$10)=0),"Round amount | ",""))-3)))</f>
        <v/>
      </c>
      <c r="M392" s="21" t="str">
        <f aca="false">IF(A392="","",IF(COUNTIF($A$9:A392,A392)=1,MAX($M$8:M391)+1,""))</f>
        <v/>
      </c>
    </row>
    <row r="393" customFormat="false" ht="15" hidden="false" customHeight="false" outlineLevel="0" collapsed="false">
      <c r="A393" s="8"/>
      <c r="B393" s="17"/>
      <c r="C393" s="19"/>
      <c r="D393" s="8"/>
      <c r="E393" s="18"/>
      <c r="F393" s="18"/>
      <c r="G393" s="8"/>
      <c r="H393" s="8"/>
      <c r="I393" s="8"/>
      <c r="J393" s="8"/>
      <c r="K393" s="10" t="str">
        <f aca="false">IF(A393="","",IF(ABS(SUMIFS($E$9:$E$2008,$A$9:$A$2008,A393)-SUMIFS($F$9:$F$2008,$A$9:$A$2008,A393))&lt;0.5,"Yes","No"))</f>
        <v/>
      </c>
      <c r="L393" s="10" t="str">
        <f aca="false">IF(A393="","",IF(IF(K393="No","Does not balance | ","")&amp;IF(I393="","Not approved | ",IF(UPPER(TRIM(H393))=UPPER(TRIM(I393)),"Self-approved | ",""))&amp;IF(J393="","No support | ","")&amp;IF(WEEKDAY(B393,2)&gt;5,"Weekend posting | ","")&amp;IF(COUNTIF(Settings!$A$14:$A$43,B393)&gt;0,"Holiday posting | ","")&amp;IF(B393&gt;Settings!$C$8,"Posted after close | ","")&amp;IF(OR(B393&lt;Settings!$C$6,B393&gt;Settings!$C$7),"Outside period | ","")&amp;IF(COUNTIF(Settings!$E$14:$E$43,C393&amp;"")&gt;0,"Sensitive account | ","")&amp;IF(AND(MAX(N(E393),N(F393))&gt;=Settings!$C$9,MOD(MAX(N(E393),N(F393)),Settings!$C$10)=0),"Round amount | ","")="","",LEFT(IF(K393="No","Does not balance | ","")&amp;IF(I393="","Not approved | ",IF(UPPER(TRIM(H393))=UPPER(TRIM(I393)),"Self-approved | ",""))&amp;IF(J393="","No support | ","")&amp;IF(WEEKDAY(B393,2)&gt;5,"Weekend posting | ","")&amp;IF(COUNTIF(Settings!$A$14:$A$43,B393)&gt;0,"Holiday posting | ","")&amp;IF(B393&gt;Settings!$C$8,"Posted after close | ","")&amp;IF(OR(B393&lt;Settings!$C$6,B393&gt;Settings!$C$7),"Outside period | ","")&amp;IF(COUNTIF(Settings!$E$14:$E$43,C393&amp;"")&gt;0,"Sensitive account | ","")&amp;IF(AND(MAX(N(E393),N(F393))&gt;=Settings!$C$9,MOD(MAX(N(E393),N(F393)),Settings!$C$10)=0),"Round amount | ",""),LEN(IF(K393="No","Does not balance | ","")&amp;IF(I393="","Not approved | ",IF(UPPER(TRIM(H393))=UPPER(TRIM(I393)),"Self-approved | ",""))&amp;IF(J393="","No support | ","")&amp;IF(WEEKDAY(B393,2)&gt;5,"Weekend posting | ","")&amp;IF(COUNTIF(Settings!$A$14:$A$43,B393)&gt;0,"Holiday posting | ","")&amp;IF(B393&gt;Settings!$C$8,"Posted after close | ","")&amp;IF(OR(B393&lt;Settings!$C$6,B393&gt;Settings!$C$7),"Outside period | ","")&amp;IF(COUNTIF(Settings!$E$14:$E$43,C393&amp;"")&gt;0,"Sensitive account | ","")&amp;IF(AND(MAX(N(E393),N(F393))&gt;=Settings!$C$9,MOD(MAX(N(E393),N(F393)),Settings!$C$10)=0),"Round amount | ",""))-3)))</f>
        <v/>
      </c>
      <c r="M393" s="21" t="str">
        <f aca="false">IF(A393="","",IF(COUNTIF($A$9:A393,A393)=1,MAX($M$8:M392)+1,""))</f>
        <v/>
      </c>
    </row>
    <row r="394" customFormat="false" ht="15" hidden="false" customHeight="false" outlineLevel="0" collapsed="false">
      <c r="A394" s="8"/>
      <c r="B394" s="17"/>
      <c r="C394" s="19"/>
      <c r="D394" s="8"/>
      <c r="E394" s="18"/>
      <c r="F394" s="18"/>
      <c r="G394" s="8"/>
      <c r="H394" s="8"/>
      <c r="I394" s="8"/>
      <c r="J394" s="8"/>
      <c r="K394" s="10" t="str">
        <f aca="false">IF(A394="","",IF(ABS(SUMIFS($E$9:$E$2008,$A$9:$A$2008,A394)-SUMIFS($F$9:$F$2008,$A$9:$A$2008,A394))&lt;0.5,"Yes","No"))</f>
        <v/>
      </c>
      <c r="L394" s="10" t="str">
        <f aca="false">IF(A394="","",IF(IF(K394="No","Does not balance | ","")&amp;IF(I394="","Not approved | ",IF(UPPER(TRIM(H394))=UPPER(TRIM(I394)),"Self-approved | ",""))&amp;IF(J394="","No support | ","")&amp;IF(WEEKDAY(B394,2)&gt;5,"Weekend posting | ","")&amp;IF(COUNTIF(Settings!$A$14:$A$43,B394)&gt;0,"Holiday posting | ","")&amp;IF(B394&gt;Settings!$C$8,"Posted after close | ","")&amp;IF(OR(B394&lt;Settings!$C$6,B394&gt;Settings!$C$7),"Outside period | ","")&amp;IF(COUNTIF(Settings!$E$14:$E$43,C394&amp;"")&gt;0,"Sensitive account | ","")&amp;IF(AND(MAX(N(E394),N(F394))&gt;=Settings!$C$9,MOD(MAX(N(E394),N(F394)),Settings!$C$10)=0),"Round amount | ","")="","",LEFT(IF(K394="No","Does not balance | ","")&amp;IF(I394="","Not approved | ",IF(UPPER(TRIM(H394))=UPPER(TRIM(I394)),"Self-approved | ",""))&amp;IF(J394="","No support | ","")&amp;IF(WEEKDAY(B394,2)&gt;5,"Weekend posting | ","")&amp;IF(COUNTIF(Settings!$A$14:$A$43,B394)&gt;0,"Holiday posting | ","")&amp;IF(B394&gt;Settings!$C$8,"Posted after close | ","")&amp;IF(OR(B394&lt;Settings!$C$6,B394&gt;Settings!$C$7),"Outside period | ","")&amp;IF(COUNTIF(Settings!$E$14:$E$43,C394&amp;"")&gt;0,"Sensitive account | ","")&amp;IF(AND(MAX(N(E394),N(F394))&gt;=Settings!$C$9,MOD(MAX(N(E394),N(F394)),Settings!$C$10)=0),"Round amount | ",""),LEN(IF(K394="No","Does not balance | ","")&amp;IF(I394="","Not approved | ",IF(UPPER(TRIM(H394))=UPPER(TRIM(I394)),"Self-approved | ",""))&amp;IF(J394="","No support | ","")&amp;IF(WEEKDAY(B394,2)&gt;5,"Weekend posting | ","")&amp;IF(COUNTIF(Settings!$A$14:$A$43,B394)&gt;0,"Holiday posting | ","")&amp;IF(B394&gt;Settings!$C$8,"Posted after close | ","")&amp;IF(OR(B394&lt;Settings!$C$6,B394&gt;Settings!$C$7),"Outside period | ","")&amp;IF(COUNTIF(Settings!$E$14:$E$43,C394&amp;"")&gt;0,"Sensitive account | ","")&amp;IF(AND(MAX(N(E394),N(F394))&gt;=Settings!$C$9,MOD(MAX(N(E394),N(F394)),Settings!$C$10)=0),"Round amount | ",""))-3)))</f>
        <v/>
      </c>
      <c r="M394" s="21" t="str">
        <f aca="false">IF(A394="","",IF(COUNTIF($A$9:A394,A394)=1,MAX($M$8:M393)+1,""))</f>
        <v/>
      </c>
    </row>
    <row r="395" customFormat="false" ht="15" hidden="false" customHeight="false" outlineLevel="0" collapsed="false">
      <c r="A395" s="8"/>
      <c r="B395" s="17"/>
      <c r="C395" s="19"/>
      <c r="D395" s="8"/>
      <c r="E395" s="18"/>
      <c r="F395" s="18"/>
      <c r="G395" s="8"/>
      <c r="H395" s="8"/>
      <c r="I395" s="8"/>
      <c r="J395" s="8"/>
      <c r="K395" s="10" t="str">
        <f aca="false">IF(A395="","",IF(ABS(SUMIFS($E$9:$E$2008,$A$9:$A$2008,A395)-SUMIFS($F$9:$F$2008,$A$9:$A$2008,A395))&lt;0.5,"Yes","No"))</f>
        <v/>
      </c>
      <c r="L395" s="10" t="str">
        <f aca="false">IF(A395="","",IF(IF(K395="No","Does not balance | ","")&amp;IF(I395="","Not approved | ",IF(UPPER(TRIM(H395))=UPPER(TRIM(I395)),"Self-approved | ",""))&amp;IF(J395="","No support | ","")&amp;IF(WEEKDAY(B395,2)&gt;5,"Weekend posting | ","")&amp;IF(COUNTIF(Settings!$A$14:$A$43,B395)&gt;0,"Holiday posting | ","")&amp;IF(B395&gt;Settings!$C$8,"Posted after close | ","")&amp;IF(OR(B395&lt;Settings!$C$6,B395&gt;Settings!$C$7),"Outside period | ","")&amp;IF(COUNTIF(Settings!$E$14:$E$43,C395&amp;"")&gt;0,"Sensitive account | ","")&amp;IF(AND(MAX(N(E395),N(F395))&gt;=Settings!$C$9,MOD(MAX(N(E395),N(F395)),Settings!$C$10)=0),"Round amount | ","")="","",LEFT(IF(K395="No","Does not balance | ","")&amp;IF(I395="","Not approved | ",IF(UPPER(TRIM(H395))=UPPER(TRIM(I395)),"Self-approved | ",""))&amp;IF(J395="","No support | ","")&amp;IF(WEEKDAY(B395,2)&gt;5,"Weekend posting | ","")&amp;IF(COUNTIF(Settings!$A$14:$A$43,B395)&gt;0,"Holiday posting | ","")&amp;IF(B395&gt;Settings!$C$8,"Posted after close | ","")&amp;IF(OR(B395&lt;Settings!$C$6,B395&gt;Settings!$C$7),"Outside period | ","")&amp;IF(COUNTIF(Settings!$E$14:$E$43,C395&amp;"")&gt;0,"Sensitive account | ","")&amp;IF(AND(MAX(N(E395),N(F395))&gt;=Settings!$C$9,MOD(MAX(N(E395),N(F395)),Settings!$C$10)=0),"Round amount | ",""),LEN(IF(K395="No","Does not balance | ","")&amp;IF(I395="","Not approved | ",IF(UPPER(TRIM(H395))=UPPER(TRIM(I395)),"Self-approved | ",""))&amp;IF(J395="","No support | ","")&amp;IF(WEEKDAY(B395,2)&gt;5,"Weekend posting | ","")&amp;IF(COUNTIF(Settings!$A$14:$A$43,B395)&gt;0,"Holiday posting | ","")&amp;IF(B395&gt;Settings!$C$8,"Posted after close | ","")&amp;IF(OR(B395&lt;Settings!$C$6,B395&gt;Settings!$C$7),"Outside period | ","")&amp;IF(COUNTIF(Settings!$E$14:$E$43,C395&amp;"")&gt;0,"Sensitive account | ","")&amp;IF(AND(MAX(N(E395),N(F395))&gt;=Settings!$C$9,MOD(MAX(N(E395),N(F395)),Settings!$C$10)=0),"Round amount | ",""))-3)))</f>
        <v/>
      </c>
      <c r="M395" s="21" t="str">
        <f aca="false">IF(A395="","",IF(COUNTIF($A$9:A395,A395)=1,MAX($M$8:M394)+1,""))</f>
        <v/>
      </c>
    </row>
    <row r="396" customFormat="false" ht="15" hidden="false" customHeight="false" outlineLevel="0" collapsed="false">
      <c r="A396" s="8"/>
      <c r="B396" s="17"/>
      <c r="C396" s="19"/>
      <c r="D396" s="8"/>
      <c r="E396" s="18"/>
      <c r="F396" s="18"/>
      <c r="G396" s="8"/>
      <c r="H396" s="8"/>
      <c r="I396" s="8"/>
      <c r="J396" s="8"/>
      <c r="K396" s="10" t="str">
        <f aca="false">IF(A396="","",IF(ABS(SUMIFS($E$9:$E$2008,$A$9:$A$2008,A396)-SUMIFS($F$9:$F$2008,$A$9:$A$2008,A396))&lt;0.5,"Yes","No"))</f>
        <v/>
      </c>
      <c r="L396" s="10" t="str">
        <f aca="false">IF(A396="","",IF(IF(K396="No","Does not balance | ","")&amp;IF(I396="","Not approved | ",IF(UPPER(TRIM(H396))=UPPER(TRIM(I396)),"Self-approved | ",""))&amp;IF(J396="","No support | ","")&amp;IF(WEEKDAY(B396,2)&gt;5,"Weekend posting | ","")&amp;IF(COUNTIF(Settings!$A$14:$A$43,B396)&gt;0,"Holiday posting | ","")&amp;IF(B396&gt;Settings!$C$8,"Posted after close | ","")&amp;IF(OR(B396&lt;Settings!$C$6,B396&gt;Settings!$C$7),"Outside period | ","")&amp;IF(COUNTIF(Settings!$E$14:$E$43,C396&amp;"")&gt;0,"Sensitive account | ","")&amp;IF(AND(MAX(N(E396),N(F396))&gt;=Settings!$C$9,MOD(MAX(N(E396),N(F396)),Settings!$C$10)=0),"Round amount | ","")="","",LEFT(IF(K396="No","Does not balance | ","")&amp;IF(I396="","Not approved | ",IF(UPPER(TRIM(H396))=UPPER(TRIM(I396)),"Self-approved | ",""))&amp;IF(J396="","No support | ","")&amp;IF(WEEKDAY(B396,2)&gt;5,"Weekend posting | ","")&amp;IF(COUNTIF(Settings!$A$14:$A$43,B396)&gt;0,"Holiday posting | ","")&amp;IF(B396&gt;Settings!$C$8,"Posted after close | ","")&amp;IF(OR(B396&lt;Settings!$C$6,B396&gt;Settings!$C$7),"Outside period | ","")&amp;IF(COUNTIF(Settings!$E$14:$E$43,C396&amp;"")&gt;0,"Sensitive account | ","")&amp;IF(AND(MAX(N(E396),N(F396))&gt;=Settings!$C$9,MOD(MAX(N(E396),N(F396)),Settings!$C$10)=0),"Round amount | ",""),LEN(IF(K396="No","Does not balance | ","")&amp;IF(I396="","Not approved | ",IF(UPPER(TRIM(H396))=UPPER(TRIM(I396)),"Self-approved | ",""))&amp;IF(J396="","No support | ","")&amp;IF(WEEKDAY(B396,2)&gt;5,"Weekend posting | ","")&amp;IF(COUNTIF(Settings!$A$14:$A$43,B396)&gt;0,"Holiday posting | ","")&amp;IF(B396&gt;Settings!$C$8,"Posted after close | ","")&amp;IF(OR(B396&lt;Settings!$C$6,B396&gt;Settings!$C$7),"Outside period | ","")&amp;IF(COUNTIF(Settings!$E$14:$E$43,C396&amp;"")&gt;0,"Sensitive account | ","")&amp;IF(AND(MAX(N(E396),N(F396))&gt;=Settings!$C$9,MOD(MAX(N(E396),N(F396)),Settings!$C$10)=0),"Round amount | ",""))-3)))</f>
        <v/>
      </c>
      <c r="M396" s="21" t="str">
        <f aca="false">IF(A396="","",IF(COUNTIF($A$9:A396,A396)=1,MAX($M$8:M395)+1,""))</f>
        <v/>
      </c>
    </row>
    <row r="397" customFormat="false" ht="15" hidden="false" customHeight="false" outlineLevel="0" collapsed="false">
      <c r="A397" s="8"/>
      <c r="B397" s="17"/>
      <c r="C397" s="19"/>
      <c r="D397" s="8"/>
      <c r="E397" s="18"/>
      <c r="F397" s="18"/>
      <c r="G397" s="8"/>
      <c r="H397" s="8"/>
      <c r="I397" s="8"/>
      <c r="J397" s="8"/>
      <c r="K397" s="10" t="str">
        <f aca="false">IF(A397="","",IF(ABS(SUMIFS($E$9:$E$2008,$A$9:$A$2008,A397)-SUMIFS($F$9:$F$2008,$A$9:$A$2008,A397))&lt;0.5,"Yes","No"))</f>
        <v/>
      </c>
      <c r="L397" s="10" t="str">
        <f aca="false">IF(A397="","",IF(IF(K397="No","Does not balance | ","")&amp;IF(I397="","Not approved | ",IF(UPPER(TRIM(H397))=UPPER(TRIM(I397)),"Self-approved | ",""))&amp;IF(J397="","No support | ","")&amp;IF(WEEKDAY(B397,2)&gt;5,"Weekend posting | ","")&amp;IF(COUNTIF(Settings!$A$14:$A$43,B397)&gt;0,"Holiday posting | ","")&amp;IF(B397&gt;Settings!$C$8,"Posted after close | ","")&amp;IF(OR(B397&lt;Settings!$C$6,B397&gt;Settings!$C$7),"Outside period | ","")&amp;IF(COUNTIF(Settings!$E$14:$E$43,C397&amp;"")&gt;0,"Sensitive account | ","")&amp;IF(AND(MAX(N(E397),N(F397))&gt;=Settings!$C$9,MOD(MAX(N(E397),N(F397)),Settings!$C$10)=0),"Round amount | ","")="","",LEFT(IF(K397="No","Does not balance | ","")&amp;IF(I397="","Not approved | ",IF(UPPER(TRIM(H397))=UPPER(TRIM(I397)),"Self-approved | ",""))&amp;IF(J397="","No support | ","")&amp;IF(WEEKDAY(B397,2)&gt;5,"Weekend posting | ","")&amp;IF(COUNTIF(Settings!$A$14:$A$43,B397)&gt;0,"Holiday posting | ","")&amp;IF(B397&gt;Settings!$C$8,"Posted after close | ","")&amp;IF(OR(B397&lt;Settings!$C$6,B397&gt;Settings!$C$7),"Outside period | ","")&amp;IF(COUNTIF(Settings!$E$14:$E$43,C397&amp;"")&gt;0,"Sensitive account | ","")&amp;IF(AND(MAX(N(E397),N(F397))&gt;=Settings!$C$9,MOD(MAX(N(E397),N(F397)),Settings!$C$10)=0),"Round amount | ",""),LEN(IF(K397="No","Does not balance | ","")&amp;IF(I397="","Not approved | ",IF(UPPER(TRIM(H397))=UPPER(TRIM(I397)),"Self-approved | ",""))&amp;IF(J397="","No support | ","")&amp;IF(WEEKDAY(B397,2)&gt;5,"Weekend posting | ","")&amp;IF(COUNTIF(Settings!$A$14:$A$43,B397)&gt;0,"Holiday posting | ","")&amp;IF(B397&gt;Settings!$C$8,"Posted after close | ","")&amp;IF(OR(B397&lt;Settings!$C$6,B397&gt;Settings!$C$7),"Outside period | ","")&amp;IF(COUNTIF(Settings!$E$14:$E$43,C397&amp;"")&gt;0,"Sensitive account | ","")&amp;IF(AND(MAX(N(E397),N(F397))&gt;=Settings!$C$9,MOD(MAX(N(E397),N(F397)),Settings!$C$10)=0),"Round amount | ",""))-3)))</f>
        <v/>
      </c>
      <c r="M397" s="21" t="str">
        <f aca="false">IF(A397="","",IF(COUNTIF($A$9:A397,A397)=1,MAX($M$8:M396)+1,""))</f>
        <v/>
      </c>
    </row>
    <row r="398" customFormat="false" ht="15" hidden="false" customHeight="false" outlineLevel="0" collapsed="false">
      <c r="A398" s="8"/>
      <c r="B398" s="17"/>
      <c r="C398" s="19"/>
      <c r="D398" s="8"/>
      <c r="E398" s="18"/>
      <c r="F398" s="18"/>
      <c r="G398" s="8"/>
      <c r="H398" s="8"/>
      <c r="I398" s="8"/>
      <c r="J398" s="8"/>
      <c r="K398" s="10" t="str">
        <f aca="false">IF(A398="","",IF(ABS(SUMIFS($E$9:$E$2008,$A$9:$A$2008,A398)-SUMIFS($F$9:$F$2008,$A$9:$A$2008,A398))&lt;0.5,"Yes","No"))</f>
        <v/>
      </c>
      <c r="L398" s="10" t="str">
        <f aca="false">IF(A398="","",IF(IF(K398="No","Does not balance | ","")&amp;IF(I398="","Not approved | ",IF(UPPER(TRIM(H398))=UPPER(TRIM(I398)),"Self-approved | ",""))&amp;IF(J398="","No support | ","")&amp;IF(WEEKDAY(B398,2)&gt;5,"Weekend posting | ","")&amp;IF(COUNTIF(Settings!$A$14:$A$43,B398)&gt;0,"Holiday posting | ","")&amp;IF(B398&gt;Settings!$C$8,"Posted after close | ","")&amp;IF(OR(B398&lt;Settings!$C$6,B398&gt;Settings!$C$7),"Outside period | ","")&amp;IF(COUNTIF(Settings!$E$14:$E$43,C398&amp;"")&gt;0,"Sensitive account | ","")&amp;IF(AND(MAX(N(E398),N(F398))&gt;=Settings!$C$9,MOD(MAX(N(E398),N(F398)),Settings!$C$10)=0),"Round amount | ","")="","",LEFT(IF(K398="No","Does not balance | ","")&amp;IF(I398="","Not approved | ",IF(UPPER(TRIM(H398))=UPPER(TRIM(I398)),"Self-approved | ",""))&amp;IF(J398="","No support | ","")&amp;IF(WEEKDAY(B398,2)&gt;5,"Weekend posting | ","")&amp;IF(COUNTIF(Settings!$A$14:$A$43,B398)&gt;0,"Holiday posting | ","")&amp;IF(B398&gt;Settings!$C$8,"Posted after close | ","")&amp;IF(OR(B398&lt;Settings!$C$6,B398&gt;Settings!$C$7),"Outside period | ","")&amp;IF(COUNTIF(Settings!$E$14:$E$43,C398&amp;"")&gt;0,"Sensitive account | ","")&amp;IF(AND(MAX(N(E398),N(F398))&gt;=Settings!$C$9,MOD(MAX(N(E398),N(F398)),Settings!$C$10)=0),"Round amount | ",""),LEN(IF(K398="No","Does not balance | ","")&amp;IF(I398="","Not approved | ",IF(UPPER(TRIM(H398))=UPPER(TRIM(I398)),"Self-approved | ",""))&amp;IF(J398="","No support | ","")&amp;IF(WEEKDAY(B398,2)&gt;5,"Weekend posting | ","")&amp;IF(COUNTIF(Settings!$A$14:$A$43,B398)&gt;0,"Holiday posting | ","")&amp;IF(B398&gt;Settings!$C$8,"Posted after close | ","")&amp;IF(OR(B398&lt;Settings!$C$6,B398&gt;Settings!$C$7),"Outside period | ","")&amp;IF(COUNTIF(Settings!$E$14:$E$43,C398&amp;"")&gt;0,"Sensitive account | ","")&amp;IF(AND(MAX(N(E398),N(F398))&gt;=Settings!$C$9,MOD(MAX(N(E398),N(F398)),Settings!$C$10)=0),"Round amount | ",""))-3)))</f>
        <v/>
      </c>
      <c r="M398" s="21" t="str">
        <f aca="false">IF(A398="","",IF(COUNTIF($A$9:A398,A398)=1,MAX($M$8:M397)+1,""))</f>
        <v/>
      </c>
    </row>
    <row r="399" customFormat="false" ht="15" hidden="false" customHeight="false" outlineLevel="0" collapsed="false">
      <c r="A399" s="8"/>
      <c r="B399" s="17"/>
      <c r="C399" s="19"/>
      <c r="D399" s="8"/>
      <c r="E399" s="18"/>
      <c r="F399" s="18"/>
      <c r="G399" s="8"/>
      <c r="H399" s="8"/>
      <c r="I399" s="8"/>
      <c r="J399" s="8"/>
      <c r="K399" s="10" t="str">
        <f aca="false">IF(A399="","",IF(ABS(SUMIFS($E$9:$E$2008,$A$9:$A$2008,A399)-SUMIFS($F$9:$F$2008,$A$9:$A$2008,A399))&lt;0.5,"Yes","No"))</f>
        <v/>
      </c>
      <c r="L399" s="10" t="str">
        <f aca="false">IF(A399="","",IF(IF(K399="No","Does not balance | ","")&amp;IF(I399="","Not approved | ",IF(UPPER(TRIM(H399))=UPPER(TRIM(I399)),"Self-approved | ",""))&amp;IF(J399="","No support | ","")&amp;IF(WEEKDAY(B399,2)&gt;5,"Weekend posting | ","")&amp;IF(COUNTIF(Settings!$A$14:$A$43,B399)&gt;0,"Holiday posting | ","")&amp;IF(B399&gt;Settings!$C$8,"Posted after close | ","")&amp;IF(OR(B399&lt;Settings!$C$6,B399&gt;Settings!$C$7),"Outside period | ","")&amp;IF(COUNTIF(Settings!$E$14:$E$43,C399&amp;"")&gt;0,"Sensitive account | ","")&amp;IF(AND(MAX(N(E399),N(F399))&gt;=Settings!$C$9,MOD(MAX(N(E399),N(F399)),Settings!$C$10)=0),"Round amount | ","")="","",LEFT(IF(K399="No","Does not balance | ","")&amp;IF(I399="","Not approved | ",IF(UPPER(TRIM(H399))=UPPER(TRIM(I399)),"Self-approved | ",""))&amp;IF(J399="","No support | ","")&amp;IF(WEEKDAY(B399,2)&gt;5,"Weekend posting | ","")&amp;IF(COUNTIF(Settings!$A$14:$A$43,B399)&gt;0,"Holiday posting | ","")&amp;IF(B399&gt;Settings!$C$8,"Posted after close | ","")&amp;IF(OR(B399&lt;Settings!$C$6,B399&gt;Settings!$C$7),"Outside period | ","")&amp;IF(COUNTIF(Settings!$E$14:$E$43,C399&amp;"")&gt;0,"Sensitive account | ","")&amp;IF(AND(MAX(N(E399),N(F399))&gt;=Settings!$C$9,MOD(MAX(N(E399),N(F399)),Settings!$C$10)=0),"Round amount | ",""),LEN(IF(K399="No","Does not balance | ","")&amp;IF(I399="","Not approved | ",IF(UPPER(TRIM(H399))=UPPER(TRIM(I399)),"Self-approved | ",""))&amp;IF(J399="","No support | ","")&amp;IF(WEEKDAY(B399,2)&gt;5,"Weekend posting | ","")&amp;IF(COUNTIF(Settings!$A$14:$A$43,B399)&gt;0,"Holiday posting | ","")&amp;IF(B399&gt;Settings!$C$8,"Posted after close | ","")&amp;IF(OR(B399&lt;Settings!$C$6,B399&gt;Settings!$C$7),"Outside period | ","")&amp;IF(COUNTIF(Settings!$E$14:$E$43,C399&amp;"")&gt;0,"Sensitive account | ","")&amp;IF(AND(MAX(N(E399),N(F399))&gt;=Settings!$C$9,MOD(MAX(N(E399),N(F399)),Settings!$C$10)=0),"Round amount | ",""))-3)))</f>
        <v/>
      </c>
      <c r="M399" s="21" t="str">
        <f aca="false">IF(A399="","",IF(COUNTIF($A$9:A399,A399)=1,MAX($M$8:M398)+1,""))</f>
        <v/>
      </c>
    </row>
    <row r="400" customFormat="false" ht="15" hidden="false" customHeight="false" outlineLevel="0" collapsed="false">
      <c r="A400" s="8"/>
      <c r="B400" s="17"/>
      <c r="C400" s="19"/>
      <c r="D400" s="8"/>
      <c r="E400" s="18"/>
      <c r="F400" s="18"/>
      <c r="G400" s="8"/>
      <c r="H400" s="8"/>
      <c r="I400" s="8"/>
      <c r="J400" s="8"/>
      <c r="K400" s="10" t="str">
        <f aca="false">IF(A400="","",IF(ABS(SUMIFS($E$9:$E$2008,$A$9:$A$2008,A400)-SUMIFS($F$9:$F$2008,$A$9:$A$2008,A400))&lt;0.5,"Yes","No"))</f>
        <v/>
      </c>
      <c r="L400" s="10" t="str">
        <f aca="false">IF(A400="","",IF(IF(K400="No","Does not balance | ","")&amp;IF(I400="","Not approved | ",IF(UPPER(TRIM(H400))=UPPER(TRIM(I400)),"Self-approved | ",""))&amp;IF(J400="","No support | ","")&amp;IF(WEEKDAY(B400,2)&gt;5,"Weekend posting | ","")&amp;IF(COUNTIF(Settings!$A$14:$A$43,B400)&gt;0,"Holiday posting | ","")&amp;IF(B400&gt;Settings!$C$8,"Posted after close | ","")&amp;IF(OR(B400&lt;Settings!$C$6,B400&gt;Settings!$C$7),"Outside period | ","")&amp;IF(COUNTIF(Settings!$E$14:$E$43,C400&amp;"")&gt;0,"Sensitive account | ","")&amp;IF(AND(MAX(N(E400),N(F400))&gt;=Settings!$C$9,MOD(MAX(N(E400),N(F400)),Settings!$C$10)=0),"Round amount | ","")="","",LEFT(IF(K400="No","Does not balance | ","")&amp;IF(I400="","Not approved | ",IF(UPPER(TRIM(H400))=UPPER(TRIM(I400)),"Self-approved | ",""))&amp;IF(J400="","No support | ","")&amp;IF(WEEKDAY(B400,2)&gt;5,"Weekend posting | ","")&amp;IF(COUNTIF(Settings!$A$14:$A$43,B400)&gt;0,"Holiday posting | ","")&amp;IF(B400&gt;Settings!$C$8,"Posted after close | ","")&amp;IF(OR(B400&lt;Settings!$C$6,B400&gt;Settings!$C$7),"Outside period | ","")&amp;IF(COUNTIF(Settings!$E$14:$E$43,C400&amp;"")&gt;0,"Sensitive account | ","")&amp;IF(AND(MAX(N(E400),N(F400))&gt;=Settings!$C$9,MOD(MAX(N(E400),N(F400)),Settings!$C$10)=0),"Round amount | ",""),LEN(IF(K400="No","Does not balance | ","")&amp;IF(I400="","Not approved | ",IF(UPPER(TRIM(H400))=UPPER(TRIM(I400)),"Self-approved | ",""))&amp;IF(J400="","No support | ","")&amp;IF(WEEKDAY(B400,2)&gt;5,"Weekend posting | ","")&amp;IF(COUNTIF(Settings!$A$14:$A$43,B400)&gt;0,"Holiday posting | ","")&amp;IF(B400&gt;Settings!$C$8,"Posted after close | ","")&amp;IF(OR(B400&lt;Settings!$C$6,B400&gt;Settings!$C$7),"Outside period | ","")&amp;IF(COUNTIF(Settings!$E$14:$E$43,C400&amp;"")&gt;0,"Sensitive account | ","")&amp;IF(AND(MAX(N(E400),N(F400))&gt;=Settings!$C$9,MOD(MAX(N(E400),N(F400)),Settings!$C$10)=0),"Round amount | ",""))-3)))</f>
        <v/>
      </c>
      <c r="M400" s="21" t="str">
        <f aca="false">IF(A400="","",IF(COUNTIF($A$9:A400,A400)=1,MAX($M$8:M399)+1,""))</f>
        <v/>
      </c>
    </row>
    <row r="401" customFormat="false" ht="15" hidden="false" customHeight="false" outlineLevel="0" collapsed="false">
      <c r="A401" s="8"/>
      <c r="B401" s="17"/>
      <c r="C401" s="19"/>
      <c r="D401" s="8"/>
      <c r="E401" s="18"/>
      <c r="F401" s="18"/>
      <c r="G401" s="8"/>
      <c r="H401" s="8"/>
      <c r="I401" s="8"/>
      <c r="J401" s="8"/>
      <c r="K401" s="10" t="str">
        <f aca="false">IF(A401="","",IF(ABS(SUMIFS($E$9:$E$2008,$A$9:$A$2008,A401)-SUMIFS($F$9:$F$2008,$A$9:$A$2008,A401))&lt;0.5,"Yes","No"))</f>
        <v/>
      </c>
      <c r="L401" s="10" t="str">
        <f aca="false">IF(A401="","",IF(IF(K401="No","Does not balance | ","")&amp;IF(I401="","Not approved | ",IF(UPPER(TRIM(H401))=UPPER(TRIM(I401)),"Self-approved | ",""))&amp;IF(J401="","No support | ","")&amp;IF(WEEKDAY(B401,2)&gt;5,"Weekend posting | ","")&amp;IF(COUNTIF(Settings!$A$14:$A$43,B401)&gt;0,"Holiday posting | ","")&amp;IF(B401&gt;Settings!$C$8,"Posted after close | ","")&amp;IF(OR(B401&lt;Settings!$C$6,B401&gt;Settings!$C$7),"Outside period | ","")&amp;IF(COUNTIF(Settings!$E$14:$E$43,C401&amp;"")&gt;0,"Sensitive account | ","")&amp;IF(AND(MAX(N(E401),N(F401))&gt;=Settings!$C$9,MOD(MAX(N(E401),N(F401)),Settings!$C$10)=0),"Round amount | ","")="","",LEFT(IF(K401="No","Does not balance | ","")&amp;IF(I401="","Not approved | ",IF(UPPER(TRIM(H401))=UPPER(TRIM(I401)),"Self-approved | ",""))&amp;IF(J401="","No support | ","")&amp;IF(WEEKDAY(B401,2)&gt;5,"Weekend posting | ","")&amp;IF(COUNTIF(Settings!$A$14:$A$43,B401)&gt;0,"Holiday posting | ","")&amp;IF(B401&gt;Settings!$C$8,"Posted after close | ","")&amp;IF(OR(B401&lt;Settings!$C$6,B401&gt;Settings!$C$7),"Outside period | ","")&amp;IF(COUNTIF(Settings!$E$14:$E$43,C401&amp;"")&gt;0,"Sensitive account | ","")&amp;IF(AND(MAX(N(E401),N(F401))&gt;=Settings!$C$9,MOD(MAX(N(E401),N(F401)),Settings!$C$10)=0),"Round amount | ",""),LEN(IF(K401="No","Does not balance | ","")&amp;IF(I401="","Not approved | ",IF(UPPER(TRIM(H401))=UPPER(TRIM(I401)),"Self-approved | ",""))&amp;IF(J401="","No support | ","")&amp;IF(WEEKDAY(B401,2)&gt;5,"Weekend posting | ","")&amp;IF(COUNTIF(Settings!$A$14:$A$43,B401)&gt;0,"Holiday posting | ","")&amp;IF(B401&gt;Settings!$C$8,"Posted after close | ","")&amp;IF(OR(B401&lt;Settings!$C$6,B401&gt;Settings!$C$7),"Outside period | ","")&amp;IF(COUNTIF(Settings!$E$14:$E$43,C401&amp;"")&gt;0,"Sensitive account | ","")&amp;IF(AND(MAX(N(E401),N(F401))&gt;=Settings!$C$9,MOD(MAX(N(E401),N(F401)),Settings!$C$10)=0),"Round amount | ",""))-3)))</f>
        <v/>
      </c>
      <c r="M401" s="21" t="str">
        <f aca="false">IF(A401="","",IF(COUNTIF($A$9:A401,A401)=1,MAX($M$8:M400)+1,""))</f>
        <v/>
      </c>
    </row>
    <row r="402" customFormat="false" ht="15" hidden="false" customHeight="false" outlineLevel="0" collapsed="false">
      <c r="A402" s="8"/>
      <c r="B402" s="17"/>
      <c r="C402" s="19"/>
      <c r="D402" s="8"/>
      <c r="E402" s="18"/>
      <c r="F402" s="18"/>
      <c r="G402" s="8"/>
      <c r="H402" s="8"/>
      <c r="I402" s="8"/>
      <c r="J402" s="8"/>
      <c r="K402" s="10" t="str">
        <f aca="false">IF(A402="","",IF(ABS(SUMIFS($E$9:$E$2008,$A$9:$A$2008,A402)-SUMIFS($F$9:$F$2008,$A$9:$A$2008,A402))&lt;0.5,"Yes","No"))</f>
        <v/>
      </c>
      <c r="L402" s="10" t="str">
        <f aca="false">IF(A402="","",IF(IF(K402="No","Does not balance | ","")&amp;IF(I402="","Not approved | ",IF(UPPER(TRIM(H402))=UPPER(TRIM(I402)),"Self-approved | ",""))&amp;IF(J402="","No support | ","")&amp;IF(WEEKDAY(B402,2)&gt;5,"Weekend posting | ","")&amp;IF(COUNTIF(Settings!$A$14:$A$43,B402)&gt;0,"Holiday posting | ","")&amp;IF(B402&gt;Settings!$C$8,"Posted after close | ","")&amp;IF(OR(B402&lt;Settings!$C$6,B402&gt;Settings!$C$7),"Outside period | ","")&amp;IF(COUNTIF(Settings!$E$14:$E$43,C402&amp;"")&gt;0,"Sensitive account | ","")&amp;IF(AND(MAX(N(E402),N(F402))&gt;=Settings!$C$9,MOD(MAX(N(E402),N(F402)),Settings!$C$10)=0),"Round amount | ","")="","",LEFT(IF(K402="No","Does not balance | ","")&amp;IF(I402="","Not approved | ",IF(UPPER(TRIM(H402))=UPPER(TRIM(I402)),"Self-approved | ",""))&amp;IF(J402="","No support | ","")&amp;IF(WEEKDAY(B402,2)&gt;5,"Weekend posting | ","")&amp;IF(COUNTIF(Settings!$A$14:$A$43,B402)&gt;0,"Holiday posting | ","")&amp;IF(B402&gt;Settings!$C$8,"Posted after close | ","")&amp;IF(OR(B402&lt;Settings!$C$6,B402&gt;Settings!$C$7),"Outside period | ","")&amp;IF(COUNTIF(Settings!$E$14:$E$43,C402&amp;"")&gt;0,"Sensitive account | ","")&amp;IF(AND(MAX(N(E402),N(F402))&gt;=Settings!$C$9,MOD(MAX(N(E402),N(F402)),Settings!$C$10)=0),"Round amount | ",""),LEN(IF(K402="No","Does not balance | ","")&amp;IF(I402="","Not approved | ",IF(UPPER(TRIM(H402))=UPPER(TRIM(I402)),"Self-approved | ",""))&amp;IF(J402="","No support | ","")&amp;IF(WEEKDAY(B402,2)&gt;5,"Weekend posting | ","")&amp;IF(COUNTIF(Settings!$A$14:$A$43,B402)&gt;0,"Holiday posting | ","")&amp;IF(B402&gt;Settings!$C$8,"Posted after close | ","")&amp;IF(OR(B402&lt;Settings!$C$6,B402&gt;Settings!$C$7),"Outside period | ","")&amp;IF(COUNTIF(Settings!$E$14:$E$43,C402&amp;"")&gt;0,"Sensitive account | ","")&amp;IF(AND(MAX(N(E402),N(F402))&gt;=Settings!$C$9,MOD(MAX(N(E402),N(F402)),Settings!$C$10)=0),"Round amount | ",""))-3)))</f>
        <v/>
      </c>
      <c r="M402" s="21" t="str">
        <f aca="false">IF(A402="","",IF(COUNTIF($A$9:A402,A402)=1,MAX($M$8:M401)+1,""))</f>
        <v/>
      </c>
    </row>
    <row r="403" customFormat="false" ht="15" hidden="false" customHeight="false" outlineLevel="0" collapsed="false">
      <c r="A403" s="8"/>
      <c r="B403" s="17"/>
      <c r="C403" s="19"/>
      <c r="D403" s="8"/>
      <c r="E403" s="18"/>
      <c r="F403" s="18"/>
      <c r="G403" s="8"/>
      <c r="H403" s="8"/>
      <c r="I403" s="8"/>
      <c r="J403" s="8"/>
      <c r="K403" s="10" t="str">
        <f aca="false">IF(A403="","",IF(ABS(SUMIFS($E$9:$E$2008,$A$9:$A$2008,A403)-SUMIFS($F$9:$F$2008,$A$9:$A$2008,A403))&lt;0.5,"Yes","No"))</f>
        <v/>
      </c>
      <c r="L403" s="10" t="str">
        <f aca="false">IF(A403="","",IF(IF(K403="No","Does not balance | ","")&amp;IF(I403="","Not approved | ",IF(UPPER(TRIM(H403))=UPPER(TRIM(I403)),"Self-approved | ",""))&amp;IF(J403="","No support | ","")&amp;IF(WEEKDAY(B403,2)&gt;5,"Weekend posting | ","")&amp;IF(COUNTIF(Settings!$A$14:$A$43,B403)&gt;0,"Holiday posting | ","")&amp;IF(B403&gt;Settings!$C$8,"Posted after close | ","")&amp;IF(OR(B403&lt;Settings!$C$6,B403&gt;Settings!$C$7),"Outside period | ","")&amp;IF(COUNTIF(Settings!$E$14:$E$43,C403&amp;"")&gt;0,"Sensitive account | ","")&amp;IF(AND(MAX(N(E403),N(F403))&gt;=Settings!$C$9,MOD(MAX(N(E403),N(F403)),Settings!$C$10)=0),"Round amount | ","")="","",LEFT(IF(K403="No","Does not balance | ","")&amp;IF(I403="","Not approved | ",IF(UPPER(TRIM(H403))=UPPER(TRIM(I403)),"Self-approved | ",""))&amp;IF(J403="","No support | ","")&amp;IF(WEEKDAY(B403,2)&gt;5,"Weekend posting | ","")&amp;IF(COUNTIF(Settings!$A$14:$A$43,B403)&gt;0,"Holiday posting | ","")&amp;IF(B403&gt;Settings!$C$8,"Posted after close | ","")&amp;IF(OR(B403&lt;Settings!$C$6,B403&gt;Settings!$C$7),"Outside period | ","")&amp;IF(COUNTIF(Settings!$E$14:$E$43,C403&amp;"")&gt;0,"Sensitive account | ","")&amp;IF(AND(MAX(N(E403),N(F403))&gt;=Settings!$C$9,MOD(MAX(N(E403),N(F403)),Settings!$C$10)=0),"Round amount | ",""),LEN(IF(K403="No","Does not balance | ","")&amp;IF(I403="","Not approved | ",IF(UPPER(TRIM(H403))=UPPER(TRIM(I403)),"Self-approved | ",""))&amp;IF(J403="","No support | ","")&amp;IF(WEEKDAY(B403,2)&gt;5,"Weekend posting | ","")&amp;IF(COUNTIF(Settings!$A$14:$A$43,B403)&gt;0,"Holiday posting | ","")&amp;IF(B403&gt;Settings!$C$8,"Posted after close | ","")&amp;IF(OR(B403&lt;Settings!$C$6,B403&gt;Settings!$C$7),"Outside period | ","")&amp;IF(COUNTIF(Settings!$E$14:$E$43,C403&amp;"")&gt;0,"Sensitive account | ","")&amp;IF(AND(MAX(N(E403),N(F403))&gt;=Settings!$C$9,MOD(MAX(N(E403),N(F403)),Settings!$C$10)=0),"Round amount | ",""))-3)))</f>
        <v/>
      </c>
      <c r="M403" s="21" t="str">
        <f aca="false">IF(A403="","",IF(COUNTIF($A$9:A403,A403)=1,MAX($M$8:M402)+1,""))</f>
        <v/>
      </c>
    </row>
    <row r="404" customFormat="false" ht="15" hidden="false" customHeight="false" outlineLevel="0" collapsed="false">
      <c r="A404" s="8"/>
      <c r="B404" s="17"/>
      <c r="C404" s="19"/>
      <c r="D404" s="8"/>
      <c r="E404" s="18"/>
      <c r="F404" s="18"/>
      <c r="G404" s="8"/>
      <c r="H404" s="8"/>
      <c r="I404" s="8"/>
      <c r="J404" s="8"/>
      <c r="K404" s="10" t="str">
        <f aca="false">IF(A404="","",IF(ABS(SUMIFS($E$9:$E$2008,$A$9:$A$2008,A404)-SUMIFS($F$9:$F$2008,$A$9:$A$2008,A404))&lt;0.5,"Yes","No"))</f>
        <v/>
      </c>
      <c r="L404" s="10" t="str">
        <f aca="false">IF(A404="","",IF(IF(K404="No","Does not balance | ","")&amp;IF(I404="","Not approved | ",IF(UPPER(TRIM(H404))=UPPER(TRIM(I404)),"Self-approved | ",""))&amp;IF(J404="","No support | ","")&amp;IF(WEEKDAY(B404,2)&gt;5,"Weekend posting | ","")&amp;IF(COUNTIF(Settings!$A$14:$A$43,B404)&gt;0,"Holiday posting | ","")&amp;IF(B404&gt;Settings!$C$8,"Posted after close | ","")&amp;IF(OR(B404&lt;Settings!$C$6,B404&gt;Settings!$C$7),"Outside period | ","")&amp;IF(COUNTIF(Settings!$E$14:$E$43,C404&amp;"")&gt;0,"Sensitive account | ","")&amp;IF(AND(MAX(N(E404),N(F404))&gt;=Settings!$C$9,MOD(MAX(N(E404),N(F404)),Settings!$C$10)=0),"Round amount | ","")="","",LEFT(IF(K404="No","Does not balance | ","")&amp;IF(I404="","Not approved | ",IF(UPPER(TRIM(H404))=UPPER(TRIM(I404)),"Self-approved | ",""))&amp;IF(J404="","No support | ","")&amp;IF(WEEKDAY(B404,2)&gt;5,"Weekend posting | ","")&amp;IF(COUNTIF(Settings!$A$14:$A$43,B404)&gt;0,"Holiday posting | ","")&amp;IF(B404&gt;Settings!$C$8,"Posted after close | ","")&amp;IF(OR(B404&lt;Settings!$C$6,B404&gt;Settings!$C$7),"Outside period | ","")&amp;IF(COUNTIF(Settings!$E$14:$E$43,C404&amp;"")&gt;0,"Sensitive account | ","")&amp;IF(AND(MAX(N(E404),N(F404))&gt;=Settings!$C$9,MOD(MAX(N(E404),N(F404)),Settings!$C$10)=0),"Round amount | ",""),LEN(IF(K404="No","Does not balance | ","")&amp;IF(I404="","Not approved | ",IF(UPPER(TRIM(H404))=UPPER(TRIM(I404)),"Self-approved | ",""))&amp;IF(J404="","No support | ","")&amp;IF(WEEKDAY(B404,2)&gt;5,"Weekend posting | ","")&amp;IF(COUNTIF(Settings!$A$14:$A$43,B404)&gt;0,"Holiday posting | ","")&amp;IF(B404&gt;Settings!$C$8,"Posted after close | ","")&amp;IF(OR(B404&lt;Settings!$C$6,B404&gt;Settings!$C$7),"Outside period | ","")&amp;IF(COUNTIF(Settings!$E$14:$E$43,C404&amp;"")&gt;0,"Sensitive account | ","")&amp;IF(AND(MAX(N(E404),N(F404))&gt;=Settings!$C$9,MOD(MAX(N(E404),N(F404)),Settings!$C$10)=0),"Round amount | ",""))-3)))</f>
        <v/>
      </c>
      <c r="M404" s="21" t="str">
        <f aca="false">IF(A404="","",IF(COUNTIF($A$9:A404,A404)=1,MAX($M$8:M403)+1,""))</f>
        <v/>
      </c>
    </row>
    <row r="405" customFormat="false" ht="15" hidden="false" customHeight="false" outlineLevel="0" collapsed="false">
      <c r="A405" s="8"/>
      <c r="B405" s="17"/>
      <c r="C405" s="19"/>
      <c r="D405" s="8"/>
      <c r="E405" s="18"/>
      <c r="F405" s="18"/>
      <c r="G405" s="8"/>
      <c r="H405" s="8"/>
      <c r="I405" s="8"/>
      <c r="J405" s="8"/>
      <c r="K405" s="10" t="str">
        <f aca="false">IF(A405="","",IF(ABS(SUMIFS($E$9:$E$2008,$A$9:$A$2008,A405)-SUMIFS($F$9:$F$2008,$A$9:$A$2008,A405))&lt;0.5,"Yes","No"))</f>
        <v/>
      </c>
      <c r="L405" s="10" t="str">
        <f aca="false">IF(A405="","",IF(IF(K405="No","Does not balance | ","")&amp;IF(I405="","Not approved | ",IF(UPPER(TRIM(H405))=UPPER(TRIM(I405)),"Self-approved | ",""))&amp;IF(J405="","No support | ","")&amp;IF(WEEKDAY(B405,2)&gt;5,"Weekend posting | ","")&amp;IF(COUNTIF(Settings!$A$14:$A$43,B405)&gt;0,"Holiday posting | ","")&amp;IF(B405&gt;Settings!$C$8,"Posted after close | ","")&amp;IF(OR(B405&lt;Settings!$C$6,B405&gt;Settings!$C$7),"Outside period | ","")&amp;IF(COUNTIF(Settings!$E$14:$E$43,C405&amp;"")&gt;0,"Sensitive account | ","")&amp;IF(AND(MAX(N(E405),N(F405))&gt;=Settings!$C$9,MOD(MAX(N(E405),N(F405)),Settings!$C$10)=0),"Round amount | ","")="","",LEFT(IF(K405="No","Does not balance | ","")&amp;IF(I405="","Not approved | ",IF(UPPER(TRIM(H405))=UPPER(TRIM(I405)),"Self-approved | ",""))&amp;IF(J405="","No support | ","")&amp;IF(WEEKDAY(B405,2)&gt;5,"Weekend posting | ","")&amp;IF(COUNTIF(Settings!$A$14:$A$43,B405)&gt;0,"Holiday posting | ","")&amp;IF(B405&gt;Settings!$C$8,"Posted after close | ","")&amp;IF(OR(B405&lt;Settings!$C$6,B405&gt;Settings!$C$7),"Outside period | ","")&amp;IF(COUNTIF(Settings!$E$14:$E$43,C405&amp;"")&gt;0,"Sensitive account | ","")&amp;IF(AND(MAX(N(E405),N(F405))&gt;=Settings!$C$9,MOD(MAX(N(E405),N(F405)),Settings!$C$10)=0),"Round amount | ",""),LEN(IF(K405="No","Does not balance | ","")&amp;IF(I405="","Not approved | ",IF(UPPER(TRIM(H405))=UPPER(TRIM(I405)),"Self-approved | ",""))&amp;IF(J405="","No support | ","")&amp;IF(WEEKDAY(B405,2)&gt;5,"Weekend posting | ","")&amp;IF(COUNTIF(Settings!$A$14:$A$43,B405)&gt;0,"Holiday posting | ","")&amp;IF(B405&gt;Settings!$C$8,"Posted after close | ","")&amp;IF(OR(B405&lt;Settings!$C$6,B405&gt;Settings!$C$7),"Outside period | ","")&amp;IF(COUNTIF(Settings!$E$14:$E$43,C405&amp;"")&gt;0,"Sensitive account | ","")&amp;IF(AND(MAX(N(E405),N(F405))&gt;=Settings!$C$9,MOD(MAX(N(E405),N(F405)),Settings!$C$10)=0),"Round amount | ",""))-3)))</f>
        <v/>
      </c>
      <c r="M405" s="21" t="str">
        <f aca="false">IF(A405="","",IF(COUNTIF($A$9:A405,A405)=1,MAX($M$8:M404)+1,""))</f>
        <v/>
      </c>
    </row>
    <row r="406" customFormat="false" ht="15" hidden="false" customHeight="false" outlineLevel="0" collapsed="false">
      <c r="A406" s="8"/>
      <c r="B406" s="17"/>
      <c r="C406" s="19"/>
      <c r="D406" s="8"/>
      <c r="E406" s="18"/>
      <c r="F406" s="18"/>
      <c r="G406" s="8"/>
      <c r="H406" s="8"/>
      <c r="I406" s="8"/>
      <c r="J406" s="8"/>
      <c r="K406" s="10" t="str">
        <f aca="false">IF(A406="","",IF(ABS(SUMIFS($E$9:$E$2008,$A$9:$A$2008,A406)-SUMIFS($F$9:$F$2008,$A$9:$A$2008,A406))&lt;0.5,"Yes","No"))</f>
        <v/>
      </c>
      <c r="L406" s="10" t="str">
        <f aca="false">IF(A406="","",IF(IF(K406="No","Does not balance | ","")&amp;IF(I406="","Not approved | ",IF(UPPER(TRIM(H406))=UPPER(TRIM(I406)),"Self-approved | ",""))&amp;IF(J406="","No support | ","")&amp;IF(WEEKDAY(B406,2)&gt;5,"Weekend posting | ","")&amp;IF(COUNTIF(Settings!$A$14:$A$43,B406)&gt;0,"Holiday posting | ","")&amp;IF(B406&gt;Settings!$C$8,"Posted after close | ","")&amp;IF(OR(B406&lt;Settings!$C$6,B406&gt;Settings!$C$7),"Outside period | ","")&amp;IF(COUNTIF(Settings!$E$14:$E$43,C406&amp;"")&gt;0,"Sensitive account | ","")&amp;IF(AND(MAX(N(E406),N(F406))&gt;=Settings!$C$9,MOD(MAX(N(E406),N(F406)),Settings!$C$10)=0),"Round amount | ","")="","",LEFT(IF(K406="No","Does not balance | ","")&amp;IF(I406="","Not approved | ",IF(UPPER(TRIM(H406))=UPPER(TRIM(I406)),"Self-approved | ",""))&amp;IF(J406="","No support | ","")&amp;IF(WEEKDAY(B406,2)&gt;5,"Weekend posting | ","")&amp;IF(COUNTIF(Settings!$A$14:$A$43,B406)&gt;0,"Holiday posting | ","")&amp;IF(B406&gt;Settings!$C$8,"Posted after close | ","")&amp;IF(OR(B406&lt;Settings!$C$6,B406&gt;Settings!$C$7),"Outside period | ","")&amp;IF(COUNTIF(Settings!$E$14:$E$43,C406&amp;"")&gt;0,"Sensitive account | ","")&amp;IF(AND(MAX(N(E406),N(F406))&gt;=Settings!$C$9,MOD(MAX(N(E406),N(F406)),Settings!$C$10)=0),"Round amount | ",""),LEN(IF(K406="No","Does not balance | ","")&amp;IF(I406="","Not approved | ",IF(UPPER(TRIM(H406))=UPPER(TRIM(I406)),"Self-approved | ",""))&amp;IF(J406="","No support | ","")&amp;IF(WEEKDAY(B406,2)&gt;5,"Weekend posting | ","")&amp;IF(COUNTIF(Settings!$A$14:$A$43,B406)&gt;0,"Holiday posting | ","")&amp;IF(B406&gt;Settings!$C$8,"Posted after close | ","")&amp;IF(OR(B406&lt;Settings!$C$6,B406&gt;Settings!$C$7),"Outside period | ","")&amp;IF(COUNTIF(Settings!$E$14:$E$43,C406&amp;"")&gt;0,"Sensitive account | ","")&amp;IF(AND(MAX(N(E406),N(F406))&gt;=Settings!$C$9,MOD(MAX(N(E406),N(F406)),Settings!$C$10)=0),"Round amount | ",""))-3)))</f>
        <v/>
      </c>
      <c r="M406" s="21" t="str">
        <f aca="false">IF(A406="","",IF(COUNTIF($A$9:A406,A406)=1,MAX($M$8:M405)+1,""))</f>
        <v/>
      </c>
    </row>
    <row r="407" customFormat="false" ht="15" hidden="false" customHeight="false" outlineLevel="0" collapsed="false">
      <c r="A407" s="8"/>
      <c r="B407" s="17"/>
      <c r="C407" s="19"/>
      <c r="D407" s="8"/>
      <c r="E407" s="18"/>
      <c r="F407" s="18"/>
      <c r="G407" s="8"/>
      <c r="H407" s="8"/>
      <c r="I407" s="8"/>
      <c r="J407" s="8"/>
      <c r="K407" s="10" t="str">
        <f aca="false">IF(A407="","",IF(ABS(SUMIFS($E$9:$E$2008,$A$9:$A$2008,A407)-SUMIFS($F$9:$F$2008,$A$9:$A$2008,A407))&lt;0.5,"Yes","No"))</f>
        <v/>
      </c>
      <c r="L407" s="10" t="str">
        <f aca="false">IF(A407="","",IF(IF(K407="No","Does not balance | ","")&amp;IF(I407="","Not approved | ",IF(UPPER(TRIM(H407))=UPPER(TRIM(I407)),"Self-approved | ",""))&amp;IF(J407="","No support | ","")&amp;IF(WEEKDAY(B407,2)&gt;5,"Weekend posting | ","")&amp;IF(COUNTIF(Settings!$A$14:$A$43,B407)&gt;0,"Holiday posting | ","")&amp;IF(B407&gt;Settings!$C$8,"Posted after close | ","")&amp;IF(OR(B407&lt;Settings!$C$6,B407&gt;Settings!$C$7),"Outside period | ","")&amp;IF(COUNTIF(Settings!$E$14:$E$43,C407&amp;"")&gt;0,"Sensitive account | ","")&amp;IF(AND(MAX(N(E407),N(F407))&gt;=Settings!$C$9,MOD(MAX(N(E407),N(F407)),Settings!$C$10)=0),"Round amount | ","")="","",LEFT(IF(K407="No","Does not balance | ","")&amp;IF(I407="","Not approved | ",IF(UPPER(TRIM(H407))=UPPER(TRIM(I407)),"Self-approved | ",""))&amp;IF(J407="","No support | ","")&amp;IF(WEEKDAY(B407,2)&gt;5,"Weekend posting | ","")&amp;IF(COUNTIF(Settings!$A$14:$A$43,B407)&gt;0,"Holiday posting | ","")&amp;IF(B407&gt;Settings!$C$8,"Posted after close | ","")&amp;IF(OR(B407&lt;Settings!$C$6,B407&gt;Settings!$C$7),"Outside period | ","")&amp;IF(COUNTIF(Settings!$E$14:$E$43,C407&amp;"")&gt;0,"Sensitive account | ","")&amp;IF(AND(MAX(N(E407),N(F407))&gt;=Settings!$C$9,MOD(MAX(N(E407),N(F407)),Settings!$C$10)=0),"Round amount | ",""),LEN(IF(K407="No","Does not balance | ","")&amp;IF(I407="","Not approved | ",IF(UPPER(TRIM(H407))=UPPER(TRIM(I407)),"Self-approved | ",""))&amp;IF(J407="","No support | ","")&amp;IF(WEEKDAY(B407,2)&gt;5,"Weekend posting | ","")&amp;IF(COUNTIF(Settings!$A$14:$A$43,B407)&gt;0,"Holiday posting | ","")&amp;IF(B407&gt;Settings!$C$8,"Posted after close | ","")&amp;IF(OR(B407&lt;Settings!$C$6,B407&gt;Settings!$C$7),"Outside period | ","")&amp;IF(COUNTIF(Settings!$E$14:$E$43,C407&amp;"")&gt;0,"Sensitive account | ","")&amp;IF(AND(MAX(N(E407),N(F407))&gt;=Settings!$C$9,MOD(MAX(N(E407),N(F407)),Settings!$C$10)=0),"Round amount | ",""))-3)))</f>
        <v/>
      </c>
      <c r="M407" s="21" t="str">
        <f aca="false">IF(A407="","",IF(COUNTIF($A$9:A407,A407)=1,MAX($M$8:M406)+1,""))</f>
        <v/>
      </c>
    </row>
    <row r="408" customFormat="false" ht="15" hidden="false" customHeight="false" outlineLevel="0" collapsed="false">
      <c r="A408" s="8"/>
      <c r="B408" s="17"/>
      <c r="C408" s="19"/>
      <c r="D408" s="8"/>
      <c r="E408" s="18"/>
      <c r="F408" s="18"/>
      <c r="G408" s="8"/>
      <c r="H408" s="8"/>
      <c r="I408" s="8"/>
      <c r="J408" s="8"/>
      <c r="K408" s="10" t="str">
        <f aca="false">IF(A408="","",IF(ABS(SUMIFS($E$9:$E$2008,$A$9:$A$2008,A408)-SUMIFS($F$9:$F$2008,$A$9:$A$2008,A408))&lt;0.5,"Yes","No"))</f>
        <v/>
      </c>
      <c r="L408" s="10" t="str">
        <f aca="false">IF(A408="","",IF(IF(K408="No","Does not balance | ","")&amp;IF(I408="","Not approved | ",IF(UPPER(TRIM(H408))=UPPER(TRIM(I408)),"Self-approved | ",""))&amp;IF(J408="","No support | ","")&amp;IF(WEEKDAY(B408,2)&gt;5,"Weekend posting | ","")&amp;IF(COUNTIF(Settings!$A$14:$A$43,B408)&gt;0,"Holiday posting | ","")&amp;IF(B408&gt;Settings!$C$8,"Posted after close | ","")&amp;IF(OR(B408&lt;Settings!$C$6,B408&gt;Settings!$C$7),"Outside period | ","")&amp;IF(COUNTIF(Settings!$E$14:$E$43,C408&amp;"")&gt;0,"Sensitive account | ","")&amp;IF(AND(MAX(N(E408),N(F408))&gt;=Settings!$C$9,MOD(MAX(N(E408),N(F408)),Settings!$C$10)=0),"Round amount | ","")="","",LEFT(IF(K408="No","Does not balance | ","")&amp;IF(I408="","Not approved | ",IF(UPPER(TRIM(H408))=UPPER(TRIM(I408)),"Self-approved | ",""))&amp;IF(J408="","No support | ","")&amp;IF(WEEKDAY(B408,2)&gt;5,"Weekend posting | ","")&amp;IF(COUNTIF(Settings!$A$14:$A$43,B408)&gt;0,"Holiday posting | ","")&amp;IF(B408&gt;Settings!$C$8,"Posted after close | ","")&amp;IF(OR(B408&lt;Settings!$C$6,B408&gt;Settings!$C$7),"Outside period | ","")&amp;IF(COUNTIF(Settings!$E$14:$E$43,C408&amp;"")&gt;0,"Sensitive account | ","")&amp;IF(AND(MAX(N(E408),N(F408))&gt;=Settings!$C$9,MOD(MAX(N(E408),N(F408)),Settings!$C$10)=0),"Round amount | ",""),LEN(IF(K408="No","Does not balance | ","")&amp;IF(I408="","Not approved | ",IF(UPPER(TRIM(H408))=UPPER(TRIM(I408)),"Self-approved | ",""))&amp;IF(J408="","No support | ","")&amp;IF(WEEKDAY(B408,2)&gt;5,"Weekend posting | ","")&amp;IF(COUNTIF(Settings!$A$14:$A$43,B408)&gt;0,"Holiday posting | ","")&amp;IF(B408&gt;Settings!$C$8,"Posted after close | ","")&amp;IF(OR(B408&lt;Settings!$C$6,B408&gt;Settings!$C$7),"Outside period | ","")&amp;IF(COUNTIF(Settings!$E$14:$E$43,C408&amp;"")&gt;0,"Sensitive account | ","")&amp;IF(AND(MAX(N(E408),N(F408))&gt;=Settings!$C$9,MOD(MAX(N(E408),N(F408)),Settings!$C$10)=0),"Round amount | ",""))-3)))</f>
        <v/>
      </c>
      <c r="M408" s="21" t="str">
        <f aca="false">IF(A408="","",IF(COUNTIF($A$9:A408,A408)=1,MAX($M$8:M407)+1,""))</f>
        <v/>
      </c>
    </row>
    <row r="409" customFormat="false" ht="15" hidden="false" customHeight="false" outlineLevel="0" collapsed="false">
      <c r="A409" s="8"/>
      <c r="B409" s="17"/>
      <c r="C409" s="19"/>
      <c r="D409" s="8"/>
      <c r="E409" s="18"/>
      <c r="F409" s="18"/>
      <c r="G409" s="8"/>
      <c r="H409" s="8"/>
      <c r="I409" s="8"/>
      <c r="J409" s="8"/>
      <c r="K409" s="10" t="str">
        <f aca="false">IF(A409="","",IF(ABS(SUMIFS($E$9:$E$2008,$A$9:$A$2008,A409)-SUMIFS($F$9:$F$2008,$A$9:$A$2008,A409))&lt;0.5,"Yes","No"))</f>
        <v/>
      </c>
      <c r="L409" s="10" t="str">
        <f aca="false">IF(A409="","",IF(IF(K409="No","Does not balance | ","")&amp;IF(I409="","Not approved | ",IF(UPPER(TRIM(H409))=UPPER(TRIM(I409)),"Self-approved | ",""))&amp;IF(J409="","No support | ","")&amp;IF(WEEKDAY(B409,2)&gt;5,"Weekend posting | ","")&amp;IF(COUNTIF(Settings!$A$14:$A$43,B409)&gt;0,"Holiday posting | ","")&amp;IF(B409&gt;Settings!$C$8,"Posted after close | ","")&amp;IF(OR(B409&lt;Settings!$C$6,B409&gt;Settings!$C$7),"Outside period | ","")&amp;IF(COUNTIF(Settings!$E$14:$E$43,C409&amp;"")&gt;0,"Sensitive account | ","")&amp;IF(AND(MAX(N(E409),N(F409))&gt;=Settings!$C$9,MOD(MAX(N(E409),N(F409)),Settings!$C$10)=0),"Round amount | ","")="","",LEFT(IF(K409="No","Does not balance | ","")&amp;IF(I409="","Not approved | ",IF(UPPER(TRIM(H409))=UPPER(TRIM(I409)),"Self-approved | ",""))&amp;IF(J409="","No support | ","")&amp;IF(WEEKDAY(B409,2)&gt;5,"Weekend posting | ","")&amp;IF(COUNTIF(Settings!$A$14:$A$43,B409)&gt;0,"Holiday posting | ","")&amp;IF(B409&gt;Settings!$C$8,"Posted after close | ","")&amp;IF(OR(B409&lt;Settings!$C$6,B409&gt;Settings!$C$7),"Outside period | ","")&amp;IF(COUNTIF(Settings!$E$14:$E$43,C409&amp;"")&gt;0,"Sensitive account | ","")&amp;IF(AND(MAX(N(E409),N(F409))&gt;=Settings!$C$9,MOD(MAX(N(E409),N(F409)),Settings!$C$10)=0),"Round amount | ",""),LEN(IF(K409="No","Does not balance | ","")&amp;IF(I409="","Not approved | ",IF(UPPER(TRIM(H409))=UPPER(TRIM(I409)),"Self-approved | ",""))&amp;IF(J409="","No support | ","")&amp;IF(WEEKDAY(B409,2)&gt;5,"Weekend posting | ","")&amp;IF(COUNTIF(Settings!$A$14:$A$43,B409)&gt;0,"Holiday posting | ","")&amp;IF(B409&gt;Settings!$C$8,"Posted after close | ","")&amp;IF(OR(B409&lt;Settings!$C$6,B409&gt;Settings!$C$7),"Outside period | ","")&amp;IF(COUNTIF(Settings!$E$14:$E$43,C409&amp;"")&gt;0,"Sensitive account | ","")&amp;IF(AND(MAX(N(E409),N(F409))&gt;=Settings!$C$9,MOD(MAX(N(E409),N(F409)),Settings!$C$10)=0),"Round amount | ",""))-3)))</f>
        <v/>
      </c>
      <c r="M409" s="21" t="str">
        <f aca="false">IF(A409="","",IF(COUNTIF($A$9:A409,A409)=1,MAX($M$8:M408)+1,""))</f>
        <v/>
      </c>
    </row>
    <row r="410" customFormat="false" ht="15" hidden="false" customHeight="false" outlineLevel="0" collapsed="false">
      <c r="A410" s="8"/>
      <c r="B410" s="17"/>
      <c r="C410" s="19"/>
      <c r="D410" s="8"/>
      <c r="E410" s="18"/>
      <c r="F410" s="18"/>
      <c r="G410" s="8"/>
      <c r="H410" s="8"/>
      <c r="I410" s="8"/>
      <c r="J410" s="8"/>
      <c r="K410" s="10" t="str">
        <f aca="false">IF(A410="","",IF(ABS(SUMIFS($E$9:$E$2008,$A$9:$A$2008,A410)-SUMIFS($F$9:$F$2008,$A$9:$A$2008,A410))&lt;0.5,"Yes","No"))</f>
        <v/>
      </c>
      <c r="L410" s="10" t="str">
        <f aca="false">IF(A410="","",IF(IF(K410="No","Does not balance | ","")&amp;IF(I410="","Not approved | ",IF(UPPER(TRIM(H410))=UPPER(TRIM(I410)),"Self-approved | ",""))&amp;IF(J410="","No support | ","")&amp;IF(WEEKDAY(B410,2)&gt;5,"Weekend posting | ","")&amp;IF(COUNTIF(Settings!$A$14:$A$43,B410)&gt;0,"Holiday posting | ","")&amp;IF(B410&gt;Settings!$C$8,"Posted after close | ","")&amp;IF(OR(B410&lt;Settings!$C$6,B410&gt;Settings!$C$7),"Outside period | ","")&amp;IF(COUNTIF(Settings!$E$14:$E$43,C410&amp;"")&gt;0,"Sensitive account | ","")&amp;IF(AND(MAX(N(E410),N(F410))&gt;=Settings!$C$9,MOD(MAX(N(E410),N(F410)),Settings!$C$10)=0),"Round amount | ","")="","",LEFT(IF(K410="No","Does not balance | ","")&amp;IF(I410="","Not approved | ",IF(UPPER(TRIM(H410))=UPPER(TRIM(I410)),"Self-approved | ",""))&amp;IF(J410="","No support | ","")&amp;IF(WEEKDAY(B410,2)&gt;5,"Weekend posting | ","")&amp;IF(COUNTIF(Settings!$A$14:$A$43,B410)&gt;0,"Holiday posting | ","")&amp;IF(B410&gt;Settings!$C$8,"Posted after close | ","")&amp;IF(OR(B410&lt;Settings!$C$6,B410&gt;Settings!$C$7),"Outside period | ","")&amp;IF(COUNTIF(Settings!$E$14:$E$43,C410&amp;"")&gt;0,"Sensitive account | ","")&amp;IF(AND(MAX(N(E410),N(F410))&gt;=Settings!$C$9,MOD(MAX(N(E410),N(F410)),Settings!$C$10)=0),"Round amount | ",""),LEN(IF(K410="No","Does not balance | ","")&amp;IF(I410="","Not approved | ",IF(UPPER(TRIM(H410))=UPPER(TRIM(I410)),"Self-approved | ",""))&amp;IF(J410="","No support | ","")&amp;IF(WEEKDAY(B410,2)&gt;5,"Weekend posting | ","")&amp;IF(COUNTIF(Settings!$A$14:$A$43,B410)&gt;0,"Holiday posting | ","")&amp;IF(B410&gt;Settings!$C$8,"Posted after close | ","")&amp;IF(OR(B410&lt;Settings!$C$6,B410&gt;Settings!$C$7),"Outside period | ","")&amp;IF(COUNTIF(Settings!$E$14:$E$43,C410&amp;"")&gt;0,"Sensitive account | ","")&amp;IF(AND(MAX(N(E410),N(F410))&gt;=Settings!$C$9,MOD(MAX(N(E410),N(F410)),Settings!$C$10)=0),"Round amount | ",""))-3)))</f>
        <v/>
      </c>
      <c r="M410" s="21" t="str">
        <f aca="false">IF(A410="","",IF(COUNTIF($A$9:A410,A410)=1,MAX($M$8:M409)+1,""))</f>
        <v/>
      </c>
    </row>
    <row r="411" customFormat="false" ht="15" hidden="false" customHeight="false" outlineLevel="0" collapsed="false">
      <c r="A411" s="8"/>
      <c r="B411" s="17"/>
      <c r="C411" s="19"/>
      <c r="D411" s="8"/>
      <c r="E411" s="18"/>
      <c r="F411" s="18"/>
      <c r="G411" s="8"/>
      <c r="H411" s="8"/>
      <c r="I411" s="8"/>
      <c r="J411" s="8"/>
      <c r="K411" s="10" t="str">
        <f aca="false">IF(A411="","",IF(ABS(SUMIFS($E$9:$E$2008,$A$9:$A$2008,A411)-SUMIFS($F$9:$F$2008,$A$9:$A$2008,A411))&lt;0.5,"Yes","No"))</f>
        <v/>
      </c>
      <c r="L411" s="10" t="str">
        <f aca="false">IF(A411="","",IF(IF(K411="No","Does not balance | ","")&amp;IF(I411="","Not approved | ",IF(UPPER(TRIM(H411))=UPPER(TRIM(I411)),"Self-approved | ",""))&amp;IF(J411="","No support | ","")&amp;IF(WEEKDAY(B411,2)&gt;5,"Weekend posting | ","")&amp;IF(COUNTIF(Settings!$A$14:$A$43,B411)&gt;0,"Holiday posting | ","")&amp;IF(B411&gt;Settings!$C$8,"Posted after close | ","")&amp;IF(OR(B411&lt;Settings!$C$6,B411&gt;Settings!$C$7),"Outside period | ","")&amp;IF(COUNTIF(Settings!$E$14:$E$43,C411&amp;"")&gt;0,"Sensitive account | ","")&amp;IF(AND(MAX(N(E411),N(F411))&gt;=Settings!$C$9,MOD(MAX(N(E411),N(F411)),Settings!$C$10)=0),"Round amount | ","")="","",LEFT(IF(K411="No","Does not balance | ","")&amp;IF(I411="","Not approved | ",IF(UPPER(TRIM(H411))=UPPER(TRIM(I411)),"Self-approved | ",""))&amp;IF(J411="","No support | ","")&amp;IF(WEEKDAY(B411,2)&gt;5,"Weekend posting | ","")&amp;IF(COUNTIF(Settings!$A$14:$A$43,B411)&gt;0,"Holiday posting | ","")&amp;IF(B411&gt;Settings!$C$8,"Posted after close | ","")&amp;IF(OR(B411&lt;Settings!$C$6,B411&gt;Settings!$C$7),"Outside period | ","")&amp;IF(COUNTIF(Settings!$E$14:$E$43,C411&amp;"")&gt;0,"Sensitive account | ","")&amp;IF(AND(MAX(N(E411),N(F411))&gt;=Settings!$C$9,MOD(MAX(N(E411),N(F411)),Settings!$C$10)=0),"Round amount | ",""),LEN(IF(K411="No","Does not balance | ","")&amp;IF(I411="","Not approved | ",IF(UPPER(TRIM(H411))=UPPER(TRIM(I411)),"Self-approved | ",""))&amp;IF(J411="","No support | ","")&amp;IF(WEEKDAY(B411,2)&gt;5,"Weekend posting | ","")&amp;IF(COUNTIF(Settings!$A$14:$A$43,B411)&gt;0,"Holiday posting | ","")&amp;IF(B411&gt;Settings!$C$8,"Posted after close | ","")&amp;IF(OR(B411&lt;Settings!$C$6,B411&gt;Settings!$C$7),"Outside period | ","")&amp;IF(COUNTIF(Settings!$E$14:$E$43,C411&amp;"")&gt;0,"Sensitive account | ","")&amp;IF(AND(MAX(N(E411),N(F411))&gt;=Settings!$C$9,MOD(MAX(N(E411),N(F411)),Settings!$C$10)=0),"Round amount | ",""))-3)))</f>
        <v/>
      </c>
      <c r="M411" s="21" t="str">
        <f aca="false">IF(A411="","",IF(COUNTIF($A$9:A411,A411)=1,MAX($M$8:M410)+1,""))</f>
        <v/>
      </c>
    </row>
    <row r="412" customFormat="false" ht="15" hidden="false" customHeight="false" outlineLevel="0" collapsed="false">
      <c r="A412" s="8"/>
      <c r="B412" s="17"/>
      <c r="C412" s="19"/>
      <c r="D412" s="8"/>
      <c r="E412" s="18"/>
      <c r="F412" s="18"/>
      <c r="G412" s="8"/>
      <c r="H412" s="8"/>
      <c r="I412" s="8"/>
      <c r="J412" s="8"/>
      <c r="K412" s="10" t="str">
        <f aca="false">IF(A412="","",IF(ABS(SUMIFS($E$9:$E$2008,$A$9:$A$2008,A412)-SUMIFS($F$9:$F$2008,$A$9:$A$2008,A412))&lt;0.5,"Yes","No"))</f>
        <v/>
      </c>
      <c r="L412" s="10" t="str">
        <f aca="false">IF(A412="","",IF(IF(K412="No","Does not balance | ","")&amp;IF(I412="","Not approved | ",IF(UPPER(TRIM(H412))=UPPER(TRIM(I412)),"Self-approved | ",""))&amp;IF(J412="","No support | ","")&amp;IF(WEEKDAY(B412,2)&gt;5,"Weekend posting | ","")&amp;IF(COUNTIF(Settings!$A$14:$A$43,B412)&gt;0,"Holiday posting | ","")&amp;IF(B412&gt;Settings!$C$8,"Posted after close | ","")&amp;IF(OR(B412&lt;Settings!$C$6,B412&gt;Settings!$C$7),"Outside period | ","")&amp;IF(COUNTIF(Settings!$E$14:$E$43,C412&amp;"")&gt;0,"Sensitive account | ","")&amp;IF(AND(MAX(N(E412),N(F412))&gt;=Settings!$C$9,MOD(MAX(N(E412),N(F412)),Settings!$C$10)=0),"Round amount | ","")="","",LEFT(IF(K412="No","Does not balance | ","")&amp;IF(I412="","Not approved | ",IF(UPPER(TRIM(H412))=UPPER(TRIM(I412)),"Self-approved | ",""))&amp;IF(J412="","No support | ","")&amp;IF(WEEKDAY(B412,2)&gt;5,"Weekend posting | ","")&amp;IF(COUNTIF(Settings!$A$14:$A$43,B412)&gt;0,"Holiday posting | ","")&amp;IF(B412&gt;Settings!$C$8,"Posted after close | ","")&amp;IF(OR(B412&lt;Settings!$C$6,B412&gt;Settings!$C$7),"Outside period | ","")&amp;IF(COUNTIF(Settings!$E$14:$E$43,C412&amp;"")&gt;0,"Sensitive account | ","")&amp;IF(AND(MAX(N(E412),N(F412))&gt;=Settings!$C$9,MOD(MAX(N(E412),N(F412)),Settings!$C$10)=0),"Round amount | ",""),LEN(IF(K412="No","Does not balance | ","")&amp;IF(I412="","Not approved | ",IF(UPPER(TRIM(H412))=UPPER(TRIM(I412)),"Self-approved | ",""))&amp;IF(J412="","No support | ","")&amp;IF(WEEKDAY(B412,2)&gt;5,"Weekend posting | ","")&amp;IF(COUNTIF(Settings!$A$14:$A$43,B412)&gt;0,"Holiday posting | ","")&amp;IF(B412&gt;Settings!$C$8,"Posted after close | ","")&amp;IF(OR(B412&lt;Settings!$C$6,B412&gt;Settings!$C$7),"Outside period | ","")&amp;IF(COUNTIF(Settings!$E$14:$E$43,C412&amp;"")&gt;0,"Sensitive account | ","")&amp;IF(AND(MAX(N(E412),N(F412))&gt;=Settings!$C$9,MOD(MAX(N(E412),N(F412)),Settings!$C$10)=0),"Round amount | ",""))-3)))</f>
        <v/>
      </c>
      <c r="M412" s="21" t="str">
        <f aca="false">IF(A412="","",IF(COUNTIF($A$9:A412,A412)=1,MAX($M$8:M411)+1,""))</f>
        <v/>
      </c>
    </row>
    <row r="413" customFormat="false" ht="15" hidden="false" customHeight="false" outlineLevel="0" collapsed="false">
      <c r="A413" s="8"/>
      <c r="B413" s="17"/>
      <c r="C413" s="19"/>
      <c r="D413" s="8"/>
      <c r="E413" s="18"/>
      <c r="F413" s="18"/>
      <c r="G413" s="8"/>
      <c r="H413" s="8"/>
      <c r="I413" s="8"/>
      <c r="J413" s="8"/>
      <c r="K413" s="10" t="str">
        <f aca="false">IF(A413="","",IF(ABS(SUMIFS($E$9:$E$2008,$A$9:$A$2008,A413)-SUMIFS($F$9:$F$2008,$A$9:$A$2008,A413))&lt;0.5,"Yes","No"))</f>
        <v/>
      </c>
      <c r="L413" s="10" t="str">
        <f aca="false">IF(A413="","",IF(IF(K413="No","Does not balance | ","")&amp;IF(I413="","Not approved | ",IF(UPPER(TRIM(H413))=UPPER(TRIM(I413)),"Self-approved | ",""))&amp;IF(J413="","No support | ","")&amp;IF(WEEKDAY(B413,2)&gt;5,"Weekend posting | ","")&amp;IF(COUNTIF(Settings!$A$14:$A$43,B413)&gt;0,"Holiday posting | ","")&amp;IF(B413&gt;Settings!$C$8,"Posted after close | ","")&amp;IF(OR(B413&lt;Settings!$C$6,B413&gt;Settings!$C$7),"Outside period | ","")&amp;IF(COUNTIF(Settings!$E$14:$E$43,C413&amp;"")&gt;0,"Sensitive account | ","")&amp;IF(AND(MAX(N(E413),N(F413))&gt;=Settings!$C$9,MOD(MAX(N(E413),N(F413)),Settings!$C$10)=0),"Round amount | ","")="","",LEFT(IF(K413="No","Does not balance | ","")&amp;IF(I413="","Not approved | ",IF(UPPER(TRIM(H413))=UPPER(TRIM(I413)),"Self-approved | ",""))&amp;IF(J413="","No support | ","")&amp;IF(WEEKDAY(B413,2)&gt;5,"Weekend posting | ","")&amp;IF(COUNTIF(Settings!$A$14:$A$43,B413)&gt;0,"Holiday posting | ","")&amp;IF(B413&gt;Settings!$C$8,"Posted after close | ","")&amp;IF(OR(B413&lt;Settings!$C$6,B413&gt;Settings!$C$7),"Outside period | ","")&amp;IF(COUNTIF(Settings!$E$14:$E$43,C413&amp;"")&gt;0,"Sensitive account | ","")&amp;IF(AND(MAX(N(E413),N(F413))&gt;=Settings!$C$9,MOD(MAX(N(E413),N(F413)),Settings!$C$10)=0),"Round amount | ",""),LEN(IF(K413="No","Does not balance | ","")&amp;IF(I413="","Not approved | ",IF(UPPER(TRIM(H413))=UPPER(TRIM(I413)),"Self-approved | ",""))&amp;IF(J413="","No support | ","")&amp;IF(WEEKDAY(B413,2)&gt;5,"Weekend posting | ","")&amp;IF(COUNTIF(Settings!$A$14:$A$43,B413)&gt;0,"Holiday posting | ","")&amp;IF(B413&gt;Settings!$C$8,"Posted after close | ","")&amp;IF(OR(B413&lt;Settings!$C$6,B413&gt;Settings!$C$7),"Outside period | ","")&amp;IF(COUNTIF(Settings!$E$14:$E$43,C413&amp;"")&gt;0,"Sensitive account | ","")&amp;IF(AND(MAX(N(E413),N(F413))&gt;=Settings!$C$9,MOD(MAX(N(E413),N(F413)),Settings!$C$10)=0),"Round amount | ",""))-3)))</f>
        <v/>
      </c>
      <c r="M413" s="21" t="str">
        <f aca="false">IF(A413="","",IF(COUNTIF($A$9:A413,A413)=1,MAX($M$8:M412)+1,""))</f>
        <v/>
      </c>
    </row>
    <row r="414" customFormat="false" ht="15" hidden="false" customHeight="false" outlineLevel="0" collapsed="false">
      <c r="A414" s="8"/>
      <c r="B414" s="17"/>
      <c r="C414" s="19"/>
      <c r="D414" s="8"/>
      <c r="E414" s="18"/>
      <c r="F414" s="18"/>
      <c r="G414" s="8"/>
      <c r="H414" s="8"/>
      <c r="I414" s="8"/>
      <c r="J414" s="8"/>
      <c r="K414" s="10" t="str">
        <f aca="false">IF(A414="","",IF(ABS(SUMIFS($E$9:$E$2008,$A$9:$A$2008,A414)-SUMIFS($F$9:$F$2008,$A$9:$A$2008,A414))&lt;0.5,"Yes","No"))</f>
        <v/>
      </c>
      <c r="L414" s="10" t="str">
        <f aca="false">IF(A414="","",IF(IF(K414="No","Does not balance | ","")&amp;IF(I414="","Not approved | ",IF(UPPER(TRIM(H414))=UPPER(TRIM(I414)),"Self-approved | ",""))&amp;IF(J414="","No support | ","")&amp;IF(WEEKDAY(B414,2)&gt;5,"Weekend posting | ","")&amp;IF(COUNTIF(Settings!$A$14:$A$43,B414)&gt;0,"Holiday posting | ","")&amp;IF(B414&gt;Settings!$C$8,"Posted after close | ","")&amp;IF(OR(B414&lt;Settings!$C$6,B414&gt;Settings!$C$7),"Outside period | ","")&amp;IF(COUNTIF(Settings!$E$14:$E$43,C414&amp;"")&gt;0,"Sensitive account | ","")&amp;IF(AND(MAX(N(E414),N(F414))&gt;=Settings!$C$9,MOD(MAX(N(E414),N(F414)),Settings!$C$10)=0),"Round amount | ","")="","",LEFT(IF(K414="No","Does not balance | ","")&amp;IF(I414="","Not approved | ",IF(UPPER(TRIM(H414))=UPPER(TRIM(I414)),"Self-approved | ",""))&amp;IF(J414="","No support | ","")&amp;IF(WEEKDAY(B414,2)&gt;5,"Weekend posting | ","")&amp;IF(COUNTIF(Settings!$A$14:$A$43,B414)&gt;0,"Holiday posting | ","")&amp;IF(B414&gt;Settings!$C$8,"Posted after close | ","")&amp;IF(OR(B414&lt;Settings!$C$6,B414&gt;Settings!$C$7),"Outside period | ","")&amp;IF(COUNTIF(Settings!$E$14:$E$43,C414&amp;"")&gt;0,"Sensitive account | ","")&amp;IF(AND(MAX(N(E414),N(F414))&gt;=Settings!$C$9,MOD(MAX(N(E414),N(F414)),Settings!$C$10)=0),"Round amount | ",""),LEN(IF(K414="No","Does not balance | ","")&amp;IF(I414="","Not approved | ",IF(UPPER(TRIM(H414))=UPPER(TRIM(I414)),"Self-approved | ",""))&amp;IF(J414="","No support | ","")&amp;IF(WEEKDAY(B414,2)&gt;5,"Weekend posting | ","")&amp;IF(COUNTIF(Settings!$A$14:$A$43,B414)&gt;0,"Holiday posting | ","")&amp;IF(B414&gt;Settings!$C$8,"Posted after close | ","")&amp;IF(OR(B414&lt;Settings!$C$6,B414&gt;Settings!$C$7),"Outside period | ","")&amp;IF(COUNTIF(Settings!$E$14:$E$43,C414&amp;"")&gt;0,"Sensitive account | ","")&amp;IF(AND(MAX(N(E414),N(F414))&gt;=Settings!$C$9,MOD(MAX(N(E414),N(F414)),Settings!$C$10)=0),"Round amount | ",""))-3)))</f>
        <v/>
      </c>
      <c r="M414" s="21" t="str">
        <f aca="false">IF(A414="","",IF(COUNTIF($A$9:A414,A414)=1,MAX($M$8:M413)+1,""))</f>
        <v/>
      </c>
    </row>
    <row r="415" customFormat="false" ht="15" hidden="false" customHeight="false" outlineLevel="0" collapsed="false">
      <c r="A415" s="8"/>
      <c r="B415" s="17"/>
      <c r="C415" s="19"/>
      <c r="D415" s="8"/>
      <c r="E415" s="18"/>
      <c r="F415" s="18"/>
      <c r="G415" s="8"/>
      <c r="H415" s="8"/>
      <c r="I415" s="8"/>
      <c r="J415" s="8"/>
      <c r="K415" s="10" t="str">
        <f aca="false">IF(A415="","",IF(ABS(SUMIFS($E$9:$E$2008,$A$9:$A$2008,A415)-SUMIFS($F$9:$F$2008,$A$9:$A$2008,A415))&lt;0.5,"Yes","No"))</f>
        <v/>
      </c>
      <c r="L415" s="10" t="str">
        <f aca="false">IF(A415="","",IF(IF(K415="No","Does not balance | ","")&amp;IF(I415="","Not approved | ",IF(UPPER(TRIM(H415))=UPPER(TRIM(I415)),"Self-approved | ",""))&amp;IF(J415="","No support | ","")&amp;IF(WEEKDAY(B415,2)&gt;5,"Weekend posting | ","")&amp;IF(COUNTIF(Settings!$A$14:$A$43,B415)&gt;0,"Holiday posting | ","")&amp;IF(B415&gt;Settings!$C$8,"Posted after close | ","")&amp;IF(OR(B415&lt;Settings!$C$6,B415&gt;Settings!$C$7),"Outside period | ","")&amp;IF(COUNTIF(Settings!$E$14:$E$43,C415&amp;"")&gt;0,"Sensitive account | ","")&amp;IF(AND(MAX(N(E415),N(F415))&gt;=Settings!$C$9,MOD(MAX(N(E415),N(F415)),Settings!$C$10)=0),"Round amount | ","")="","",LEFT(IF(K415="No","Does not balance | ","")&amp;IF(I415="","Not approved | ",IF(UPPER(TRIM(H415))=UPPER(TRIM(I415)),"Self-approved | ",""))&amp;IF(J415="","No support | ","")&amp;IF(WEEKDAY(B415,2)&gt;5,"Weekend posting | ","")&amp;IF(COUNTIF(Settings!$A$14:$A$43,B415)&gt;0,"Holiday posting | ","")&amp;IF(B415&gt;Settings!$C$8,"Posted after close | ","")&amp;IF(OR(B415&lt;Settings!$C$6,B415&gt;Settings!$C$7),"Outside period | ","")&amp;IF(COUNTIF(Settings!$E$14:$E$43,C415&amp;"")&gt;0,"Sensitive account | ","")&amp;IF(AND(MAX(N(E415),N(F415))&gt;=Settings!$C$9,MOD(MAX(N(E415),N(F415)),Settings!$C$10)=0),"Round amount | ",""),LEN(IF(K415="No","Does not balance | ","")&amp;IF(I415="","Not approved | ",IF(UPPER(TRIM(H415))=UPPER(TRIM(I415)),"Self-approved | ",""))&amp;IF(J415="","No support | ","")&amp;IF(WEEKDAY(B415,2)&gt;5,"Weekend posting | ","")&amp;IF(COUNTIF(Settings!$A$14:$A$43,B415)&gt;0,"Holiday posting | ","")&amp;IF(B415&gt;Settings!$C$8,"Posted after close | ","")&amp;IF(OR(B415&lt;Settings!$C$6,B415&gt;Settings!$C$7),"Outside period | ","")&amp;IF(COUNTIF(Settings!$E$14:$E$43,C415&amp;"")&gt;0,"Sensitive account | ","")&amp;IF(AND(MAX(N(E415),N(F415))&gt;=Settings!$C$9,MOD(MAX(N(E415),N(F415)),Settings!$C$10)=0),"Round amount | ",""))-3)))</f>
        <v/>
      </c>
      <c r="M415" s="21" t="str">
        <f aca="false">IF(A415="","",IF(COUNTIF($A$9:A415,A415)=1,MAX($M$8:M414)+1,""))</f>
        <v/>
      </c>
    </row>
    <row r="416" customFormat="false" ht="15" hidden="false" customHeight="false" outlineLevel="0" collapsed="false">
      <c r="A416" s="8"/>
      <c r="B416" s="17"/>
      <c r="C416" s="19"/>
      <c r="D416" s="8"/>
      <c r="E416" s="18"/>
      <c r="F416" s="18"/>
      <c r="G416" s="8"/>
      <c r="H416" s="8"/>
      <c r="I416" s="8"/>
      <c r="J416" s="8"/>
      <c r="K416" s="10" t="str">
        <f aca="false">IF(A416="","",IF(ABS(SUMIFS($E$9:$E$2008,$A$9:$A$2008,A416)-SUMIFS($F$9:$F$2008,$A$9:$A$2008,A416))&lt;0.5,"Yes","No"))</f>
        <v/>
      </c>
      <c r="L416" s="10" t="str">
        <f aca="false">IF(A416="","",IF(IF(K416="No","Does not balance | ","")&amp;IF(I416="","Not approved | ",IF(UPPER(TRIM(H416))=UPPER(TRIM(I416)),"Self-approved | ",""))&amp;IF(J416="","No support | ","")&amp;IF(WEEKDAY(B416,2)&gt;5,"Weekend posting | ","")&amp;IF(COUNTIF(Settings!$A$14:$A$43,B416)&gt;0,"Holiday posting | ","")&amp;IF(B416&gt;Settings!$C$8,"Posted after close | ","")&amp;IF(OR(B416&lt;Settings!$C$6,B416&gt;Settings!$C$7),"Outside period | ","")&amp;IF(COUNTIF(Settings!$E$14:$E$43,C416&amp;"")&gt;0,"Sensitive account | ","")&amp;IF(AND(MAX(N(E416),N(F416))&gt;=Settings!$C$9,MOD(MAX(N(E416),N(F416)),Settings!$C$10)=0),"Round amount | ","")="","",LEFT(IF(K416="No","Does not balance | ","")&amp;IF(I416="","Not approved | ",IF(UPPER(TRIM(H416))=UPPER(TRIM(I416)),"Self-approved | ",""))&amp;IF(J416="","No support | ","")&amp;IF(WEEKDAY(B416,2)&gt;5,"Weekend posting | ","")&amp;IF(COUNTIF(Settings!$A$14:$A$43,B416)&gt;0,"Holiday posting | ","")&amp;IF(B416&gt;Settings!$C$8,"Posted after close | ","")&amp;IF(OR(B416&lt;Settings!$C$6,B416&gt;Settings!$C$7),"Outside period | ","")&amp;IF(COUNTIF(Settings!$E$14:$E$43,C416&amp;"")&gt;0,"Sensitive account | ","")&amp;IF(AND(MAX(N(E416),N(F416))&gt;=Settings!$C$9,MOD(MAX(N(E416),N(F416)),Settings!$C$10)=0),"Round amount | ",""),LEN(IF(K416="No","Does not balance | ","")&amp;IF(I416="","Not approved | ",IF(UPPER(TRIM(H416))=UPPER(TRIM(I416)),"Self-approved | ",""))&amp;IF(J416="","No support | ","")&amp;IF(WEEKDAY(B416,2)&gt;5,"Weekend posting | ","")&amp;IF(COUNTIF(Settings!$A$14:$A$43,B416)&gt;0,"Holiday posting | ","")&amp;IF(B416&gt;Settings!$C$8,"Posted after close | ","")&amp;IF(OR(B416&lt;Settings!$C$6,B416&gt;Settings!$C$7),"Outside period | ","")&amp;IF(COUNTIF(Settings!$E$14:$E$43,C416&amp;"")&gt;0,"Sensitive account | ","")&amp;IF(AND(MAX(N(E416),N(F416))&gt;=Settings!$C$9,MOD(MAX(N(E416),N(F416)),Settings!$C$10)=0),"Round amount | ",""))-3)))</f>
        <v/>
      </c>
      <c r="M416" s="21" t="str">
        <f aca="false">IF(A416="","",IF(COUNTIF($A$9:A416,A416)=1,MAX($M$8:M415)+1,""))</f>
        <v/>
      </c>
    </row>
    <row r="417" customFormat="false" ht="15" hidden="false" customHeight="false" outlineLevel="0" collapsed="false">
      <c r="A417" s="8"/>
      <c r="B417" s="17"/>
      <c r="C417" s="19"/>
      <c r="D417" s="8"/>
      <c r="E417" s="18"/>
      <c r="F417" s="18"/>
      <c r="G417" s="8"/>
      <c r="H417" s="8"/>
      <c r="I417" s="8"/>
      <c r="J417" s="8"/>
      <c r="K417" s="10" t="str">
        <f aca="false">IF(A417="","",IF(ABS(SUMIFS($E$9:$E$2008,$A$9:$A$2008,A417)-SUMIFS($F$9:$F$2008,$A$9:$A$2008,A417))&lt;0.5,"Yes","No"))</f>
        <v/>
      </c>
      <c r="L417" s="10" t="str">
        <f aca="false">IF(A417="","",IF(IF(K417="No","Does not balance | ","")&amp;IF(I417="","Not approved | ",IF(UPPER(TRIM(H417))=UPPER(TRIM(I417)),"Self-approved | ",""))&amp;IF(J417="","No support | ","")&amp;IF(WEEKDAY(B417,2)&gt;5,"Weekend posting | ","")&amp;IF(COUNTIF(Settings!$A$14:$A$43,B417)&gt;0,"Holiday posting | ","")&amp;IF(B417&gt;Settings!$C$8,"Posted after close | ","")&amp;IF(OR(B417&lt;Settings!$C$6,B417&gt;Settings!$C$7),"Outside period | ","")&amp;IF(COUNTIF(Settings!$E$14:$E$43,C417&amp;"")&gt;0,"Sensitive account | ","")&amp;IF(AND(MAX(N(E417),N(F417))&gt;=Settings!$C$9,MOD(MAX(N(E417),N(F417)),Settings!$C$10)=0),"Round amount | ","")="","",LEFT(IF(K417="No","Does not balance | ","")&amp;IF(I417="","Not approved | ",IF(UPPER(TRIM(H417))=UPPER(TRIM(I417)),"Self-approved | ",""))&amp;IF(J417="","No support | ","")&amp;IF(WEEKDAY(B417,2)&gt;5,"Weekend posting | ","")&amp;IF(COUNTIF(Settings!$A$14:$A$43,B417)&gt;0,"Holiday posting | ","")&amp;IF(B417&gt;Settings!$C$8,"Posted after close | ","")&amp;IF(OR(B417&lt;Settings!$C$6,B417&gt;Settings!$C$7),"Outside period | ","")&amp;IF(COUNTIF(Settings!$E$14:$E$43,C417&amp;"")&gt;0,"Sensitive account | ","")&amp;IF(AND(MAX(N(E417),N(F417))&gt;=Settings!$C$9,MOD(MAX(N(E417),N(F417)),Settings!$C$10)=0),"Round amount | ",""),LEN(IF(K417="No","Does not balance | ","")&amp;IF(I417="","Not approved | ",IF(UPPER(TRIM(H417))=UPPER(TRIM(I417)),"Self-approved | ",""))&amp;IF(J417="","No support | ","")&amp;IF(WEEKDAY(B417,2)&gt;5,"Weekend posting | ","")&amp;IF(COUNTIF(Settings!$A$14:$A$43,B417)&gt;0,"Holiday posting | ","")&amp;IF(B417&gt;Settings!$C$8,"Posted after close | ","")&amp;IF(OR(B417&lt;Settings!$C$6,B417&gt;Settings!$C$7),"Outside period | ","")&amp;IF(COUNTIF(Settings!$E$14:$E$43,C417&amp;"")&gt;0,"Sensitive account | ","")&amp;IF(AND(MAX(N(E417),N(F417))&gt;=Settings!$C$9,MOD(MAX(N(E417),N(F417)),Settings!$C$10)=0),"Round amount | ",""))-3)))</f>
        <v/>
      </c>
      <c r="M417" s="21" t="str">
        <f aca="false">IF(A417="","",IF(COUNTIF($A$9:A417,A417)=1,MAX($M$8:M416)+1,""))</f>
        <v/>
      </c>
    </row>
    <row r="418" customFormat="false" ht="15" hidden="false" customHeight="false" outlineLevel="0" collapsed="false">
      <c r="A418" s="8"/>
      <c r="B418" s="17"/>
      <c r="C418" s="19"/>
      <c r="D418" s="8"/>
      <c r="E418" s="18"/>
      <c r="F418" s="18"/>
      <c r="G418" s="8"/>
      <c r="H418" s="8"/>
      <c r="I418" s="8"/>
      <c r="J418" s="8"/>
      <c r="K418" s="10" t="str">
        <f aca="false">IF(A418="","",IF(ABS(SUMIFS($E$9:$E$2008,$A$9:$A$2008,A418)-SUMIFS($F$9:$F$2008,$A$9:$A$2008,A418))&lt;0.5,"Yes","No"))</f>
        <v/>
      </c>
      <c r="L418" s="10" t="str">
        <f aca="false">IF(A418="","",IF(IF(K418="No","Does not balance | ","")&amp;IF(I418="","Not approved | ",IF(UPPER(TRIM(H418))=UPPER(TRIM(I418)),"Self-approved | ",""))&amp;IF(J418="","No support | ","")&amp;IF(WEEKDAY(B418,2)&gt;5,"Weekend posting | ","")&amp;IF(COUNTIF(Settings!$A$14:$A$43,B418)&gt;0,"Holiday posting | ","")&amp;IF(B418&gt;Settings!$C$8,"Posted after close | ","")&amp;IF(OR(B418&lt;Settings!$C$6,B418&gt;Settings!$C$7),"Outside period | ","")&amp;IF(COUNTIF(Settings!$E$14:$E$43,C418&amp;"")&gt;0,"Sensitive account | ","")&amp;IF(AND(MAX(N(E418),N(F418))&gt;=Settings!$C$9,MOD(MAX(N(E418),N(F418)),Settings!$C$10)=0),"Round amount | ","")="","",LEFT(IF(K418="No","Does not balance | ","")&amp;IF(I418="","Not approved | ",IF(UPPER(TRIM(H418))=UPPER(TRIM(I418)),"Self-approved | ",""))&amp;IF(J418="","No support | ","")&amp;IF(WEEKDAY(B418,2)&gt;5,"Weekend posting | ","")&amp;IF(COUNTIF(Settings!$A$14:$A$43,B418)&gt;0,"Holiday posting | ","")&amp;IF(B418&gt;Settings!$C$8,"Posted after close | ","")&amp;IF(OR(B418&lt;Settings!$C$6,B418&gt;Settings!$C$7),"Outside period | ","")&amp;IF(COUNTIF(Settings!$E$14:$E$43,C418&amp;"")&gt;0,"Sensitive account | ","")&amp;IF(AND(MAX(N(E418),N(F418))&gt;=Settings!$C$9,MOD(MAX(N(E418),N(F418)),Settings!$C$10)=0),"Round amount | ",""),LEN(IF(K418="No","Does not balance | ","")&amp;IF(I418="","Not approved | ",IF(UPPER(TRIM(H418))=UPPER(TRIM(I418)),"Self-approved | ",""))&amp;IF(J418="","No support | ","")&amp;IF(WEEKDAY(B418,2)&gt;5,"Weekend posting | ","")&amp;IF(COUNTIF(Settings!$A$14:$A$43,B418)&gt;0,"Holiday posting | ","")&amp;IF(B418&gt;Settings!$C$8,"Posted after close | ","")&amp;IF(OR(B418&lt;Settings!$C$6,B418&gt;Settings!$C$7),"Outside period | ","")&amp;IF(COUNTIF(Settings!$E$14:$E$43,C418&amp;"")&gt;0,"Sensitive account | ","")&amp;IF(AND(MAX(N(E418),N(F418))&gt;=Settings!$C$9,MOD(MAX(N(E418),N(F418)),Settings!$C$10)=0),"Round amount | ",""))-3)))</f>
        <v/>
      </c>
      <c r="M418" s="21" t="str">
        <f aca="false">IF(A418="","",IF(COUNTIF($A$9:A418,A418)=1,MAX($M$8:M417)+1,""))</f>
        <v/>
      </c>
    </row>
    <row r="419" customFormat="false" ht="15" hidden="false" customHeight="false" outlineLevel="0" collapsed="false">
      <c r="A419" s="8"/>
      <c r="B419" s="17"/>
      <c r="C419" s="19"/>
      <c r="D419" s="8"/>
      <c r="E419" s="18"/>
      <c r="F419" s="18"/>
      <c r="G419" s="8"/>
      <c r="H419" s="8"/>
      <c r="I419" s="8"/>
      <c r="J419" s="8"/>
      <c r="K419" s="10" t="str">
        <f aca="false">IF(A419="","",IF(ABS(SUMIFS($E$9:$E$2008,$A$9:$A$2008,A419)-SUMIFS($F$9:$F$2008,$A$9:$A$2008,A419))&lt;0.5,"Yes","No"))</f>
        <v/>
      </c>
      <c r="L419" s="10" t="str">
        <f aca="false">IF(A419="","",IF(IF(K419="No","Does not balance | ","")&amp;IF(I419="","Not approved | ",IF(UPPER(TRIM(H419))=UPPER(TRIM(I419)),"Self-approved | ",""))&amp;IF(J419="","No support | ","")&amp;IF(WEEKDAY(B419,2)&gt;5,"Weekend posting | ","")&amp;IF(COUNTIF(Settings!$A$14:$A$43,B419)&gt;0,"Holiday posting | ","")&amp;IF(B419&gt;Settings!$C$8,"Posted after close | ","")&amp;IF(OR(B419&lt;Settings!$C$6,B419&gt;Settings!$C$7),"Outside period | ","")&amp;IF(COUNTIF(Settings!$E$14:$E$43,C419&amp;"")&gt;0,"Sensitive account | ","")&amp;IF(AND(MAX(N(E419),N(F419))&gt;=Settings!$C$9,MOD(MAX(N(E419),N(F419)),Settings!$C$10)=0),"Round amount | ","")="","",LEFT(IF(K419="No","Does not balance | ","")&amp;IF(I419="","Not approved | ",IF(UPPER(TRIM(H419))=UPPER(TRIM(I419)),"Self-approved | ",""))&amp;IF(J419="","No support | ","")&amp;IF(WEEKDAY(B419,2)&gt;5,"Weekend posting | ","")&amp;IF(COUNTIF(Settings!$A$14:$A$43,B419)&gt;0,"Holiday posting | ","")&amp;IF(B419&gt;Settings!$C$8,"Posted after close | ","")&amp;IF(OR(B419&lt;Settings!$C$6,B419&gt;Settings!$C$7),"Outside period | ","")&amp;IF(COUNTIF(Settings!$E$14:$E$43,C419&amp;"")&gt;0,"Sensitive account | ","")&amp;IF(AND(MAX(N(E419),N(F419))&gt;=Settings!$C$9,MOD(MAX(N(E419),N(F419)),Settings!$C$10)=0),"Round amount | ",""),LEN(IF(K419="No","Does not balance | ","")&amp;IF(I419="","Not approved | ",IF(UPPER(TRIM(H419))=UPPER(TRIM(I419)),"Self-approved | ",""))&amp;IF(J419="","No support | ","")&amp;IF(WEEKDAY(B419,2)&gt;5,"Weekend posting | ","")&amp;IF(COUNTIF(Settings!$A$14:$A$43,B419)&gt;0,"Holiday posting | ","")&amp;IF(B419&gt;Settings!$C$8,"Posted after close | ","")&amp;IF(OR(B419&lt;Settings!$C$6,B419&gt;Settings!$C$7),"Outside period | ","")&amp;IF(COUNTIF(Settings!$E$14:$E$43,C419&amp;"")&gt;0,"Sensitive account | ","")&amp;IF(AND(MAX(N(E419),N(F419))&gt;=Settings!$C$9,MOD(MAX(N(E419),N(F419)),Settings!$C$10)=0),"Round amount | ",""))-3)))</f>
        <v/>
      </c>
      <c r="M419" s="21" t="str">
        <f aca="false">IF(A419="","",IF(COUNTIF($A$9:A419,A419)=1,MAX($M$8:M418)+1,""))</f>
        <v/>
      </c>
    </row>
    <row r="420" customFormat="false" ht="15" hidden="false" customHeight="false" outlineLevel="0" collapsed="false">
      <c r="A420" s="8"/>
      <c r="B420" s="17"/>
      <c r="C420" s="19"/>
      <c r="D420" s="8"/>
      <c r="E420" s="18"/>
      <c r="F420" s="18"/>
      <c r="G420" s="8"/>
      <c r="H420" s="8"/>
      <c r="I420" s="8"/>
      <c r="J420" s="8"/>
      <c r="K420" s="10" t="str">
        <f aca="false">IF(A420="","",IF(ABS(SUMIFS($E$9:$E$2008,$A$9:$A$2008,A420)-SUMIFS($F$9:$F$2008,$A$9:$A$2008,A420))&lt;0.5,"Yes","No"))</f>
        <v/>
      </c>
      <c r="L420" s="10" t="str">
        <f aca="false">IF(A420="","",IF(IF(K420="No","Does not balance | ","")&amp;IF(I420="","Not approved | ",IF(UPPER(TRIM(H420))=UPPER(TRIM(I420)),"Self-approved | ",""))&amp;IF(J420="","No support | ","")&amp;IF(WEEKDAY(B420,2)&gt;5,"Weekend posting | ","")&amp;IF(COUNTIF(Settings!$A$14:$A$43,B420)&gt;0,"Holiday posting | ","")&amp;IF(B420&gt;Settings!$C$8,"Posted after close | ","")&amp;IF(OR(B420&lt;Settings!$C$6,B420&gt;Settings!$C$7),"Outside period | ","")&amp;IF(COUNTIF(Settings!$E$14:$E$43,C420&amp;"")&gt;0,"Sensitive account | ","")&amp;IF(AND(MAX(N(E420),N(F420))&gt;=Settings!$C$9,MOD(MAX(N(E420),N(F420)),Settings!$C$10)=0),"Round amount | ","")="","",LEFT(IF(K420="No","Does not balance | ","")&amp;IF(I420="","Not approved | ",IF(UPPER(TRIM(H420))=UPPER(TRIM(I420)),"Self-approved | ",""))&amp;IF(J420="","No support | ","")&amp;IF(WEEKDAY(B420,2)&gt;5,"Weekend posting | ","")&amp;IF(COUNTIF(Settings!$A$14:$A$43,B420)&gt;0,"Holiday posting | ","")&amp;IF(B420&gt;Settings!$C$8,"Posted after close | ","")&amp;IF(OR(B420&lt;Settings!$C$6,B420&gt;Settings!$C$7),"Outside period | ","")&amp;IF(COUNTIF(Settings!$E$14:$E$43,C420&amp;"")&gt;0,"Sensitive account | ","")&amp;IF(AND(MAX(N(E420),N(F420))&gt;=Settings!$C$9,MOD(MAX(N(E420),N(F420)),Settings!$C$10)=0),"Round amount | ",""),LEN(IF(K420="No","Does not balance | ","")&amp;IF(I420="","Not approved | ",IF(UPPER(TRIM(H420))=UPPER(TRIM(I420)),"Self-approved | ",""))&amp;IF(J420="","No support | ","")&amp;IF(WEEKDAY(B420,2)&gt;5,"Weekend posting | ","")&amp;IF(COUNTIF(Settings!$A$14:$A$43,B420)&gt;0,"Holiday posting | ","")&amp;IF(B420&gt;Settings!$C$8,"Posted after close | ","")&amp;IF(OR(B420&lt;Settings!$C$6,B420&gt;Settings!$C$7),"Outside period | ","")&amp;IF(COUNTIF(Settings!$E$14:$E$43,C420&amp;"")&gt;0,"Sensitive account | ","")&amp;IF(AND(MAX(N(E420),N(F420))&gt;=Settings!$C$9,MOD(MAX(N(E420),N(F420)),Settings!$C$10)=0),"Round amount | ",""))-3)))</f>
        <v/>
      </c>
      <c r="M420" s="21" t="str">
        <f aca="false">IF(A420="","",IF(COUNTIF($A$9:A420,A420)=1,MAX($M$8:M419)+1,""))</f>
        <v/>
      </c>
    </row>
    <row r="421" customFormat="false" ht="15" hidden="false" customHeight="false" outlineLevel="0" collapsed="false">
      <c r="A421" s="8"/>
      <c r="B421" s="17"/>
      <c r="C421" s="19"/>
      <c r="D421" s="8"/>
      <c r="E421" s="18"/>
      <c r="F421" s="18"/>
      <c r="G421" s="8"/>
      <c r="H421" s="8"/>
      <c r="I421" s="8"/>
      <c r="J421" s="8"/>
      <c r="K421" s="10" t="str">
        <f aca="false">IF(A421="","",IF(ABS(SUMIFS($E$9:$E$2008,$A$9:$A$2008,A421)-SUMIFS($F$9:$F$2008,$A$9:$A$2008,A421))&lt;0.5,"Yes","No"))</f>
        <v/>
      </c>
      <c r="L421" s="10" t="str">
        <f aca="false">IF(A421="","",IF(IF(K421="No","Does not balance | ","")&amp;IF(I421="","Not approved | ",IF(UPPER(TRIM(H421))=UPPER(TRIM(I421)),"Self-approved | ",""))&amp;IF(J421="","No support | ","")&amp;IF(WEEKDAY(B421,2)&gt;5,"Weekend posting | ","")&amp;IF(COUNTIF(Settings!$A$14:$A$43,B421)&gt;0,"Holiday posting | ","")&amp;IF(B421&gt;Settings!$C$8,"Posted after close | ","")&amp;IF(OR(B421&lt;Settings!$C$6,B421&gt;Settings!$C$7),"Outside period | ","")&amp;IF(COUNTIF(Settings!$E$14:$E$43,C421&amp;"")&gt;0,"Sensitive account | ","")&amp;IF(AND(MAX(N(E421),N(F421))&gt;=Settings!$C$9,MOD(MAX(N(E421),N(F421)),Settings!$C$10)=0),"Round amount | ","")="","",LEFT(IF(K421="No","Does not balance | ","")&amp;IF(I421="","Not approved | ",IF(UPPER(TRIM(H421))=UPPER(TRIM(I421)),"Self-approved | ",""))&amp;IF(J421="","No support | ","")&amp;IF(WEEKDAY(B421,2)&gt;5,"Weekend posting | ","")&amp;IF(COUNTIF(Settings!$A$14:$A$43,B421)&gt;0,"Holiday posting | ","")&amp;IF(B421&gt;Settings!$C$8,"Posted after close | ","")&amp;IF(OR(B421&lt;Settings!$C$6,B421&gt;Settings!$C$7),"Outside period | ","")&amp;IF(COUNTIF(Settings!$E$14:$E$43,C421&amp;"")&gt;0,"Sensitive account | ","")&amp;IF(AND(MAX(N(E421),N(F421))&gt;=Settings!$C$9,MOD(MAX(N(E421),N(F421)),Settings!$C$10)=0),"Round amount | ",""),LEN(IF(K421="No","Does not balance | ","")&amp;IF(I421="","Not approved | ",IF(UPPER(TRIM(H421))=UPPER(TRIM(I421)),"Self-approved | ",""))&amp;IF(J421="","No support | ","")&amp;IF(WEEKDAY(B421,2)&gt;5,"Weekend posting | ","")&amp;IF(COUNTIF(Settings!$A$14:$A$43,B421)&gt;0,"Holiday posting | ","")&amp;IF(B421&gt;Settings!$C$8,"Posted after close | ","")&amp;IF(OR(B421&lt;Settings!$C$6,B421&gt;Settings!$C$7),"Outside period | ","")&amp;IF(COUNTIF(Settings!$E$14:$E$43,C421&amp;"")&gt;0,"Sensitive account | ","")&amp;IF(AND(MAX(N(E421),N(F421))&gt;=Settings!$C$9,MOD(MAX(N(E421),N(F421)),Settings!$C$10)=0),"Round amount | ",""))-3)))</f>
        <v/>
      </c>
      <c r="M421" s="21" t="str">
        <f aca="false">IF(A421="","",IF(COUNTIF($A$9:A421,A421)=1,MAX($M$8:M420)+1,""))</f>
        <v/>
      </c>
    </row>
    <row r="422" customFormat="false" ht="15" hidden="false" customHeight="false" outlineLevel="0" collapsed="false">
      <c r="A422" s="8"/>
      <c r="B422" s="17"/>
      <c r="C422" s="19"/>
      <c r="D422" s="8"/>
      <c r="E422" s="18"/>
      <c r="F422" s="18"/>
      <c r="G422" s="8"/>
      <c r="H422" s="8"/>
      <c r="I422" s="8"/>
      <c r="J422" s="8"/>
      <c r="K422" s="10" t="str">
        <f aca="false">IF(A422="","",IF(ABS(SUMIFS($E$9:$E$2008,$A$9:$A$2008,A422)-SUMIFS($F$9:$F$2008,$A$9:$A$2008,A422))&lt;0.5,"Yes","No"))</f>
        <v/>
      </c>
      <c r="L422" s="10" t="str">
        <f aca="false">IF(A422="","",IF(IF(K422="No","Does not balance | ","")&amp;IF(I422="","Not approved | ",IF(UPPER(TRIM(H422))=UPPER(TRIM(I422)),"Self-approved | ",""))&amp;IF(J422="","No support | ","")&amp;IF(WEEKDAY(B422,2)&gt;5,"Weekend posting | ","")&amp;IF(COUNTIF(Settings!$A$14:$A$43,B422)&gt;0,"Holiday posting | ","")&amp;IF(B422&gt;Settings!$C$8,"Posted after close | ","")&amp;IF(OR(B422&lt;Settings!$C$6,B422&gt;Settings!$C$7),"Outside period | ","")&amp;IF(COUNTIF(Settings!$E$14:$E$43,C422&amp;"")&gt;0,"Sensitive account | ","")&amp;IF(AND(MAX(N(E422),N(F422))&gt;=Settings!$C$9,MOD(MAX(N(E422),N(F422)),Settings!$C$10)=0),"Round amount | ","")="","",LEFT(IF(K422="No","Does not balance | ","")&amp;IF(I422="","Not approved | ",IF(UPPER(TRIM(H422))=UPPER(TRIM(I422)),"Self-approved | ",""))&amp;IF(J422="","No support | ","")&amp;IF(WEEKDAY(B422,2)&gt;5,"Weekend posting | ","")&amp;IF(COUNTIF(Settings!$A$14:$A$43,B422)&gt;0,"Holiday posting | ","")&amp;IF(B422&gt;Settings!$C$8,"Posted after close | ","")&amp;IF(OR(B422&lt;Settings!$C$6,B422&gt;Settings!$C$7),"Outside period | ","")&amp;IF(COUNTIF(Settings!$E$14:$E$43,C422&amp;"")&gt;0,"Sensitive account | ","")&amp;IF(AND(MAX(N(E422),N(F422))&gt;=Settings!$C$9,MOD(MAX(N(E422),N(F422)),Settings!$C$10)=0),"Round amount | ",""),LEN(IF(K422="No","Does not balance | ","")&amp;IF(I422="","Not approved | ",IF(UPPER(TRIM(H422))=UPPER(TRIM(I422)),"Self-approved | ",""))&amp;IF(J422="","No support | ","")&amp;IF(WEEKDAY(B422,2)&gt;5,"Weekend posting | ","")&amp;IF(COUNTIF(Settings!$A$14:$A$43,B422)&gt;0,"Holiday posting | ","")&amp;IF(B422&gt;Settings!$C$8,"Posted after close | ","")&amp;IF(OR(B422&lt;Settings!$C$6,B422&gt;Settings!$C$7),"Outside period | ","")&amp;IF(COUNTIF(Settings!$E$14:$E$43,C422&amp;"")&gt;0,"Sensitive account | ","")&amp;IF(AND(MAX(N(E422),N(F422))&gt;=Settings!$C$9,MOD(MAX(N(E422),N(F422)),Settings!$C$10)=0),"Round amount | ",""))-3)))</f>
        <v/>
      </c>
      <c r="M422" s="21" t="str">
        <f aca="false">IF(A422="","",IF(COUNTIF($A$9:A422,A422)=1,MAX($M$8:M421)+1,""))</f>
        <v/>
      </c>
    </row>
    <row r="423" customFormat="false" ht="15" hidden="false" customHeight="false" outlineLevel="0" collapsed="false">
      <c r="A423" s="8"/>
      <c r="B423" s="17"/>
      <c r="C423" s="19"/>
      <c r="D423" s="8"/>
      <c r="E423" s="18"/>
      <c r="F423" s="18"/>
      <c r="G423" s="8"/>
      <c r="H423" s="8"/>
      <c r="I423" s="8"/>
      <c r="J423" s="8"/>
      <c r="K423" s="10" t="str">
        <f aca="false">IF(A423="","",IF(ABS(SUMIFS($E$9:$E$2008,$A$9:$A$2008,A423)-SUMIFS($F$9:$F$2008,$A$9:$A$2008,A423))&lt;0.5,"Yes","No"))</f>
        <v/>
      </c>
      <c r="L423" s="10" t="str">
        <f aca="false">IF(A423="","",IF(IF(K423="No","Does not balance | ","")&amp;IF(I423="","Not approved | ",IF(UPPER(TRIM(H423))=UPPER(TRIM(I423)),"Self-approved | ",""))&amp;IF(J423="","No support | ","")&amp;IF(WEEKDAY(B423,2)&gt;5,"Weekend posting | ","")&amp;IF(COUNTIF(Settings!$A$14:$A$43,B423)&gt;0,"Holiday posting | ","")&amp;IF(B423&gt;Settings!$C$8,"Posted after close | ","")&amp;IF(OR(B423&lt;Settings!$C$6,B423&gt;Settings!$C$7),"Outside period | ","")&amp;IF(COUNTIF(Settings!$E$14:$E$43,C423&amp;"")&gt;0,"Sensitive account | ","")&amp;IF(AND(MAX(N(E423),N(F423))&gt;=Settings!$C$9,MOD(MAX(N(E423),N(F423)),Settings!$C$10)=0),"Round amount | ","")="","",LEFT(IF(K423="No","Does not balance | ","")&amp;IF(I423="","Not approved | ",IF(UPPER(TRIM(H423))=UPPER(TRIM(I423)),"Self-approved | ",""))&amp;IF(J423="","No support | ","")&amp;IF(WEEKDAY(B423,2)&gt;5,"Weekend posting | ","")&amp;IF(COUNTIF(Settings!$A$14:$A$43,B423)&gt;0,"Holiday posting | ","")&amp;IF(B423&gt;Settings!$C$8,"Posted after close | ","")&amp;IF(OR(B423&lt;Settings!$C$6,B423&gt;Settings!$C$7),"Outside period | ","")&amp;IF(COUNTIF(Settings!$E$14:$E$43,C423&amp;"")&gt;0,"Sensitive account | ","")&amp;IF(AND(MAX(N(E423),N(F423))&gt;=Settings!$C$9,MOD(MAX(N(E423),N(F423)),Settings!$C$10)=0),"Round amount | ",""),LEN(IF(K423="No","Does not balance | ","")&amp;IF(I423="","Not approved | ",IF(UPPER(TRIM(H423))=UPPER(TRIM(I423)),"Self-approved | ",""))&amp;IF(J423="","No support | ","")&amp;IF(WEEKDAY(B423,2)&gt;5,"Weekend posting | ","")&amp;IF(COUNTIF(Settings!$A$14:$A$43,B423)&gt;0,"Holiday posting | ","")&amp;IF(B423&gt;Settings!$C$8,"Posted after close | ","")&amp;IF(OR(B423&lt;Settings!$C$6,B423&gt;Settings!$C$7),"Outside period | ","")&amp;IF(COUNTIF(Settings!$E$14:$E$43,C423&amp;"")&gt;0,"Sensitive account | ","")&amp;IF(AND(MAX(N(E423),N(F423))&gt;=Settings!$C$9,MOD(MAX(N(E423),N(F423)),Settings!$C$10)=0),"Round amount | ",""))-3)))</f>
        <v/>
      </c>
      <c r="M423" s="21" t="str">
        <f aca="false">IF(A423="","",IF(COUNTIF($A$9:A423,A423)=1,MAX($M$8:M422)+1,""))</f>
        <v/>
      </c>
    </row>
    <row r="424" customFormat="false" ht="15" hidden="false" customHeight="false" outlineLevel="0" collapsed="false">
      <c r="A424" s="8"/>
      <c r="B424" s="17"/>
      <c r="C424" s="19"/>
      <c r="D424" s="8"/>
      <c r="E424" s="18"/>
      <c r="F424" s="18"/>
      <c r="G424" s="8"/>
      <c r="H424" s="8"/>
      <c r="I424" s="8"/>
      <c r="J424" s="8"/>
      <c r="K424" s="10" t="str">
        <f aca="false">IF(A424="","",IF(ABS(SUMIFS($E$9:$E$2008,$A$9:$A$2008,A424)-SUMIFS($F$9:$F$2008,$A$9:$A$2008,A424))&lt;0.5,"Yes","No"))</f>
        <v/>
      </c>
      <c r="L424" s="10" t="str">
        <f aca="false">IF(A424="","",IF(IF(K424="No","Does not balance | ","")&amp;IF(I424="","Not approved | ",IF(UPPER(TRIM(H424))=UPPER(TRIM(I424)),"Self-approved | ",""))&amp;IF(J424="","No support | ","")&amp;IF(WEEKDAY(B424,2)&gt;5,"Weekend posting | ","")&amp;IF(COUNTIF(Settings!$A$14:$A$43,B424)&gt;0,"Holiday posting | ","")&amp;IF(B424&gt;Settings!$C$8,"Posted after close | ","")&amp;IF(OR(B424&lt;Settings!$C$6,B424&gt;Settings!$C$7),"Outside period | ","")&amp;IF(COUNTIF(Settings!$E$14:$E$43,C424&amp;"")&gt;0,"Sensitive account | ","")&amp;IF(AND(MAX(N(E424),N(F424))&gt;=Settings!$C$9,MOD(MAX(N(E424),N(F424)),Settings!$C$10)=0),"Round amount | ","")="","",LEFT(IF(K424="No","Does not balance | ","")&amp;IF(I424="","Not approved | ",IF(UPPER(TRIM(H424))=UPPER(TRIM(I424)),"Self-approved | ",""))&amp;IF(J424="","No support | ","")&amp;IF(WEEKDAY(B424,2)&gt;5,"Weekend posting | ","")&amp;IF(COUNTIF(Settings!$A$14:$A$43,B424)&gt;0,"Holiday posting | ","")&amp;IF(B424&gt;Settings!$C$8,"Posted after close | ","")&amp;IF(OR(B424&lt;Settings!$C$6,B424&gt;Settings!$C$7),"Outside period | ","")&amp;IF(COUNTIF(Settings!$E$14:$E$43,C424&amp;"")&gt;0,"Sensitive account | ","")&amp;IF(AND(MAX(N(E424),N(F424))&gt;=Settings!$C$9,MOD(MAX(N(E424),N(F424)),Settings!$C$10)=0),"Round amount | ",""),LEN(IF(K424="No","Does not balance | ","")&amp;IF(I424="","Not approved | ",IF(UPPER(TRIM(H424))=UPPER(TRIM(I424)),"Self-approved | ",""))&amp;IF(J424="","No support | ","")&amp;IF(WEEKDAY(B424,2)&gt;5,"Weekend posting | ","")&amp;IF(COUNTIF(Settings!$A$14:$A$43,B424)&gt;0,"Holiday posting | ","")&amp;IF(B424&gt;Settings!$C$8,"Posted after close | ","")&amp;IF(OR(B424&lt;Settings!$C$6,B424&gt;Settings!$C$7),"Outside period | ","")&amp;IF(COUNTIF(Settings!$E$14:$E$43,C424&amp;"")&gt;0,"Sensitive account | ","")&amp;IF(AND(MAX(N(E424),N(F424))&gt;=Settings!$C$9,MOD(MAX(N(E424),N(F424)),Settings!$C$10)=0),"Round amount | ",""))-3)))</f>
        <v/>
      </c>
      <c r="M424" s="21" t="str">
        <f aca="false">IF(A424="","",IF(COUNTIF($A$9:A424,A424)=1,MAX($M$8:M423)+1,""))</f>
        <v/>
      </c>
    </row>
    <row r="425" customFormat="false" ht="15" hidden="false" customHeight="false" outlineLevel="0" collapsed="false">
      <c r="A425" s="8"/>
      <c r="B425" s="17"/>
      <c r="C425" s="19"/>
      <c r="D425" s="8"/>
      <c r="E425" s="18"/>
      <c r="F425" s="18"/>
      <c r="G425" s="8"/>
      <c r="H425" s="8"/>
      <c r="I425" s="8"/>
      <c r="J425" s="8"/>
      <c r="K425" s="10" t="str">
        <f aca="false">IF(A425="","",IF(ABS(SUMIFS($E$9:$E$2008,$A$9:$A$2008,A425)-SUMIFS($F$9:$F$2008,$A$9:$A$2008,A425))&lt;0.5,"Yes","No"))</f>
        <v/>
      </c>
      <c r="L425" s="10" t="str">
        <f aca="false">IF(A425="","",IF(IF(K425="No","Does not balance | ","")&amp;IF(I425="","Not approved | ",IF(UPPER(TRIM(H425))=UPPER(TRIM(I425)),"Self-approved | ",""))&amp;IF(J425="","No support | ","")&amp;IF(WEEKDAY(B425,2)&gt;5,"Weekend posting | ","")&amp;IF(COUNTIF(Settings!$A$14:$A$43,B425)&gt;0,"Holiday posting | ","")&amp;IF(B425&gt;Settings!$C$8,"Posted after close | ","")&amp;IF(OR(B425&lt;Settings!$C$6,B425&gt;Settings!$C$7),"Outside period | ","")&amp;IF(COUNTIF(Settings!$E$14:$E$43,C425&amp;"")&gt;0,"Sensitive account | ","")&amp;IF(AND(MAX(N(E425),N(F425))&gt;=Settings!$C$9,MOD(MAX(N(E425),N(F425)),Settings!$C$10)=0),"Round amount | ","")="","",LEFT(IF(K425="No","Does not balance | ","")&amp;IF(I425="","Not approved | ",IF(UPPER(TRIM(H425))=UPPER(TRIM(I425)),"Self-approved | ",""))&amp;IF(J425="","No support | ","")&amp;IF(WEEKDAY(B425,2)&gt;5,"Weekend posting | ","")&amp;IF(COUNTIF(Settings!$A$14:$A$43,B425)&gt;0,"Holiday posting | ","")&amp;IF(B425&gt;Settings!$C$8,"Posted after close | ","")&amp;IF(OR(B425&lt;Settings!$C$6,B425&gt;Settings!$C$7),"Outside period | ","")&amp;IF(COUNTIF(Settings!$E$14:$E$43,C425&amp;"")&gt;0,"Sensitive account | ","")&amp;IF(AND(MAX(N(E425),N(F425))&gt;=Settings!$C$9,MOD(MAX(N(E425),N(F425)),Settings!$C$10)=0),"Round amount | ",""),LEN(IF(K425="No","Does not balance | ","")&amp;IF(I425="","Not approved | ",IF(UPPER(TRIM(H425))=UPPER(TRIM(I425)),"Self-approved | ",""))&amp;IF(J425="","No support | ","")&amp;IF(WEEKDAY(B425,2)&gt;5,"Weekend posting | ","")&amp;IF(COUNTIF(Settings!$A$14:$A$43,B425)&gt;0,"Holiday posting | ","")&amp;IF(B425&gt;Settings!$C$8,"Posted after close | ","")&amp;IF(OR(B425&lt;Settings!$C$6,B425&gt;Settings!$C$7),"Outside period | ","")&amp;IF(COUNTIF(Settings!$E$14:$E$43,C425&amp;"")&gt;0,"Sensitive account | ","")&amp;IF(AND(MAX(N(E425),N(F425))&gt;=Settings!$C$9,MOD(MAX(N(E425),N(F425)),Settings!$C$10)=0),"Round amount | ",""))-3)))</f>
        <v/>
      </c>
      <c r="M425" s="21" t="str">
        <f aca="false">IF(A425="","",IF(COUNTIF($A$9:A425,A425)=1,MAX($M$8:M424)+1,""))</f>
        <v/>
      </c>
    </row>
    <row r="426" customFormat="false" ht="15" hidden="false" customHeight="false" outlineLevel="0" collapsed="false">
      <c r="A426" s="8"/>
      <c r="B426" s="17"/>
      <c r="C426" s="19"/>
      <c r="D426" s="8"/>
      <c r="E426" s="18"/>
      <c r="F426" s="18"/>
      <c r="G426" s="8"/>
      <c r="H426" s="8"/>
      <c r="I426" s="8"/>
      <c r="J426" s="8"/>
      <c r="K426" s="10" t="str">
        <f aca="false">IF(A426="","",IF(ABS(SUMIFS($E$9:$E$2008,$A$9:$A$2008,A426)-SUMIFS($F$9:$F$2008,$A$9:$A$2008,A426))&lt;0.5,"Yes","No"))</f>
        <v/>
      </c>
      <c r="L426" s="10" t="str">
        <f aca="false">IF(A426="","",IF(IF(K426="No","Does not balance | ","")&amp;IF(I426="","Not approved | ",IF(UPPER(TRIM(H426))=UPPER(TRIM(I426)),"Self-approved | ",""))&amp;IF(J426="","No support | ","")&amp;IF(WEEKDAY(B426,2)&gt;5,"Weekend posting | ","")&amp;IF(COUNTIF(Settings!$A$14:$A$43,B426)&gt;0,"Holiday posting | ","")&amp;IF(B426&gt;Settings!$C$8,"Posted after close | ","")&amp;IF(OR(B426&lt;Settings!$C$6,B426&gt;Settings!$C$7),"Outside period | ","")&amp;IF(COUNTIF(Settings!$E$14:$E$43,C426&amp;"")&gt;0,"Sensitive account | ","")&amp;IF(AND(MAX(N(E426),N(F426))&gt;=Settings!$C$9,MOD(MAX(N(E426),N(F426)),Settings!$C$10)=0),"Round amount | ","")="","",LEFT(IF(K426="No","Does not balance | ","")&amp;IF(I426="","Not approved | ",IF(UPPER(TRIM(H426))=UPPER(TRIM(I426)),"Self-approved | ",""))&amp;IF(J426="","No support | ","")&amp;IF(WEEKDAY(B426,2)&gt;5,"Weekend posting | ","")&amp;IF(COUNTIF(Settings!$A$14:$A$43,B426)&gt;0,"Holiday posting | ","")&amp;IF(B426&gt;Settings!$C$8,"Posted after close | ","")&amp;IF(OR(B426&lt;Settings!$C$6,B426&gt;Settings!$C$7),"Outside period | ","")&amp;IF(COUNTIF(Settings!$E$14:$E$43,C426&amp;"")&gt;0,"Sensitive account | ","")&amp;IF(AND(MAX(N(E426),N(F426))&gt;=Settings!$C$9,MOD(MAX(N(E426),N(F426)),Settings!$C$10)=0),"Round amount | ",""),LEN(IF(K426="No","Does not balance | ","")&amp;IF(I426="","Not approved | ",IF(UPPER(TRIM(H426))=UPPER(TRIM(I426)),"Self-approved | ",""))&amp;IF(J426="","No support | ","")&amp;IF(WEEKDAY(B426,2)&gt;5,"Weekend posting | ","")&amp;IF(COUNTIF(Settings!$A$14:$A$43,B426)&gt;0,"Holiday posting | ","")&amp;IF(B426&gt;Settings!$C$8,"Posted after close | ","")&amp;IF(OR(B426&lt;Settings!$C$6,B426&gt;Settings!$C$7),"Outside period | ","")&amp;IF(COUNTIF(Settings!$E$14:$E$43,C426&amp;"")&gt;0,"Sensitive account | ","")&amp;IF(AND(MAX(N(E426),N(F426))&gt;=Settings!$C$9,MOD(MAX(N(E426),N(F426)),Settings!$C$10)=0),"Round amount | ",""))-3)))</f>
        <v/>
      </c>
      <c r="M426" s="21" t="str">
        <f aca="false">IF(A426="","",IF(COUNTIF($A$9:A426,A426)=1,MAX($M$8:M425)+1,""))</f>
        <v/>
      </c>
    </row>
    <row r="427" customFormat="false" ht="15" hidden="false" customHeight="false" outlineLevel="0" collapsed="false">
      <c r="A427" s="8"/>
      <c r="B427" s="17"/>
      <c r="C427" s="19"/>
      <c r="D427" s="8"/>
      <c r="E427" s="18"/>
      <c r="F427" s="18"/>
      <c r="G427" s="8"/>
      <c r="H427" s="8"/>
      <c r="I427" s="8"/>
      <c r="J427" s="8"/>
      <c r="K427" s="10" t="str">
        <f aca="false">IF(A427="","",IF(ABS(SUMIFS($E$9:$E$2008,$A$9:$A$2008,A427)-SUMIFS($F$9:$F$2008,$A$9:$A$2008,A427))&lt;0.5,"Yes","No"))</f>
        <v/>
      </c>
      <c r="L427" s="10" t="str">
        <f aca="false">IF(A427="","",IF(IF(K427="No","Does not balance | ","")&amp;IF(I427="","Not approved | ",IF(UPPER(TRIM(H427))=UPPER(TRIM(I427)),"Self-approved | ",""))&amp;IF(J427="","No support | ","")&amp;IF(WEEKDAY(B427,2)&gt;5,"Weekend posting | ","")&amp;IF(COUNTIF(Settings!$A$14:$A$43,B427)&gt;0,"Holiday posting | ","")&amp;IF(B427&gt;Settings!$C$8,"Posted after close | ","")&amp;IF(OR(B427&lt;Settings!$C$6,B427&gt;Settings!$C$7),"Outside period | ","")&amp;IF(COUNTIF(Settings!$E$14:$E$43,C427&amp;"")&gt;0,"Sensitive account | ","")&amp;IF(AND(MAX(N(E427),N(F427))&gt;=Settings!$C$9,MOD(MAX(N(E427),N(F427)),Settings!$C$10)=0),"Round amount | ","")="","",LEFT(IF(K427="No","Does not balance | ","")&amp;IF(I427="","Not approved | ",IF(UPPER(TRIM(H427))=UPPER(TRIM(I427)),"Self-approved | ",""))&amp;IF(J427="","No support | ","")&amp;IF(WEEKDAY(B427,2)&gt;5,"Weekend posting | ","")&amp;IF(COUNTIF(Settings!$A$14:$A$43,B427)&gt;0,"Holiday posting | ","")&amp;IF(B427&gt;Settings!$C$8,"Posted after close | ","")&amp;IF(OR(B427&lt;Settings!$C$6,B427&gt;Settings!$C$7),"Outside period | ","")&amp;IF(COUNTIF(Settings!$E$14:$E$43,C427&amp;"")&gt;0,"Sensitive account | ","")&amp;IF(AND(MAX(N(E427),N(F427))&gt;=Settings!$C$9,MOD(MAX(N(E427),N(F427)),Settings!$C$10)=0),"Round amount | ",""),LEN(IF(K427="No","Does not balance | ","")&amp;IF(I427="","Not approved | ",IF(UPPER(TRIM(H427))=UPPER(TRIM(I427)),"Self-approved | ",""))&amp;IF(J427="","No support | ","")&amp;IF(WEEKDAY(B427,2)&gt;5,"Weekend posting | ","")&amp;IF(COUNTIF(Settings!$A$14:$A$43,B427)&gt;0,"Holiday posting | ","")&amp;IF(B427&gt;Settings!$C$8,"Posted after close | ","")&amp;IF(OR(B427&lt;Settings!$C$6,B427&gt;Settings!$C$7),"Outside period | ","")&amp;IF(COUNTIF(Settings!$E$14:$E$43,C427&amp;"")&gt;0,"Sensitive account | ","")&amp;IF(AND(MAX(N(E427),N(F427))&gt;=Settings!$C$9,MOD(MAX(N(E427),N(F427)),Settings!$C$10)=0),"Round amount | ",""))-3)))</f>
        <v/>
      </c>
      <c r="M427" s="21" t="str">
        <f aca="false">IF(A427="","",IF(COUNTIF($A$9:A427,A427)=1,MAX($M$8:M426)+1,""))</f>
        <v/>
      </c>
    </row>
    <row r="428" customFormat="false" ht="15" hidden="false" customHeight="false" outlineLevel="0" collapsed="false">
      <c r="A428" s="8"/>
      <c r="B428" s="17"/>
      <c r="C428" s="19"/>
      <c r="D428" s="8"/>
      <c r="E428" s="18"/>
      <c r="F428" s="18"/>
      <c r="G428" s="8"/>
      <c r="H428" s="8"/>
      <c r="I428" s="8"/>
      <c r="J428" s="8"/>
      <c r="K428" s="10" t="str">
        <f aca="false">IF(A428="","",IF(ABS(SUMIFS($E$9:$E$2008,$A$9:$A$2008,A428)-SUMIFS($F$9:$F$2008,$A$9:$A$2008,A428))&lt;0.5,"Yes","No"))</f>
        <v/>
      </c>
      <c r="L428" s="10" t="str">
        <f aca="false">IF(A428="","",IF(IF(K428="No","Does not balance | ","")&amp;IF(I428="","Not approved | ",IF(UPPER(TRIM(H428))=UPPER(TRIM(I428)),"Self-approved | ",""))&amp;IF(J428="","No support | ","")&amp;IF(WEEKDAY(B428,2)&gt;5,"Weekend posting | ","")&amp;IF(COUNTIF(Settings!$A$14:$A$43,B428)&gt;0,"Holiday posting | ","")&amp;IF(B428&gt;Settings!$C$8,"Posted after close | ","")&amp;IF(OR(B428&lt;Settings!$C$6,B428&gt;Settings!$C$7),"Outside period | ","")&amp;IF(COUNTIF(Settings!$E$14:$E$43,C428&amp;"")&gt;0,"Sensitive account | ","")&amp;IF(AND(MAX(N(E428),N(F428))&gt;=Settings!$C$9,MOD(MAX(N(E428),N(F428)),Settings!$C$10)=0),"Round amount | ","")="","",LEFT(IF(K428="No","Does not balance | ","")&amp;IF(I428="","Not approved | ",IF(UPPER(TRIM(H428))=UPPER(TRIM(I428)),"Self-approved | ",""))&amp;IF(J428="","No support | ","")&amp;IF(WEEKDAY(B428,2)&gt;5,"Weekend posting | ","")&amp;IF(COUNTIF(Settings!$A$14:$A$43,B428)&gt;0,"Holiday posting | ","")&amp;IF(B428&gt;Settings!$C$8,"Posted after close | ","")&amp;IF(OR(B428&lt;Settings!$C$6,B428&gt;Settings!$C$7),"Outside period | ","")&amp;IF(COUNTIF(Settings!$E$14:$E$43,C428&amp;"")&gt;0,"Sensitive account | ","")&amp;IF(AND(MAX(N(E428),N(F428))&gt;=Settings!$C$9,MOD(MAX(N(E428),N(F428)),Settings!$C$10)=0),"Round amount | ",""),LEN(IF(K428="No","Does not balance | ","")&amp;IF(I428="","Not approved | ",IF(UPPER(TRIM(H428))=UPPER(TRIM(I428)),"Self-approved | ",""))&amp;IF(J428="","No support | ","")&amp;IF(WEEKDAY(B428,2)&gt;5,"Weekend posting | ","")&amp;IF(COUNTIF(Settings!$A$14:$A$43,B428)&gt;0,"Holiday posting | ","")&amp;IF(B428&gt;Settings!$C$8,"Posted after close | ","")&amp;IF(OR(B428&lt;Settings!$C$6,B428&gt;Settings!$C$7),"Outside period | ","")&amp;IF(COUNTIF(Settings!$E$14:$E$43,C428&amp;"")&gt;0,"Sensitive account | ","")&amp;IF(AND(MAX(N(E428),N(F428))&gt;=Settings!$C$9,MOD(MAX(N(E428),N(F428)),Settings!$C$10)=0),"Round amount | ",""))-3)))</f>
        <v/>
      </c>
      <c r="M428" s="21" t="str">
        <f aca="false">IF(A428="","",IF(COUNTIF($A$9:A428,A428)=1,MAX($M$8:M427)+1,""))</f>
        <v/>
      </c>
    </row>
    <row r="429" customFormat="false" ht="15" hidden="false" customHeight="false" outlineLevel="0" collapsed="false">
      <c r="A429" s="8"/>
      <c r="B429" s="17"/>
      <c r="C429" s="19"/>
      <c r="D429" s="8"/>
      <c r="E429" s="18"/>
      <c r="F429" s="18"/>
      <c r="G429" s="8"/>
      <c r="H429" s="8"/>
      <c r="I429" s="8"/>
      <c r="J429" s="8"/>
      <c r="K429" s="10" t="str">
        <f aca="false">IF(A429="","",IF(ABS(SUMIFS($E$9:$E$2008,$A$9:$A$2008,A429)-SUMIFS($F$9:$F$2008,$A$9:$A$2008,A429))&lt;0.5,"Yes","No"))</f>
        <v/>
      </c>
      <c r="L429" s="10" t="str">
        <f aca="false">IF(A429="","",IF(IF(K429="No","Does not balance | ","")&amp;IF(I429="","Not approved | ",IF(UPPER(TRIM(H429))=UPPER(TRIM(I429)),"Self-approved | ",""))&amp;IF(J429="","No support | ","")&amp;IF(WEEKDAY(B429,2)&gt;5,"Weekend posting | ","")&amp;IF(COUNTIF(Settings!$A$14:$A$43,B429)&gt;0,"Holiday posting | ","")&amp;IF(B429&gt;Settings!$C$8,"Posted after close | ","")&amp;IF(OR(B429&lt;Settings!$C$6,B429&gt;Settings!$C$7),"Outside period | ","")&amp;IF(COUNTIF(Settings!$E$14:$E$43,C429&amp;"")&gt;0,"Sensitive account | ","")&amp;IF(AND(MAX(N(E429),N(F429))&gt;=Settings!$C$9,MOD(MAX(N(E429),N(F429)),Settings!$C$10)=0),"Round amount | ","")="","",LEFT(IF(K429="No","Does not balance | ","")&amp;IF(I429="","Not approved | ",IF(UPPER(TRIM(H429))=UPPER(TRIM(I429)),"Self-approved | ",""))&amp;IF(J429="","No support | ","")&amp;IF(WEEKDAY(B429,2)&gt;5,"Weekend posting | ","")&amp;IF(COUNTIF(Settings!$A$14:$A$43,B429)&gt;0,"Holiday posting | ","")&amp;IF(B429&gt;Settings!$C$8,"Posted after close | ","")&amp;IF(OR(B429&lt;Settings!$C$6,B429&gt;Settings!$C$7),"Outside period | ","")&amp;IF(COUNTIF(Settings!$E$14:$E$43,C429&amp;"")&gt;0,"Sensitive account | ","")&amp;IF(AND(MAX(N(E429),N(F429))&gt;=Settings!$C$9,MOD(MAX(N(E429),N(F429)),Settings!$C$10)=0),"Round amount | ",""),LEN(IF(K429="No","Does not balance | ","")&amp;IF(I429="","Not approved | ",IF(UPPER(TRIM(H429))=UPPER(TRIM(I429)),"Self-approved | ",""))&amp;IF(J429="","No support | ","")&amp;IF(WEEKDAY(B429,2)&gt;5,"Weekend posting | ","")&amp;IF(COUNTIF(Settings!$A$14:$A$43,B429)&gt;0,"Holiday posting | ","")&amp;IF(B429&gt;Settings!$C$8,"Posted after close | ","")&amp;IF(OR(B429&lt;Settings!$C$6,B429&gt;Settings!$C$7),"Outside period | ","")&amp;IF(COUNTIF(Settings!$E$14:$E$43,C429&amp;"")&gt;0,"Sensitive account | ","")&amp;IF(AND(MAX(N(E429),N(F429))&gt;=Settings!$C$9,MOD(MAX(N(E429),N(F429)),Settings!$C$10)=0),"Round amount | ",""))-3)))</f>
        <v/>
      </c>
      <c r="M429" s="21" t="str">
        <f aca="false">IF(A429="","",IF(COUNTIF($A$9:A429,A429)=1,MAX($M$8:M428)+1,""))</f>
        <v/>
      </c>
    </row>
    <row r="430" customFormat="false" ht="15" hidden="false" customHeight="false" outlineLevel="0" collapsed="false">
      <c r="A430" s="8"/>
      <c r="B430" s="17"/>
      <c r="C430" s="19"/>
      <c r="D430" s="8"/>
      <c r="E430" s="18"/>
      <c r="F430" s="18"/>
      <c r="G430" s="8"/>
      <c r="H430" s="8"/>
      <c r="I430" s="8"/>
      <c r="J430" s="8"/>
      <c r="K430" s="10" t="str">
        <f aca="false">IF(A430="","",IF(ABS(SUMIFS($E$9:$E$2008,$A$9:$A$2008,A430)-SUMIFS($F$9:$F$2008,$A$9:$A$2008,A430))&lt;0.5,"Yes","No"))</f>
        <v/>
      </c>
      <c r="L430" s="10" t="str">
        <f aca="false">IF(A430="","",IF(IF(K430="No","Does not balance | ","")&amp;IF(I430="","Not approved | ",IF(UPPER(TRIM(H430))=UPPER(TRIM(I430)),"Self-approved | ",""))&amp;IF(J430="","No support | ","")&amp;IF(WEEKDAY(B430,2)&gt;5,"Weekend posting | ","")&amp;IF(COUNTIF(Settings!$A$14:$A$43,B430)&gt;0,"Holiday posting | ","")&amp;IF(B430&gt;Settings!$C$8,"Posted after close | ","")&amp;IF(OR(B430&lt;Settings!$C$6,B430&gt;Settings!$C$7),"Outside period | ","")&amp;IF(COUNTIF(Settings!$E$14:$E$43,C430&amp;"")&gt;0,"Sensitive account | ","")&amp;IF(AND(MAX(N(E430),N(F430))&gt;=Settings!$C$9,MOD(MAX(N(E430),N(F430)),Settings!$C$10)=0),"Round amount | ","")="","",LEFT(IF(K430="No","Does not balance | ","")&amp;IF(I430="","Not approved | ",IF(UPPER(TRIM(H430))=UPPER(TRIM(I430)),"Self-approved | ",""))&amp;IF(J430="","No support | ","")&amp;IF(WEEKDAY(B430,2)&gt;5,"Weekend posting | ","")&amp;IF(COUNTIF(Settings!$A$14:$A$43,B430)&gt;0,"Holiday posting | ","")&amp;IF(B430&gt;Settings!$C$8,"Posted after close | ","")&amp;IF(OR(B430&lt;Settings!$C$6,B430&gt;Settings!$C$7),"Outside period | ","")&amp;IF(COUNTIF(Settings!$E$14:$E$43,C430&amp;"")&gt;0,"Sensitive account | ","")&amp;IF(AND(MAX(N(E430),N(F430))&gt;=Settings!$C$9,MOD(MAX(N(E430),N(F430)),Settings!$C$10)=0),"Round amount | ",""),LEN(IF(K430="No","Does not balance | ","")&amp;IF(I430="","Not approved | ",IF(UPPER(TRIM(H430))=UPPER(TRIM(I430)),"Self-approved | ",""))&amp;IF(J430="","No support | ","")&amp;IF(WEEKDAY(B430,2)&gt;5,"Weekend posting | ","")&amp;IF(COUNTIF(Settings!$A$14:$A$43,B430)&gt;0,"Holiday posting | ","")&amp;IF(B430&gt;Settings!$C$8,"Posted after close | ","")&amp;IF(OR(B430&lt;Settings!$C$6,B430&gt;Settings!$C$7),"Outside period | ","")&amp;IF(COUNTIF(Settings!$E$14:$E$43,C430&amp;"")&gt;0,"Sensitive account | ","")&amp;IF(AND(MAX(N(E430),N(F430))&gt;=Settings!$C$9,MOD(MAX(N(E430),N(F430)),Settings!$C$10)=0),"Round amount | ",""))-3)))</f>
        <v/>
      </c>
      <c r="M430" s="21" t="str">
        <f aca="false">IF(A430="","",IF(COUNTIF($A$9:A430,A430)=1,MAX($M$8:M429)+1,""))</f>
        <v/>
      </c>
    </row>
    <row r="431" customFormat="false" ht="15" hidden="false" customHeight="false" outlineLevel="0" collapsed="false">
      <c r="A431" s="8"/>
      <c r="B431" s="17"/>
      <c r="C431" s="19"/>
      <c r="D431" s="8"/>
      <c r="E431" s="18"/>
      <c r="F431" s="18"/>
      <c r="G431" s="8"/>
      <c r="H431" s="8"/>
      <c r="I431" s="8"/>
      <c r="J431" s="8"/>
      <c r="K431" s="10" t="str">
        <f aca="false">IF(A431="","",IF(ABS(SUMIFS($E$9:$E$2008,$A$9:$A$2008,A431)-SUMIFS($F$9:$F$2008,$A$9:$A$2008,A431))&lt;0.5,"Yes","No"))</f>
        <v/>
      </c>
      <c r="L431" s="10" t="str">
        <f aca="false">IF(A431="","",IF(IF(K431="No","Does not balance | ","")&amp;IF(I431="","Not approved | ",IF(UPPER(TRIM(H431))=UPPER(TRIM(I431)),"Self-approved | ",""))&amp;IF(J431="","No support | ","")&amp;IF(WEEKDAY(B431,2)&gt;5,"Weekend posting | ","")&amp;IF(COUNTIF(Settings!$A$14:$A$43,B431)&gt;0,"Holiday posting | ","")&amp;IF(B431&gt;Settings!$C$8,"Posted after close | ","")&amp;IF(OR(B431&lt;Settings!$C$6,B431&gt;Settings!$C$7),"Outside period | ","")&amp;IF(COUNTIF(Settings!$E$14:$E$43,C431&amp;"")&gt;0,"Sensitive account | ","")&amp;IF(AND(MAX(N(E431),N(F431))&gt;=Settings!$C$9,MOD(MAX(N(E431),N(F431)),Settings!$C$10)=0),"Round amount | ","")="","",LEFT(IF(K431="No","Does not balance | ","")&amp;IF(I431="","Not approved | ",IF(UPPER(TRIM(H431))=UPPER(TRIM(I431)),"Self-approved | ",""))&amp;IF(J431="","No support | ","")&amp;IF(WEEKDAY(B431,2)&gt;5,"Weekend posting | ","")&amp;IF(COUNTIF(Settings!$A$14:$A$43,B431)&gt;0,"Holiday posting | ","")&amp;IF(B431&gt;Settings!$C$8,"Posted after close | ","")&amp;IF(OR(B431&lt;Settings!$C$6,B431&gt;Settings!$C$7),"Outside period | ","")&amp;IF(COUNTIF(Settings!$E$14:$E$43,C431&amp;"")&gt;0,"Sensitive account | ","")&amp;IF(AND(MAX(N(E431),N(F431))&gt;=Settings!$C$9,MOD(MAX(N(E431),N(F431)),Settings!$C$10)=0),"Round amount | ",""),LEN(IF(K431="No","Does not balance | ","")&amp;IF(I431="","Not approved | ",IF(UPPER(TRIM(H431))=UPPER(TRIM(I431)),"Self-approved | ",""))&amp;IF(J431="","No support | ","")&amp;IF(WEEKDAY(B431,2)&gt;5,"Weekend posting | ","")&amp;IF(COUNTIF(Settings!$A$14:$A$43,B431)&gt;0,"Holiday posting | ","")&amp;IF(B431&gt;Settings!$C$8,"Posted after close | ","")&amp;IF(OR(B431&lt;Settings!$C$6,B431&gt;Settings!$C$7),"Outside period | ","")&amp;IF(COUNTIF(Settings!$E$14:$E$43,C431&amp;"")&gt;0,"Sensitive account | ","")&amp;IF(AND(MAX(N(E431),N(F431))&gt;=Settings!$C$9,MOD(MAX(N(E431),N(F431)),Settings!$C$10)=0),"Round amount | ",""))-3)))</f>
        <v/>
      </c>
      <c r="M431" s="21" t="str">
        <f aca="false">IF(A431="","",IF(COUNTIF($A$9:A431,A431)=1,MAX($M$8:M430)+1,""))</f>
        <v/>
      </c>
    </row>
    <row r="432" customFormat="false" ht="15" hidden="false" customHeight="false" outlineLevel="0" collapsed="false">
      <c r="A432" s="8"/>
      <c r="B432" s="17"/>
      <c r="C432" s="19"/>
      <c r="D432" s="8"/>
      <c r="E432" s="18"/>
      <c r="F432" s="18"/>
      <c r="G432" s="8"/>
      <c r="H432" s="8"/>
      <c r="I432" s="8"/>
      <c r="J432" s="8"/>
      <c r="K432" s="10" t="str">
        <f aca="false">IF(A432="","",IF(ABS(SUMIFS($E$9:$E$2008,$A$9:$A$2008,A432)-SUMIFS($F$9:$F$2008,$A$9:$A$2008,A432))&lt;0.5,"Yes","No"))</f>
        <v/>
      </c>
      <c r="L432" s="10" t="str">
        <f aca="false">IF(A432="","",IF(IF(K432="No","Does not balance | ","")&amp;IF(I432="","Not approved | ",IF(UPPER(TRIM(H432))=UPPER(TRIM(I432)),"Self-approved | ",""))&amp;IF(J432="","No support | ","")&amp;IF(WEEKDAY(B432,2)&gt;5,"Weekend posting | ","")&amp;IF(COUNTIF(Settings!$A$14:$A$43,B432)&gt;0,"Holiday posting | ","")&amp;IF(B432&gt;Settings!$C$8,"Posted after close | ","")&amp;IF(OR(B432&lt;Settings!$C$6,B432&gt;Settings!$C$7),"Outside period | ","")&amp;IF(COUNTIF(Settings!$E$14:$E$43,C432&amp;"")&gt;0,"Sensitive account | ","")&amp;IF(AND(MAX(N(E432),N(F432))&gt;=Settings!$C$9,MOD(MAX(N(E432),N(F432)),Settings!$C$10)=0),"Round amount | ","")="","",LEFT(IF(K432="No","Does not balance | ","")&amp;IF(I432="","Not approved | ",IF(UPPER(TRIM(H432))=UPPER(TRIM(I432)),"Self-approved | ",""))&amp;IF(J432="","No support | ","")&amp;IF(WEEKDAY(B432,2)&gt;5,"Weekend posting | ","")&amp;IF(COUNTIF(Settings!$A$14:$A$43,B432)&gt;0,"Holiday posting | ","")&amp;IF(B432&gt;Settings!$C$8,"Posted after close | ","")&amp;IF(OR(B432&lt;Settings!$C$6,B432&gt;Settings!$C$7),"Outside period | ","")&amp;IF(COUNTIF(Settings!$E$14:$E$43,C432&amp;"")&gt;0,"Sensitive account | ","")&amp;IF(AND(MAX(N(E432),N(F432))&gt;=Settings!$C$9,MOD(MAX(N(E432),N(F432)),Settings!$C$10)=0),"Round amount | ",""),LEN(IF(K432="No","Does not balance | ","")&amp;IF(I432="","Not approved | ",IF(UPPER(TRIM(H432))=UPPER(TRIM(I432)),"Self-approved | ",""))&amp;IF(J432="","No support | ","")&amp;IF(WEEKDAY(B432,2)&gt;5,"Weekend posting | ","")&amp;IF(COUNTIF(Settings!$A$14:$A$43,B432)&gt;0,"Holiday posting | ","")&amp;IF(B432&gt;Settings!$C$8,"Posted after close | ","")&amp;IF(OR(B432&lt;Settings!$C$6,B432&gt;Settings!$C$7),"Outside period | ","")&amp;IF(COUNTIF(Settings!$E$14:$E$43,C432&amp;"")&gt;0,"Sensitive account | ","")&amp;IF(AND(MAX(N(E432),N(F432))&gt;=Settings!$C$9,MOD(MAX(N(E432),N(F432)),Settings!$C$10)=0),"Round amount | ",""))-3)))</f>
        <v/>
      </c>
      <c r="M432" s="21" t="str">
        <f aca="false">IF(A432="","",IF(COUNTIF($A$9:A432,A432)=1,MAX($M$8:M431)+1,""))</f>
        <v/>
      </c>
    </row>
    <row r="433" customFormat="false" ht="15" hidden="false" customHeight="false" outlineLevel="0" collapsed="false">
      <c r="A433" s="8"/>
      <c r="B433" s="17"/>
      <c r="C433" s="19"/>
      <c r="D433" s="8"/>
      <c r="E433" s="18"/>
      <c r="F433" s="18"/>
      <c r="G433" s="8"/>
      <c r="H433" s="8"/>
      <c r="I433" s="8"/>
      <c r="J433" s="8"/>
      <c r="K433" s="10" t="str">
        <f aca="false">IF(A433="","",IF(ABS(SUMIFS($E$9:$E$2008,$A$9:$A$2008,A433)-SUMIFS($F$9:$F$2008,$A$9:$A$2008,A433))&lt;0.5,"Yes","No"))</f>
        <v/>
      </c>
      <c r="L433" s="10" t="str">
        <f aca="false">IF(A433="","",IF(IF(K433="No","Does not balance | ","")&amp;IF(I433="","Not approved | ",IF(UPPER(TRIM(H433))=UPPER(TRIM(I433)),"Self-approved | ",""))&amp;IF(J433="","No support | ","")&amp;IF(WEEKDAY(B433,2)&gt;5,"Weekend posting | ","")&amp;IF(COUNTIF(Settings!$A$14:$A$43,B433)&gt;0,"Holiday posting | ","")&amp;IF(B433&gt;Settings!$C$8,"Posted after close | ","")&amp;IF(OR(B433&lt;Settings!$C$6,B433&gt;Settings!$C$7),"Outside period | ","")&amp;IF(COUNTIF(Settings!$E$14:$E$43,C433&amp;"")&gt;0,"Sensitive account | ","")&amp;IF(AND(MAX(N(E433),N(F433))&gt;=Settings!$C$9,MOD(MAX(N(E433),N(F433)),Settings!$C$10)=0),"Round amount | ","")="","",LEFT(IF(K433="No","Does not balance | ","")&amp;IF(I433="","Not approved | ",IF(UPPER(TRIM(H433))=UPPER(TRIM(I433)),"Self-approved | ",""))&amp;IF(J433="","No support | ","")&amp;IF(WEEKDAY(B433,2)&gt;5,"Weekend posting | ","")&amp;IF(COUNTIF(Settings!$A$14:$A$43,B433)&gt;0,"Holiday posting | ","")&amp;IF(B433&gt;Settings!$C$8,"Posted after close | ","")&amp;IF(OR(B433&lt;Settings!$C$6,B433&gt;Settings!$C$7),"Outside period | ","")&amp;IF(COUNTIF(Settings!$E$14:$E$43,C433&amp;"")&gt;0,"Sensitive account | ","")&amp;IF(AND(MAX(N(E433),N(F433))&gt;=Settings!$C$9,MOD(MAX(N(E433),N(F433)),Settings!$C$10)=0),"Round amount | ",""),LEN(IF(K433="No","Does not balance | ","")&amp;IF(I433="","Not approved | ",IF(UPPER(TRIM(H433))=UPPER(TRIM(I433)),"Self-approved | ",""))&amp;IF(J433="","No support | ","")&amp;IF(WEEKDAY(B433,2)&gt;5,"Weekend posting | ","")&amp;IF(COUNTIF(Settings!$A$14:$A$43,B433)&gt;0,"Holiday posting | ","")&amp;IF(B433&gt;Settings!$C$8,"Posted after close | ","")&amp;IF(OR(B433&lt;Settings!$C$6,B433&gt;Settings!$C$7),"Outside period | ","")&amp;IF(COUNTIF(Settings!$E$14:$E$43,C433&amp;"")&gt;0,"Sensitive account | ","")&amp;IF(AND(MAX(N(E433),N(F433))&gt;=Settings!$C$9,MOD(MAX(N(E433),N(F433)),Settings!$C$10)=0),"Round amount | ",""))-3)))</f>
        <v/>
      </c>
      <c r="M433" s="21" t="str">
        <f aca="false">IF(A433="","",IF(COUNTIF($A$9:A433,A433)=1,MAX($M$8:M432)+1,""))</f>
        <v/>
      </c>
    </row>
    <row r="434" customFormat="false" ht="15" hidden="false" customHeight="false" outlineLevel="0" collapsed="false">
      <c r="A434" s="8"/>
      <c r="B434" s="17"/>
      <c r="C434" s="19"/>
      <c r="D434" s="8"/>
      <c r="E434" s="18"/>
      <c r="F434" s="18"/>
      <c r="G434" s="8"/>
      <c r="H434" s="8"/>
      <c r="I434" s="8"/>
      <c r="J434" s="8"/>
      <c r="K434" s="10" t="str">
        <f aca="false">IF(A434="","",IF(ABS(SUMIFS($E$9:$E$2008,$A$9:$A$2008,A434)-SUMIFS($F$9:$F$2008,$A$9:$A$2008,A434))&lt;0.5,"Yes","No"))</f>
        <v/>
      </c>
      <c r="L434" s="10" t="str">
        <f aca="false">IF(A434="","",IF(IF(K434="No","Does not balance | ","")&amp;IF(I434="","Not approved | ",IF(UPPER(TRIM(H434))=UPPER(TRIM(I434)),"Self-approved | ",""))&amp;IF(J434="","No support | ","")&amp;IF(WEEKDAY(B434,2)&gt;5,"Weekend posting | ","")&amp;IF(COUNTIF(Settings!$A$14:$A$43,B434)&gt;0,"Holiday posting | ","")&amp;IF(B434&gt;Settings!$C$8,"Posted after close | ","")&amp;IF(OR(B434&lt;Settings!$C$6,B434&gt;Settings!$C$7),"Outside period | ","")&amp;IF(COUNTIF(Settings!$E$14:$E$43,C434&amp;"")&gt;0,"Sensitive account | ","")&amp;IF(AND(MAX(N(E434),N(F434))&gt;=Settings!$C$9,MOD(MAX(N(E434),N(F434)),Settings!$C$10)=0),"Round amount | ","")="","",LEFT(IF(K434="No","Does not balance | ","")&amp;IF(I434="","Not approved | ",IF(UPPER(TRIM(H434))=UPPER(TRIM(I434)),"Self-approved | ",""))&amp;IF(J434="","No support | ","")&amp;IF(WEEKDAY(B434,2)&gt;5,"Weekend posting | ","")&amp;IF(COUNTIF(Settings!$A$14:$A$43,B434)&gt;0,"Holiday posting | ","")&amp;IF(B434&gt;Settings!$C$8,"Posted after close | ","")&amp;IF(OR(B434&lt;Settings!$C$6,B434&gt;Settings!$C$7),"Outside period | ","")&amp;IF(COUNTIF(Settings!$E$14:$E$43,C434&amp;"")&gt;0,"Sensitive account | ","")&amp;IF(AND(MAX(N(E434),N(F434))&gt;=Settings!$C$9,MOD(MAX(N(E434),N(F434)),Settings!$C$10)=0),"Round amount | ",""),LEN(IF(K434="No","Does not balance | ","")&amp;IF(I434="","Not approved | ",IF(UPPER(TRIM(H434))=UPPER(TRIM(I434)),"Self-approved | ",""))&amp;IF(J434="","No support | ","")&amp;IF(WEEKDAY(B434,2)&gt;5,"Weekend posting | ","")&amp;IF(COUNTIF(Settings!$A$14:$A$43,B434)&gt;0,"Holiday posting | ","")&amp;IF(B434&gt;Settings!$C$8,"Posted after close | ","")&amp;IF(OR(B434&lt;Settings!$C$6,B434&gt;Settings!$C$7),"Outside period | ","")&amp;IF(COUNTIF(Settings!$E$14:$E$43,C434&amp;"")&gt;0,"Sensitive account | ","")&amp;IF(AND(MAX(N(E434),N(F434))&gt;=Settings!$C$9,MOD(MAX(N(E434),N(F434)),Settings!$C$10)=0),"Round amount | ",""))-3)))</f>
        <v/>
      </c>
      <c r="M434" s="21" t="str">
        <f aca="false">IF(A434="","",IF(COUNTIF($A$9:A434,A434)=1,MAX($M$8:M433)+1,""))</f>
        <v/>
      </c>
    </row>
    <row r="435" customFormat="false" ht="15" hidden="false" customHeight="false" outlineLevel="0" collapsed="false">
      <c r="A435" s="8"/>
      <c r="B435" s="17"/>
      <c r="C435" s="19"/>
      <c r="D435" s="8"/>
      <c r="E435" s="18"/>
      <c r="F435" s="18"/>
      <c r="G435" s="8"/>
      <c r="H435" s="8"/>
      <c r="I435" s="8"/>
      <c r="J435" s="8"/>
      <c r="K435" s="10" t="str">
        <f aca="false">IF(A435="","",IF(ABS(SUMIFS($E$9:$E$2008,$A$9:$A$2008,A435)-SUMIFS($F$9:$F$2008,$A$9:$A$2008,A435))&lt;0.5,"Yes","No"))</f>
        <v/>
      </c>
      <c r="L435" s="10" t="str">
        <f aca="false">IF(A435="","",IF(IF(K435="No","Does not balance | ","")&amp;IF(I435="","Not approved | ",IF(UPPER(TRIM(H435))=UPPER(TRIM(I435)),"Self-approved | ",""))&amp;IF(J435="","No support | ","")&amp;IF(WEEKDAY(B435,2)&gt;5,"Weekend posting | ","")&amp;IF(COUNTIF(Settings!$A$14:$A$43,B435)&gt;0,"Holiday posting | ","")&amp;IF(B435&gt;Settings!$C$8,"Posted after close | ","")&amp;IF(OR(B435&lt;Settings!$C$6,B435&gt;Settings!$C$7),"Outside period | ","")&amp;IF(COUNTIF(Settings!$E$14:$E$43,C435&amp;"")&gt;0,"Sensitive account | ","")&amp;IF(AND(MAX(N(E435),N(F435))&gt;=Settings!$C$9,MOD(MAX(N(E435),N(F435)),Settings!$C$10)=0),"Round amount | ","")="","",LEFT(IF(K435="No","Does not balance | ","")&amp;IF(I435="","Not approved | ",IF(UPPER(TRIM(H435))=UPPER(TRIM(I435)),"Self-approved | ",""))&amp;IF(J435="","No support | ","")&amp;IF(WEEKDAY(B435,2)&gt;5,"Weekend posting | ","")&amp;IF(COUNTIF(Settings!$A$14:$A$43,B435)&gt;0,"Holiday posting | ","")&amp;IF(B435&gt;Settings!$C$8,"Posted after close | ","")&amp;IF(OR(B435&lt;Settings!$C$6,B435&gt;Settings!$C$7),"Outside period | ","")&amp;IF(COUNTIF(Settings!$E$14:$E$43,C435&amp;"")&gt;0,"Sensitive account | ","")&amp;IF(AND(MAX(N(E435),N(F435))&gt;=Settings!$C$9,MOD(MAX(N(E435),N(F435)),Settings!$C$10)=0),"Round amount | ",""),LEN(IF(K435="No","Does not balance | ","")&amp;IF(I435="","Not approved | ",IF(UPPER(TRIM(H435))=UPPER(TRIM(I435)),"Self-approved | ",""))&amp;IF(J435="","No support | ","")&amp;IF(WEEKDAY(B435,2)&gt;5,"Weekend posting | ","")&amp;IF(COUNTIF(Settings!$A$14:$A$43,B435)&gt;0,"Holiday posting | ","")&amp;IF(B435&gt;Settings!$C$8,"Posted after close | ","")&amp;IF(OR(B435&lt;Settings!$C$6,B435&gt;Settings!$C$7),"Outside period | ","")&amp;IF(COUNTIF(Settings!$E$14:$E$43,C435&amp;"")&gt;0,"Sensitive account | ","")&amp;IF(AND(MAX(N(E435),N(F435))&gt;=Settings!$C$9,MOD(MAX(N(E435),N(F435)),Settings!$C$10)=0),"Round amount | ",""))-3)))</f>
        <v/>
      </c>
      <c r="M435" s="21" t="str">
        <f aca="false">IF(A435="","",IF(COUNTIF($A$9:A435,A435)=1,MAX($M$8:M434)+1,""))</f>
        <v/>
      </c>
    </row>
    <row r="436" customFormat="false" ht="15" hidden="false" customHeight="false" outlineLevel="0" collapsed="false">
      <c r="A436" s="8"/>
      <c r="B436" s="17"/>
      <c r="C436" s="19"/>
      <c r="D436" s="8"/>
      <c r="E436" s="18"/>
      <c r="F436" s="18"/>
      <c r="G436" s="8"/>
      <c r="H436" s="8"/>
      <c r="I436" s="8"/>
      <c r="J436" s="8"/>
      <c r="K436" s="10" t="str">
        <f aca="false">IF(A436="","",IF(ABS(SUMIFS($E$9:$E$2008,$A$9:$A$2008,A436)-SUMIFS($F$9:$F$2008,$A$9:$A$2008,A436))&lt;0.5,"Yes","No"))</f>
        <v/>
      </c>
      <c r="L436" s="10" t="str">
        <f aca="false">IF(A436="","",IF(IF(K436="No","Does not balance | ","")&amp;IF(I436="","Not approved | ",IF(UPPER(TRIM(H436))=UPPER(TRIM(I436)),"Self-approved | ",""))&amp;IF(J436="","No support | ","")&amp;IF(WEEKDAY(B436,2)&gt;5,"Weekend posting | ","")&amp;IF(COUNTIF(Settings!$A$14:$A$43,B436)&gt;0,"Holiday posting | ","")&amp;IF(B436&gt;Settings!$C$8,"Posted after close | ","")&amp;IF(OR(B436&lt;Settings!$C$6,B436&gt;Settings!$C$7),"Outside period | ","")&amp;IF(COUNTIF(Settings!$E$14:$E$43,C436&amp;"")&gt;0,"Sensitive account | ","")&amp;IF(AND(MAX(N(E436),N(F436))&gt;=Settings!$C$9,MOD(MAX(N(E436),N(F436)),Settings!$C$10)=0),"Round amount | ","")="","",LEFT(IF(K436="No","Does not balance | ","")&amp;IF(I436="","Not approved | ",IF(UPPER(TRIM(H436))=UPPER(TRIM(I436)),"Self-approved | ",""))&amp;IF(J436="","No support | ","")&amp;IF(WEEKDAY(B436,2)&gt;5,"Weekend posting | ","")&amp;IF(COUNTIF(Settings!$A$14:$A$43,B436)&gt;0,"Holiday posting | ","")&amp;IF(B436&gt;Settings!$C$8,"Posted after close | ","")&amp;IF(OR(B436&lt;Settings!$C$6,B436&gt;Settings!$C$7),"Outside period | ","")&amp;IF(COUNTIF(Settings!$E$14:$E$43,C436&amp;"")&gt;0,"Sensitive account | ","")&amp;IF(AND(MAX(N(E436),N(F436))&gt;=Settings!$C$9,MOD(MAX(N(E436),N(F436)),Settings!$C$10)=0),"Round amount | ",""),LEN(IF(K436="No","Does not balance | ","")&amp;IF(I436="","Not approved | ",IF(UPPER(TRIM(H436))=UPPER(TRIM(I436)),"Self-approved | ",""))&amp;IF(J436="","No support | ","")&amp;IF(WEEKDAY(B436,2)&gt;5,"Weekend posting | ","")&amp;IF(COUNTIF(Settings!$A$14:$A$43,B436)&gt;0,"Holiday posting | ","")&amp;IF(B436&gt;Settings!$C$8,"Posted after close | ","")&amp;IF(OR(B436&lt;Settings!$C$6,B436&gt;Settings!$C$7),"Outside period | ","")&amp;IF(COUNTIF(Settings!$E$14:$E$43,C436&amp;"")&gt;0,"Sensitive account | ","")&amp;IF(AND(MAX(N(E436),N(F436))&gt;=Settings!$C$9,MOD(MAX(N(E436),N(F436)),Settings!$C$10)=0),"Round amount | ",""))-3)))</f>
        <v/>
      </c>
      <c r="M436" s="21" t="str">
        <f aca="false">IF(A436="","",IF(COUNTIF($A$9:A436,A436)=1,MAX($M$8:M435)+1,""))</f>
        <v/>
      </c>
    </row>
    <row r="437" customFormat="false" ht="15" hidden="false" customHeight="false" outlineLevel="0" collapsed="false">
      <c r="A437" s="8"/>
      <c r="B437" s="17"/>
      <c r="C437" s="19"/>
      <c r="D437" s="8"/>
      <c r="E437" s="18"/>
      <c r="F437" s="18"/>
      <c r="G437" s="8"/>
      <c r="H437" s="8"/>
      <c r="I437" s="8"/>
      <c r="J437" s="8"/>
      <c r="K437" s="10" t="str">
        <f aca="false">IF(A437="","",IF(ABS(SUMIFS($E$9:$E$2008,$A$9:$A$2008,A437)-SUMIFS($F$9:$F$2008,$A$9:$A$2008,A437))&lt;0.5,"Yes","No"))</f>
        <v/>
      </c>
      <c r="L437" s="10" t="str">
        <f aca="false">IF(A437="","",IF(IF(K437="No","Does not balance | ","")&amp;IF(I437="","Not approved | ",IF(UPPER(TRIM(H437))=UPPER(TRIM(I437)),"Self-approved | ",""))&amp;IF(J437="","No support | ","")&amp;IF(WEEKDAY(B437,2)&gt;5,"Weekend posting | ","")&amp;IF(COUNTIF(Settings!$A$14:$A$43,B437)&gt;0,"Holiday posting | ","")&amp;IF(B437&gt;Settings!$C$8,"Posted after close | ","")&amp;IF(OR(B437&lt;Settings!$C$6,B437&gt;Settings!$C$7),"Outside period | ","")&amp;IF(COUNTIF(Settings!$E$14:$E$43,C437&amp;"")&gt;0,"Sensitive account | ","")&amp;IF(AND(MAX(N(E437),N(F437))&gt;=Settings!$C$9,MOD(MAX(N(E437),N(F437)),Settings!$C$10)=0),"Round amount | ","")="","",LEFT(IF(K437="No","Does not balance | ","")&amp;IF(I437="","Not approved | ",IF(UPPER(TRIM(H437))=UPPER(TRIM(I437)),"Self-approved | ",""))&amp;IF(J437="","No support | ","")&amp;IF(WEEKDAY(B437,2)&gt;5,"Weekend posting | ","")&amp;IF(COUNTIF(Settings!$A$14:$A$43,B437)&gt;0,"Holiday posting | ","")&amp;IF(B437&gt;Settings!$C$8,"Posted after close | ","")&amp;IF(OR(B437&lt;Settings!$C$6,B437&gt;Settings!$C$7),"Outside period | ","")&amp;IF(COUNTIF(Settings!$E$14:$E$43,C437&amp;"")&gt;0,"Sensitive account | ","")&amp;IF(AND(MAX(N(E437),N(F437))&gt;=Settings!$C$9,MOD(MAX(N(E437),N(F437)),Settings!$C$10)=0),"Round amount | ",""),LEN(IF(K437="No","Does not balance | ","")&amp;IF(I437="","Not approved | ",IF(UPPER(TRIM(H437))=UPPER(TRIM(I437)),"Self-approved | ",""))&amp;IF(J437="","No support | ","")&amp;IF(WEEKDAY(B437,2)&gt;5,"Weekend posting | ","")&amp;IF(COUNTIF(Settings!$A$14:$A$43,B437)&gt;0,"Holiday posting | ","")&amp;IF(B437&gt;Settings!$C$8,"Posted after close | ","")&amp;IF(OR(B437&lt;Settings!$C$6,B437&gt;Settings!$C$7),"Outside period | ","")&amp;IF(COUNTIF(Settings!$E$14:$E$43,C437&amp;"")&gt;0,"Sensitive account | ","")&amp;IF(AND(MAX(N(E437),N(F437))&gt;=Settings!$C$9,MOD(MAX(N(E437),N(F437)),Settings!$C$10)=0),"Round amount | ",""))-3)))</f>
        <v/>
      </c>
      <c r="M437" s="21" t="str">
        <f aca="false">IF(A437="","",IF(COUNTIF($A$9:A437,A437)=1,MAX($M$8:M436)+1,""))</f>
        <v/>
      </c>
    </row>
    <row r="438" customFormat="false" ht="15" hidden="false" customHeight="false" outlineLevel="0" collapsed="false">
      <c r="A438" s="8"/>
      <c r="B438" s="17"/>
      <c r="C438" s="19"/>
      <c r="D438" s="8"/>
      <c r="E438" s="18"/>
      <c r="F438" s="18"/>
      <c r="G438" s="8"/>
      <c r="H438" s="8"/>
      <c r="I438" s="8"/>
      <c r="J438" s="8"/>
      <c r="K438" s="10" t="str">
        <f aca="false">IF(A438="","",IF(ABS(SUMIFS($E$9:$E$2008,$A$9:$A$2008,A438)-SUMIFS($F$9:$F$2008,$A$9:$A$2008,A438))&lt;0.5,"Yes","No"))</f>
        <v/>
      </c>
      <c r="L438" s="10" t="str">
        <f aca="false">IF(A438="","",IF(IF(K438="No","Does not balance | ","")&amp;IF(I438="","Not approved | ",IF(UPPER(TRIM(H438))=UPPER(TRIM(I438)),"Self-approved | ",""))&amp;IF(J438="","No support | ","")&amp;IF(WEEKDAY(B438,2)&gt;5,"Weekend posting | ","")&amp;IF(COUNTIF(Settings!$A$14:$A$43,B438)&gt;0,"Holiday posting | ","")&amp;IF(B438&gt;Settings!$C$8,"Posted after close | ","")&amp;IF(OR(B438&lt;Settings!$C$6,B438&gt;Settings!$C$7),"Outside period | ","")&amp;IF(COUNTIF(Settings!$E$14:$E$43,C438&amp;"")&gt;0,"Sensitive account | ","")&amp;IF(AND(MAX(N(E438),N(F438))&gt;=Settings!$C$9,MOD(MAX(N(E438),N(F438)),Settings!$C$10)=0),"Round amount | ","")="","",LEFT(IF(K438="No","Does not balance | ","")&amp;IF(I438="","Not approved | ",IF(UPPER(TRIM(H438))=UPPER(TRIM(I438)),"Self-approved | ",""))&amp;IF(J438="","No support | ","")&amp;IF(WEEKDAY(B438,2)&gt;5,"Weekend posting | ","")&amp;IF(COUNTIF(Settings!$A$14:$A$43,B438)&gt;0,"Holiday posting | ","")&amp;IF(B438&gt;Settings!$C$8,"Posted after close | ","")&amp;IF(OR(B438&lt;Settings!$C$6,B438&gt;Settings!$C$7),"Outside period | ","")&amp;IF(COUNTIF(Settings!$E$14:$E$43,C438&amp;"")&gt;0,"Sensitive account | ","")&amp;IF(AND(MAX(N(E438),N(F438))&gt;=Settings!$C$9,MOD(MAX(N(E438),N(F438)),Settings!$C$10)=0),"Round amount | ",""),LEN(IF(K438="No","Does not balance | ","")&amp;IF(I438="","Not approved | ",IF(UPPER(TRIM(H438))=UPPER(TRIM(I438)),"Self-approved | ",""))&amp;IF(J438="","No support | ","")&amp;IF(WEEKDAY(B438,2)&gt;5,"Weekend posting | ","")&amp;IF(COUNTIF(Settings!$A$14:$A$43,B438)&gt;0,"Holiday posting | ","")&amp;IF(B438&gt;Settings!$C$8,"Posted after close | ","")&amp;IF(OR(B438&lt;Settings!$C$6,B438&gt;Settings!$C$7),"Outside period | ","")&amp;IF(COUNTIF(Settings!$E$14:$E$43,C438&amp;"")&gt;0,"Sensitive account | ","")&amp;IF(AND(MAX(N(E438),N(F438))&gt;=Settings!$C$9,MOD(MAX(N(E438),N(F438)),Settings!$C$10)=0),"Round amount | ",""))-3)))</f>
        <v/>
      </c>
      <c r="M438" s="21" t="str">
        <f aca="false">IF(A438="","",IF(COUNTIF($A$9:A438,A438)=1,MAX($M$8:M437)+1,""))</f>
        <v/>
      </c>
    </row>
    <row r="439" customFormat="false" ht="15" hidden="false" customHeight="false" outlineLevel="0" collapsed="false">
      <c r="A439" s="8"/>
      <c r="B439" s="17"/>
      <c r="C439" s="19"/>
      <c r="D439" s="8"/>
      <c r="E439" s="18"/>
      <c r="F439" s="18"/>
      <c r="G439" s="8"/>
      <c r="H439" s="8"/>
      <c r="I439" s="8"/>
      <c r="J439" s="8"/>
      <c r="K439" s="10" t="str">
        <f aca="false">IF(A439="","",IF(ABS(SUMIFS($E$9:$E$2008,$A$9:$A$2008,A439)-SUMIFS($F$9:$F$2008,$A$9:$A$2008,A439))&lt;0.5,"Yes","No"))</f>
        <v/>
      </c>
      <c r="L439" s="10" t="str">
        <f aca="false">IF(A439="","",IF(IF(K439="No","Does not balance | ","")&amp;IF(I439="","Not approved | ",IF(UPPER(TRIM(H439))=UPPER(TRIM(I439)),"Self-approved | ",""))&amp;IF(J439="","No support | ","")&amp;IF(WEEKDAY(B439,2)&gt;5,"Weekend posting | ","")&amp;IF(COUNTIF(Settings!$A$14:$A$43,B439)&gt;0,"Holiday posting | ","")&amp;IF(B439&gt;Settings!$C$8,"Posted after close | ","")&amp;IF(OR(B439&lt;Settings!$C$6,B439&gt;Settings!$C$7),"Outside period | ","")&amp;IF(COUNTIF(Settings!$E$14:$E$43,C439&amp;"")&gt;0,"Sensitive account | ","")&amp;IF(AND(MAX(N(E439),N(F439))&gt;=Settings!$C$9,MOD(MAX(N(E439),N(F439)),Settings!$C$10)=0),"Round amount | ","")="","",LEFT(IF(K439="No","Does not balance | ","")&amp;IF(I439="","Not approved | ",IF(UPPER(TRIM(H439))=UPPER(TRIM(I439)),"Self-approved | ",""))&amp;IF(J439="","No support | ","")&amp;IF(WEEKDAY(B439,2)&gt;5,"Weekend posting | ","")&amp;IF(COUNTIF(Settings!$A$14:$A$43,B439)&gt;0,"Holiday posting | ","")&amp;IF(B439&gt;Settings!$C$8,"Posted after close | ","")&amp;IF(OR(B439&lt;Settings!$C$6,B439&gt;Settings!$C$7),"Outside period | ","")&amp;IF(COUNTIF(Settings!$E$14:$E$43,C439&amp;"")&gt;0,"Sensitive account | ","")&amp;IF(AND(MAX(N(E439),N(F439))&gt;=Settings!$C$9,MOD(MAX(N(E439),N(F439)),Settings!$C$10)=0),"Round amount | ",""),LEN(IF(K439="No","Does not balance | ","")&amp;IF(I439="","Not approved | ",IF(UPPER(TRIM(H439))=UPPER(TRIM(I439)),"Self-approved | ",""))&amp;IF(J439="","No support | ","")&amp;IF(WEEKDAY(B439,2)&gt;5,"Weekend posting | ","")&amp;IF(COUNTIF(Settings!$A$14:$A$43,B439)&gt;0,"Holiday posting | ","")&amp;IF(B439&gt;Settings!$C$8,"Posted after close | ","")&amp;IF(OR(B439&lt;Settings!$C$6,B439&gt;Settings!$C$7),"Outside period | ","")&amp;IF(COUNTIF(Settings!$E$14:$E$43,C439&amp;"")&gt;0,"Sensitive account | ","")&amp;IF(AND(MAX(N(E439),N(F439))&gt;=Settings!$C$9,MOD(MAX(N(E439),N(F439)),Settings!$C$10)=0),"Round amount | ",""))-3)))</f>
        <v/>
      </c>
      <c r="M439" s="21" t="str">
        <f aca="false">IF(A439="","",IF(COUNTIF($A$9:A439,A439)=1,MAX($M$8:M438)+1,""))</f>
        <v/>
      </c>
    </row>
    <row r="440" customFormat="false" ht="15" hidden="false" customHeight="false" outlineLevel="0" collapsed="false">
      <c r="A440" s="8"/>
      <c r="B440" s="17"/>
      <c r="C440" s="19"/>
      <c r="D440" s="8"/>
      <c r="E440" s="18"/>
      <c r="F440" s="18"/>
      <c r="G440" s="8"/>
      <c r="H440" s="8"/>
      <c r="I440" s="8"/>
      <c r="J440" s="8"/>
      <c r="K440" s="10" t="str">
        <f aca="false">IF(A440="","",IF(ABS(SUMIFS($E$9:$E$2008,$A$9:$A$2008,A440)-SUMIFS($F$9:$F$2008,$A$9:$A$2008,A440))&lt;0.5,"Yes","No"))</f>
        <v/>
      </c>
      <c r="L440" s="10" t="str">
        <f aca="false">IF(A440="","",IF(IF(K440="No","Does not balance | ","")&amp;IF(I440="","Not approved | ",IF(UPPER(TRIM(H440))=UPPER(TRIM(I440)),"Self-approved | ",""))&amp;IF(J440="","No support | ","")&amp;IF(WEEKDAY(B440,2)&gt;5,"Weekend posting | ","")&amp;IF(COUNTIF(Settings!$A$14:$A$43,B440)&gt;0,"Holiday posting | ","")&amp;IF(B440&gt;Settings!$C$8,"Posted after close | ","")&amp;IF(OR(B440&lt;Settings!$C$6,B440&gt;Settings!$C$7),"Outside period | ","")&amp;IF(COUNTIF(Settings!$E$14:$E$43,C440&amp;"")&gt;0,"Sensitive account | ","")&amp;IF(AND(MAX(N(E440),N(F440))&gt;=Settings!$C$9,MOD(MAX(N(E440),N(F440)),Settings!$C$10)=0),"Round amount | ","")="","",LEFT(IF(K440="No","Does not balance | ","")&amp;IF(I440="","Not approved | ",IF(UPPER(TRIM(H440))=UPPER(TRIM(I440)),"Self-approved | ",""))&amp;IF(J440="","No support | ","")&amp;IF(WEEKDAY(B440,2)&gt;5,"Weekend posting | ","")&amp;IF(COUNTIF(Settings!$A$14:$A$43,B440)&gt;0,"Holiday posting | ","")&amp;IF(B440&gt;Settings!$C$8,"Posted after close | ","")&amp;IF(OR(B440&lt;Settings!$C$6,B440&gt;Settings!$C$7),"Outside period | ","")&amp;IF(COUNTIF(Settings!$E$14:$E$43,C440&amp;"")&gt;0,"Sensitive account | ","")&amp;IF(AND(MAX(N(E440),N(F440))&gt;=Settings!$C$9,MOD(MAX(N(E440),N(F440)),Settings!$C$10)=0),"Round amount | ",""),LEN(IF(K440="No","Does not balance | ","")&amp;IF(I440="","Not approved | ",IF(UPPER(TRIM(H440))=UPPER(TRIM(I440)),"Self-approved | ",""))&amp;IF(J440="","No support | ","")&amp;IF(WEEKDAY(B440,2)&gt;5,"Weekend posting | ","")&amp;IF(COUNTIF(Settings!$A$14:$A$43,B440)&gt;0,"Holiday posting | ","")&amp;IF(B440&gt;Settings!$C$8,"Posted after close | ","")&amp;IF(OR(B440&lt;Settings!$C$6,B440&gt;Settings!$C$7),"Outside period | ","")&amp;IF(COUNTIF(Settings!$E$14:$E$43,C440&amp;"")&gt;0,"Sensitive account | ","")&amp;IF(AND(MAX(N(E440),N(F440))&gt;=Settings!$C$9,MOD(MAX(N(E440),N(F440)),Settings!$C$10)=0),"Round amount | ",""))-3)))</f>
        <v/>
      </c>
      <c r="M440" s="21" t="str">
        <f aca="false">IF(A440="","",IF(COUNTIF($A$9:A440,A440)=1,MAX($M$8:M439)+1,""))</f>
        <v/>
      </c>
    </row>
    <row r="441" customFormat="false" ht="15" hidden="false" customHeight="false" outlineLevel="0" collapsed="false">
      <c r="A441" s="8"/>
      <c r="B441" s="17"/>
      <c r="C441" s="19"/>
      <c r="D441" s="8"/>
      <c r="E441" s="18"/>
      <c r="F441" s="18"/>
      <c r="G441" s="8"/>
      <c r="H441" s="8"/>
      <c r="I441" s="8"/>
      <c r="J441" s="8"/>
      <c r="K441" s="10" t="str">
        <f aca="false">IF(A441="","",IF(ABS(SUMIFS($E$9:$E$2008,$A$9:$A$2008,A441)-SUMIFS($F$9:$F$2008,$A$9:$A$2008,A441))&lt;0.5,"Yes","No"))</f>
        <v/>
      </c>
      <c r="L441" s="10" t="str">
        <f aca="false">IF(A441="","",IF(IF(K441="No","Does not balance | ","")&amp;IF(I441="","Not approved | ",IF(UPPER(TRIM(H441))=UPPER(TRIM(I441)),"Self-approved | ",""))&amp;IF(J441="","No support | ","")&amp;IF(WEEKDAY(B441,2)&gt;5,"Weekend posting | ","")&amp;IF(COUNTIF(Settings!$A$14:$A$43,B441)&gt;0,"Holiday posting | ","")&amp;IF(B441&gt;Settings!$C$8,"Posted after close | ","")&amp;IF(OR(B441&lt;Settings!$C$6,B441&gt;Settings!$C$7),"Outside period | ","")&amp;IF(COUNTIF(Settings!$E$14:$E$43,C441&amp;"")&gt;0,"Sensitive account | ","")&amp;IF(AND(MAX(N(E441),N(F441))&gt;=Settings!$C$9,MOD(MAX(N(E441),N(F441)),Settings!$C$10)=0),"Round amount | ","")="","",LEFT(IF(K441="No","Does not balance | ","")&amp;IF(I441="","Not approved | ",IF(UPPER(TRIM(H441))=UPPER(TRIM(I441)),"Self-approved | ",""))&amp;IF(J441="","No support | ","")&amp;IF(WEEKDAY(B441,2)&gt;5,"Weekend posting | ","")&amp;IF(COUNTIF(Settings!$A$14:$A$43,B441)&gt;0,"Holiday posting | ","")&amp;IF(B441&gt;Settings!$C$8,"Posted after close | ","")&amp;IF(OR(B441&lt;Settings!$C$6,B441&gt;Settings!$C$7),"Outside period | ","")&amp;IF(COUNTIF(Settings!$E$14:$E$43,C441&amp;"")&gt;0,"Sensitive account | ","")&amp;IF(AND(MAX(N(E441),N(F441))&gt;=Settings!$C$9,MOD(MAX(N(E441),N(F441)),Settings!$C$10)=0),"Round amount | ",""),LEN(IF(K441="No","Does not balance | ","")&amp;IF(I441="","Not approved | ",IF(UPPER(TRIM(H441))=UPPER(TRIM(I441)),"Self-approved | ",""))&amp;IF(J441="","No support | ","")&amp;IF(WEEKDAY(B441,2)&gt;5,"Weekend posting | ","")&amp;IF(COUNTIF(Settings!$A$14:$A$43,B441)&gt;0,"Holiday posting | ","")&amp;IF(B441&gt;Settings!$C$8,"Posted after close | ","")&amp;IF(OR(B441&lt;Settings!$C$6,B441&gt;Settings!$C$7),"Outside period | ","")&amp;IF(COUNTIF(Settings!$E$14:$E$43,C441&amp;"")&gt;0,"Sensitive account | ","")&amp;IF(AND(MAX(N(E441),N(F441))&gt;=Settings!$C$9,MOD(MAX(N(E441),N(F441)),Settings!$C$10)=0),"Round amount | ",""))-3)))</f>
        <v/>
      </c>
      <c r="M441" s="21" t="str">
        <f aca="false">IF(A441="","",IF(COUNTIF($A$9:A441,A441)=1,MAX($M$8:M440)+1,""))</f>
        <v/>
      </c>
    </row>
    <row r="442" customFormat="false" ht="15" hidden="false" customHeight="false" outlineLevel="0" collapsed="false">
      <c r="A442" s="8"/>
      <c r="B442" s="17"/>
      <c r="C442" s="19"/>
      <c r="D442" s="8"/>
      <c r="E442" s="18"/>
      <c r="F442" s="18"/>
      <c r="G442" s="8"/>
      <c r="H442" s="8"/>
      <c r="I442" s="8"/>
      <c r="J442" s="8"/>
      <c r="K442" s="10" t="str">
        <f aca="false">IF(A442="","",IF(ABS(SUMIFS($E$9:$E$2008,$A$9:$A$2008,A442)-SUMIFS($F$9:$F$2008,$A$9:$A$2008,A442))&lt;0.5,"Yes","No"))</f>
        <v/>
      </c>
      <c r="L442" s="10" t="str">
        <f aca="false">IF(A442="","",IF(IF(K442="No","Does not balance | ","")&amp;IF(I442="","Not approved | ",IF(UPPER(TRIM(H442))=UPPER(TRIM(I442)),"Self-approved | ",""))&amp;IF(J442="","No support | ","")&amp;IF(WEEKDAY(B442,2)&gt;5,"Weekend posting | ","")&amp;IF(COUNTIF(Settings!$A$14:$A$43,B442)&gt;0,"Holiday posting | ","")&amp;IF(B442&gt;Settings!$C$8,"Posted after close | ","")&amp;IF(OR(B442&lt;Settings!$C$6,B442&gt;Settings!$C$7),"Outside period | ","")&amp;IF(COUNTIF(Settings!$E$14:$E$43,C442&amp;"")&gt;0,"Sensitive account | ","")&amp;IF(AND(MAX(N(E442),N(F442))&gt;=Settings!$C$9,MOD(MAX(N(E442),N(F442)),Settings!$C$10)=0),"Round amount | ","")="","",LEFT(IF(K442="No","Does not balance | ","")&amp;IF(I442="","Not approved | ",IF(UPPER(TRIM(H442))=UPPER(TRIM(I442)),"Self-approved | ",""))&amp;IF(J442="","No support | ","")&amp;IF(WEEKDAY(B442,2)&gt;5,"Weekend posting | ","")&amp;IF(COUNTIF(Settings!$A$14:$A$43,B442)&gt;0,"Holiday posting | ","")&amp;IF(B442&gt;Settings!$C$8,"Posted after close | ","")&amp;IF(OR(B442&lt;Settings!$C$6,B442&gt;Settings!$C$7),"Outside period | ","")&amp;IF(COUNTIF(Settings!$E$14:$E$43,C442&amp;"")&gt;0,"Sensitive account | ","")&amp;IF(AND(MAX(N(E442),N(F442))&gt;=Settings!$C$9,MOD(MAX(N(E442),N(F442)),Settings!$C$10)=0),"Round amount | ",""),LEN(IF(K442="No","Does not balance | ","")&amp;IF(I442="","Not approved | ",IF(UPPER(TRIM(H442))=UPPER(TRIM(I442)),"Self-approved | ",""))&amp;IF(J442="","No support | ","")&amp;IF(WEEKDAY(B442,2)&gt;5,"Weekend posting | ","")&amp;IF(COUNTIF(Settings!$A$14:$A$43,B442)&gt;0,"Holiday posting | ","")&amp;IF(B442&gt;Settings!$C$8,"Posted after close | ","")&amp;IF(OR(B442&lt;Settings!$C$6,B442&gt;Settings!$C$7),"Outside period | ","")&amp;IF(COUNTIF(Settings!$E$14:$E$43,C442&amp;"")&gt;0,"Sensitive account | ","")&amp;IF(AND(MAX(N(E442),N(F442))&gt;=Settings!$C$9,MOD(MAX(N(E442),N(F442)),Settings!$C$10)=0),"Round amount | ",""))-3)))</f>
        <v/>
      </c>
      <c r="M442" s="21" t="str">
        <f aca="false">IF(A442="","",IF(COUNTIF($A$9:A442,A442)=1,MAX($M$8:M441)+1,""))</f>
        <v/>
      </c>
    </row>
    <row r="443" customFormat="false" ht="15" hidden="false" customHeight="false" outlineLevel="0" collapsed="false">
      <c r="A443" s="8"/>
      <c r="B443" s="17"/>
      <c r="C443" s="19"/>
      <c r="D443" s="8"/>
      <c r="E443" s="18"/>
      <c r="F443" s="18"/>
      <c r="G443" s="8"/>
      <c r="H443" s="8"/>
      <c r="I443" s="8"/>
      <c r="J443" s="8"/>
      <c r="K443" s="10" t="str">
        <f aca="false">IF(A443="","",IF(ABS(SUMIFS($E$9:$E$2008,$A$9:$A$2008,A443)-SUMIFS($F$9:$F$2008,$A$9:$A$2008,A443))&lt;0.5,"Yes","No"))</f>
        <v/>
      </c>
      <c r="L443" s="10" t="str">
        <f aca="false">IF(A443="","",IF(IF(K443="No","Does not balance | ","")&amp;IF(I443="","Not approved | ",IF(UPPER(TRIM(H443))=UPPER(TRIM(I443)),"Self-approved | ",""))&amp;IF(J443="","No support | ","")&amp;IF(WEEKDAY(B443,2)&gt;5,"Weekend posting | ","")&amp;IF(COUNTIF(Settings!$A$14:$A$43,B443)&gt;0,"Holiday posting | ","")&amp;IF(B443&gt;Settings!$C$8,"Posted after close | ","")&amp;IF(OR(B443&lt;Settings!$C$6,B443&gt;Settings!$C$7),"Outside period | ","")&amp;IF(COUNTIF(Settings!$E$14:$E$43,C443&amp;"")&gt;0,"Sensitive account | ","")&amp;IF(AND(MAX(N(E443),N(F443))&gt;=Settings!$C$9,MOD(MAX(N(E443),N(F443)),Settings!$C$10)=0),"Round amount | ","")="","",LEFT(IF(K443="No","Does not balance | ","")&amp;IF(I443="","Not approved | ",IF(UPPER(TRIM(H443))=UPPER(TRIM(I443)),"Self-approved | ",""))&amp;IF(J443="","No support | ","")&amp;IF(WEEKDAY(B443,2)&gt;5,"Weekend posting | ","")&amp;IF(COUNTIF(Settings!$A$14:$A$43,B443)&gt;0,"Holiday posting | ","")&amp;IF(B443&gt;Settings!$C$8,"Posted after close | ","")&amp;IF(OR(B443&lt;Settings!$C$6,B443&gt;Settings!$C$7),"Outside period | ","")&amp;IF(COUNTIF(Settings!$E$14:$E$43,C443&amp;"")&gt;0,"Sensitive account | ","")&amp;IF(AND(MAX(N(E443),N(F443))&gt;=Settings!$C$9,MOD(MAX(N(E443),N(F443)),Settings!$C$10)=0),"Round amount | ",""),LEN(IF(K443="No","Does not balance | ","")&amp;IF(I443="","Not approved | ",IF(UPPER(TRIM(H443))=UPPER(TRIM(I443)),"Self-approved | ",""))&amp;IF(J443="","No support | ","")&amp;IF(WEEKDAY(B443,2)&gt;5,"Weekend posting | ","")&amp;IF(COUNTIF(Settings!$A$14:$A$43,B443)&gt;0,"Holiday posting | ","")&amp;IF(B443&gt;Settings!$C$8,"Posted after close | ","")&amp;IF(OR(B443&lt;Settings!$C$6,B443&gt;Settings!$C$7),"Outside period | ","")&amp;IF(COUNTIF(Settings!$E$14:$E$43,C443&amp;"")&gt;0,"Sensitive account | ","")&amp;IF(AND(MAX(N(E443),N(F443))&gt;=Settings!$C$9,MOD(MAX(N(E443),N(F443)),Settings!$C$10)=0),"Round amount | ",""))-3)))</f>
        <v/>
      </c>
      <c r="M443" s="21" t="str">
        <f aca="false">IF(A443="","",IF(COUNTIF($A$9:A443,A443)=1,MAX($M$8:M442)+1,""))</f>
        <v/>
      </c>
    </row>
    <row r="444" customFormat="false" ht="15" hidden="false" customHeight="false" outlineLevel="0" collapsed="false">
      <c r="A444" s="8"/>
      <c r="B444" s="17"/>
      <c r="C444" s="19"/>
      <c r="D444" s="8"/>
      <c r="E444" s="18"/>
      <c r="F444" s="18"/>
      <c r="G444" s="8"/>
      <c r="H444" s="8"/>
      <c r="I444" s="8"/>
      <c r="J444" s="8"/>
      <c r="K444" s="10" t="str">
        <f aca="false">IF(A444="","",IF(ABS(SUMIFS($E$9:$E$2008,$A$9:$A$2008,A444)-SUMIFS($F$9:$F$2008,$A$9:$A$2008,A444))&lt;0.5,"Yes","No"))</f>
        <v/>
      </c>
      <c r="L444" s="10" t="str">
        <f aca="false">IF(A444="","",IF(IF(K444="No","Does not balance | ","")&amp;IF(I444="","Not approved | ",IF(UPPER(TRIM(H444))=UPPER(TRIM(I444)),"Self-approved | ",""))&amp;IF(J444="","No support | ","")&amp;IF(WEEKDAY(B444,2)&gt;5,"Weekend posting | ","")&amp;IF(COUNTIF(Settings!$A$14:$A$43,B444)&gt;0,"Holiday posting | ","")&amp;IF(B444&gt;Settings!$C$8,"Posted after close | ","")&amp;IF(OR(B444&lt;Settings!$C$6,B444&gt;Settings!$C$7),"Outside period | ","")&amp;IF(COUNTIF(Settings!$E$14:$E$43,C444&amp;"")&gt;0,"Sensitive account | ","")&amp;IF(AND(MAX(N(E444),N(F444))&gt;=Settings!$C$9,MOD(MAX(N(E444),N(F444)),Settings!$C$10)=0),"Round amount | ","")="","",LEFT(IF(K444="No","Does not balance | ","")&amp;IF(I444="","Not approved | ",IF(UPPER(TRIM(H444))=UPPER(TRIM(I444)),"Self-approved | ",""))&amp;IF(J444="","No support | ","")&amp;IF(WEEKDAY(B444,2)&gt;5,"Weekend posting | ","")&amp;IF(COUNTIF(Settings!$A$14:$A$43,B444)&gt;0,"Holiday posting | ","")&amp;IF(B444&gt;Settings!$C$8,"Posted after close | ","")&amp;IF(OR(B444&lt;Settings!$C$6,B444&gt;Settings!$C$7),"Outside period | ","")&amp;IF(COUNTIF(Settings!$E$14:$E$43,C444&amp;"")&gt;0,"Sensitive account | ","")&amp;IF(AND(MAX(N(E444),N(F444))&gt;=Settings!$C$9,MOD(MAX(N(E444),N(F444)),Settings!$C$10)=0),"Round amount | ",""),LEN(IF(K444="No","Does not balance | ","")&amp;IF(I444="","Not approved | ",IF(UPPER(TRIM(H444))=UPPER(TRIM(I444)),"Self-approved | ",""))&amp;IF(J444="","No support | ","")&amp;IF(WEEKDAY(B444,2)&gt;5,"Weekend posting | ","")&amp;IF(COUNTIF(Settings!$A$14:$A$43,B444)&gt;0,"Holiday posting | ","")&amp;IF(B444&gt;Settings!$C$8,"Posted after close | ","")&amp;IF(OR(B444&lt;Settings!$C$6,B444&gt;Settings!$C$7),"Outside period | ","")&amp;IF(COUNTIF(Settings!$E$14:$E$43,C444&amp;"")&gt;0,"Sensitive account | ","")&amp;IF(AND(MAX(N(E444),N(F444))&gt;=Settings!$C$9,MOD(MAX(N(E444),N(F444)),Settings!$C$10)=0),"Round amount | ",""))-3)))</f>
        <v/>
      </c>
      <c r="M444" s="21" t="str">
        <f aca="false">IF(A444="","",IF(COUNTIF($A$9:A444,A444)=1,MAX($M$8:M443)+1,""))</f>
        <v/>
      </c>
    </row>
    <row r="445" customFormat="false" ht="15" hidden="false" customHeight="false" outlineLevel="0" collapsed="false">
      <c r="A445" s="8"/>
      <c r="B445" s="17"/>
      <c r="C445" s="19"/>
      <c r="D445" s="8"/>
      <c r="E445" s="18"/>
      <c r="F445" s="18"/>
      <c r="G445" s="8"/>
      <c r="H445" s="8"/>
      <c r="I445" s="8"/>
      <c r="J445" s="8"/>
      <c r="K445" s="10" t="str">
        <f aca="false">IF(A445="","",IF(ABS(SUMIFS($E$9:$E$2008,$A$9:$A$2008,A445)-SUMIFS($F$9:$F$2008,$A$9:$A$2008,A445))&lt;0.5,"Yes","No"))</f>
        <v/>
      </c>
      <c r="L445" s="10" t="str">
        <f aca="false">IF(A445="","",IF(IF(K445="No","Does not balance | ","")&amp;IF(I445="","Not approved | ",IF(UPPER(TRIM(H445))=UPPER(TRIM(I445)),"Self-approved | ",""))&amp;IF(J445="","No support | ","")&amp;IF(WEEKDAY(B445,2)&gt;5,"Weekend posting | ","")&amp;IF(COUNTIF(Settings!$A$14:$A$43,B445)&gt;0,"Holiday posting | ","")&amp;IF(B445&gt;Settings!$C$8,"Posted after close | ","")&amp;IF(OR(B445&lt;Settings!$C$6,B445&gt;Settings!$C$7),"Outside period | ","")&amp;IF(COUNTIF(Settings!$E$14:$E$43,C445&amp;"")&gt;0,"Sensitive account | ","")&amp;IF(AND(MAX(N(E445),N(F445))&gt;=Settings!$C$9,MOD(MAX(N(E445),N(F445)),Settings!$C$10)=0),"Round amount | ","")="","",LEFT(IF(K445="No","Does not balance | ","")&amp;IF(I445="","Not approved | ",IF(UPPER(TRIM(H445))=UPPER(TRIM(I445)),"Self-approved | ",""))&amp;IF(J445="","No support | ","")&amp;IF(WEEKDAY(B445,2)&gt;5,"Weekend posting | ","")&amp;IF(COUNTIF(Settings!$A$14:$A$43,B445)&gt;0,"Holiday posting | ","")&amp;IF(B445&gt;Settings!$C$8,"Posted after close | ","")&amp;IF(OR(B445&lt;Settings!$C$6,B445&gt;Settings!$C$7),"Outside period | ","")&amp;IF(COUNTIF(Settings!$E$14:$E$43,C445&amp;"")&gt;0,"Sensitive account | ","")&amp;IF(AND(MAX(N(E445),N(F445))&gt;=Settings!$C$9,MOD(MAX(N(E445),N(F445)),Settings!$C$10)=0),"Round amount | ",""),LEN(IF(K445="No","Does not balance | ","")&amp;IF(I445="","Not approved | ",IF(UPPER(TRIM(H445))=UPPER(TRIM(I445)),"Self-approved | ",""))&amp;IF(J445="","No support | ","")&amp;IF(WEEKDAY(B445,2)&gt;5,"Weekend posting | ","")&amp;IF(COUNTIF(Settings!$A$14:$A$43,B445)&gt;0,"Holiday posting | ","")&amp;IF(B445&gt;Settings!$C$8,"Posted after close | ","")&amp;IF(OR(B445&lt;Settings!$C$6,B445&gt;Settings!$C$7),"Outside period | ","")&amp;IF(COUNTIF(Settings!$E$14:$E$43,C445&amp;"")&gt;0,"Sensitive account | ","")&amp;IF(AND(MAX(N(E445),N(F445))&gt;=Settings!$C$9,MOD(MAX(N(E445),N(F445)),Settings!$C$10)=0),"Round amount | ",""))-3)))</f>
        <v/>
      </c>
      <c r="M445" s="21" t="str">
        <f aca="false">IF(A445="","",IF(COUNTIF($A$9:A445,A445)=1,MAX($M$8:M444)+1,""))</f>
        <v/>
      </c>
    </row>
    <row r="446" customFormat="false" ht="15" hidden="false" customHeight="false" outlineLevel="0" collapsed="false">
      <c r="A446" s="8"/>
      <c r="B446" s="17"/>
      <c r="C446" s="19"/>
      <c r="D446" s="8"/>
      <c r="E446" s="18"/>
      <c r="F446" s="18"/>
      <c r="G446" s="8"/>
      <c r="H446" s="8"/>
      <c r="I446" s="8"/>
      <c r="J446" s="8"/>
      <c r="K446" s="10" t="str">
        <f aca="false">IF(A446="","",IF(ABS(SUMIFS($E$9:$E$2008,$A$9:$A$2008,A446)-SUMIFS($F$9:$F$2008,$A$9:$A$2008,A446))&lt;0.5,"Yes","No"))</f>
        <v/>
      </c>
      <c r="L446" s="10" t="str">
        <f aca="false">IF(A446="","",IF(IF(K446="No","Does not balance | ","")&amp;IF(I446="","Not approved | ",IF(UPPER(TRIM(H446))=UPPER(TRIM(I446)),"Self-approved | ",""))&amp;IF(J446="","No support | ","")&amp;IF(WEEKDAY(B446,2)&gt;5,"Weekend posting | ","")&amp;IF(COUNTIF(Settings!$A$14:$A$43,B446)&gt;0,"Holiday posting | ","")&amp;IF(B446&gt;Settings!$C$8,"Posted after close | ","")&amp;IF(OR(B446&lt;Settings!$C$6,B446&gt;Settings!$C$7),"Outside period | ","")&amp;IF(COUNTIF(Settings!$E$14:$E$43,C446&amp;"")&gt;0,"Sensitive account | ","")&amp;IF(AND(MAX(N(E446),N(F446))&gt;=Settings!$C$9,MOD(MAX(N(E446),N(F446)),Settings!$C$10)=0),"Round amount | ","")="","",LEFT(IF(K446="No","Does not balance | ","")&amp;IF(I446="","Not approved | ",IF(UPPER(TRIM(H446))=UPPER(TRIM(I446)),"Self-approved | ",""))&amp;IF(J446="","No support | ","")&amp;IF(WEEKDAY(B446,2)&gt;5,"Weekend posting | ","")&amp;IF(COUNTIF(Settings!$A$14:$A$43,B446)&gt;0,"Holiday posting | ","")&amp;IF(B446&gt;Settings!$C$8,"Posted after close | ","")&amp;IF(OR(B446&lt;Settings!$C$6,B446&gt;Settings!$C$7),"Outside period | ","")&amp;IF(COUNTIF(Settings!$E$14:$E$43,C446&amp;"")&gt;0,"Sensitive account | ","")&amp;IF(AND(MAX(N(E446),N(F446))&gt;=Settings!$C$9,MOD(MAX(N(E446),N(F446)),Settings!$C$10)=0),"Round amount | ",""),LEN(IF(K446="No","Does not balance | ","")&amp;IF(I446="","Not approved | ",IF(UPPER(TRIM(H446))=UPPER(TRIM(I446)),"Self-approved | ",""))&amp;IF(J446="","No support | ","")&amp;IF(WEEKDAY(B446,2)&gt;5,"Weekend posting | ","")&amp;IF(COUNTIF(Settings!$A$14:$A$43,B446)&gt;0,"Holiday posting | ","")&amp;IF(B446&gt;Settings!$C$8,"Posted after close | ","")&amp;IF(OR(B446&lt;Settings!$C$6,B446&gt;Settings!$C$7),"Outside period | ","")&amp;IF(COUNTIF(Settings!$E$14:$E$43,C446&amp;"")&gt;0,"Sensitive account | ","")&amp;IF(AND(MAX(N(E446),N(F446))&gt;=Settings!$C$9,MOD(MAX(N(E446),N(F446)),Settings!$C$10)=0),"Round amount | ",""))-3)))</f>
        <v/>
      </c>
      <c r="M446" s="21" t="str">
        <f aca="false">IF(A446="","",IF(COUNTIF($A$9:A446,A446)=1,MAX($M$8:M445)+1,""))</f>
        <v/>
      </c>
    </row>
    <row r="447" customFormat="false" ht="15" hidden="false" customHeight="false" outlineLevel="0" collapsed="false">
      <c r="A447" s="8"/>
      <c r="B447" s="17"/>
      <c r="C447" s="19"/>
      <c r="D447" s="8"/>
      <c r="E447" s="18"/>
      <c r="F447" s="18"/>
      <c r="G447" s="8"/>
      <c r="H447" s="8"/>
      <c r="I447" s="8"/>
      <c r="J447" s="8"/>
      <c r="K447" s="10" t="str">
        <f aca="false">IF(A447="","",IF(ABS(SUMIFS($E$9:$E$2008,$A$9:$A$2008,A447)-SUMIFS($F$9:$F$2008,$A$9:$A$2008,A447))&lt;0.5,"Yes","No"))</f>
        <v/>
      </c>
      <c r="L447" s="10" t="str">
        <f aca="false">IF(A447="","",IF(IF(K447="No","Does not balance | ","")&amp;IF(I447="","Not approved | ",IF(UPPER(TRIM(H447))=UPPER(TRIM(I447)),"Self-approved | ",""))&amp;IF(J447="","No support | ","")&amp;IF(WEEKDAY(B447,2)&gt;5,"Weekend posting | ","")&amp;IF(COUNTIF(Settings!$A$14:$A$43,B447)&gt;0,"Holiday posting | ","")&amp;IF(B447&gt;Settings!$C$8,"Posted after close | ","")&amp;IF(OR(B447&lt;Settings!$C$6,B447&gt;Settings!$C$7),"Outside period | ","")&amp;IF(COUNTIF(Settings!$E$14:$E$43,C447&amp;"")&gt;0,"Sensitive account | ","")&amp;IF(AND(MAX(N(E447),N(F447))&gt;=Settings!$C$9,MOD(MAX(N(E447),N(F447)),Settings!$C$10)=0),"Round amount | ","")="","",LEFT(IF(K447="No","Does not balance | ","")&amp;IF(I447="","Not approved | ",IF(UPPER(TRIM(H447))=UPPER(TRIM(I447)),"Self-approved | ",""))&amp;IF(J447="","No support | ","")&amp;IF(WEEKDAY(B447,2)&gt;5,"Weekend posting | ","")&amp;IF(COUNTIF(Settings!$A$14:$A$43,B447)&gt;0,"Holiday posting | ","")&amp;IF(B447&gt;Settings!$C$8,"Posted after close | ","")&amp;IF(OR(B447&lt;Settings!$C$6,B447&gt;Settings!$C$7),"Outside period | ","")&amp;IF(COUNTIF(Settings!$E$14:$E$43,C447&amp;"")&gt;0,"Sensitive account | ","")&amp;IF(AND(MAX(N(E447),N(F447))&gt;=Settings!$C$9,MOD(MAX(N(E447),N(F447)),Settings!$C$10)=0),"Round amount | ",""),LEN(IF(K447="No","Does not balance | ","")&amp;IF(I447="","Not approved | ",IF(UPPER(TRIM(H447))=UPPER(TRIM(I447)),"Self-approved | ",""))&amp;IF(J447="","No support | ","")&amp;IF(WEEKDAY(B447,2)&gt;5,"Weekend posting | ","")&amp;IF(COUNTIF(Settings!$A$14:$A$43,B447)&gt;0,"Holiday posting | ","")&amp;IF(B447&gt;Settings!$C$8,"Posted after close | ","")&amp;IF(OR(B447&lt;Settings!$C$6,B447&gt;Settings!$C$7),"Outside period | ","")&amp;IF(COUNTIF(Settings!$E$14:$E$43,C447&amp;"")&gt;0,"Sensitive account | ","")&amp;IF(AND(MAX(N(E447),N(F447))&gt;=Settings!$C$9,MOD(MAX(N(E447),N(F447)),Settings!$C$10)=0),"Round amount | ",""))-3)))</f>
        <v/>
      </c>
      <c r="M447" s="21" t="str">
        <f aca="false">IF(A447="","",IF(COUNTIF($A$9:A447,A447)=1,MAX($M$8:M446)+1,""))</f>
        <v/>
      </c>
    </row>
    <row r="448" customFormat="false" ht="15" hidden="false" customHeight="false" outlineLevel="0" collapsed="false">
      <c r="A448" s="8"/>
      <c r="B448" s="17"/>
      <c r="C448" s="19"/>
      <c r="D448" s="8"/>
      <c r="E448" s="18"/>
      <c r="F448" s="18"/>
      <c r="G448" s="8"/>
      <c r="H448" s="8"/>
      <c r="I448" s="8"/>
      <c r="J448" s="8"/>
      <c r="K448" s="10" t="str">
        <f aca="false">IF(A448="","",IF(ABS(SUMIFS($E$9:$E$2008,$A$9:$A$2008,A448)-SUMIFS($F$9:$F$2008,$A$9:$A$2008,A448))&lt;0.5,"Yes","No"))</f>
        <v/>
      </c>
      <c r="L448" s="10" t="str">
        <f aca="false">IF(A448="","",IF(IF(K448="No","Does not balance | ","")&amp;IF(I448="","Not approved | ",IF(UPPER(TRIM(H448))=UPPER(TRIM(I448)),"Self-approved | ",""))&amp;IF(J448="","No support | ","")&amp;IF(WEEKDAY(B448,2)&gt;5,"Weekend posting | ","")&amp;IF(COUNTIF(Settings!$A$14:$A$43,B448)&gt;0,"Holiday posting | ","")&amp;IF(B448&gt;Settings!$C$8,"Posted after close | ","")&amp;IF(OR(B448&lt;Settings!$C$6,B448&gt;Settings!$C$7),"Outside period | ","")&amp;IF(COUNTIF(Settings!$E$14:$E$43,C448&amp;"")&gt;0,"Sensitive account | ","")&amp;IF(AND(MAX(N(E448),N(F448))&gt;=Settings!$C$9,MOD(MAX(N(E448),N(F448)),Settings!$C$10)=0),"Round amount | ","")="","",LEFT(IF(K448="No","Does not balance | ","")&amp;IF(I448="","Not approved | ",IF(UPPER(TRIM(H448))=UPPER(TRIM(I448)),"Self-approved | ",""))&amp;IF(J448="","No support | ","")&amp;IF(WEEKDAY(B448,2)&gt;5,"Weekend posting | ","")&amp;IF(COUNTIF(Settings!$A$14:$A$43,B448)&gt;0,"Holiday posting | ","")&amp;IF(B448&gt;Settings!$C$8,"Posted after close | ","")&amp;IF(OR(B448&lt;Settings!$C$6,B448&gt;Settings!$C$7),"Outside period | ","")&amp;IF(COUNTIF(Settings!$E$14:$E$43,C448&amp;"")&gt;0,"Sensitive account | ","")&amp;IF(AND(MAX(N(E448),N(F448))&gt;=Settings!$C$9,MOD(MAX(N(E448),N(F448)),Settings!$C$10)=0),"Round amount | ",""),LEN(IF(K448="No","Does not balance | ","")&amp;IF(I448="","Not approved | ",IF(UPPER(TRIM(H448))=UPPER(TRIM(I448)),"Self-approved | ",""))&amp;IF(J448="","No support | ","")&amp;IF(WEEKDAY(B448,2)&gt;5,"Weekend posting | ","")&amp;IF(COUNTIF(Settings!$A$14:$A$43,B448)&gt;0,"Holiday posting | ","")&amp;IF(B448&gt;Settings!$C$8,"Posted after close | ","")&amp;IF(OR(B448&lt;Settings!$C$6,B448&gt;Settings!$C$7),"Outside period | ","")&amp;IF(COUNTIF(Settings!$E$14:$E$43,C448&amp;"")&gt;0,"Sensitive account | ","")&amp;IF(AND(MAX(N(E448),N(F448))&gt;=Settings!$C$9,MOD(MAX(N(E448),N(F448)),Settings!$C$10)=0),"Round amount | ",""))-3)))</f>
        <v/>
      </c>
      <c r="M448" s="21" t="str">
        <f aca="false">IF(A448="","",IF(COUNTIF($A$9:A448,A448)=1,MAX($M$8:M447)+1,""))</f>
        <v/>
      </c>
    </row>
    <row r="449" customFormat="false" ht="15" hidden="false" customHeight="false" outlineLevel="0" collapsed="false">
      <c r="A449" s="8"/>
      <c r="B449" s="17"/>
      <c r="C449" s="19"/>
      <c r="D449" s="8"/>
      <c r="E449" s="18"/>
      <c r="F449" s="18"/>
      <c r="G449" s="8"/>
      <c r="H449" s="8"/>
      <c r="I449" s="8"/>
      <c r="J449" s="8"/>
      <c r="K449" s="10" t="str">
        <f aca="false">IF(A449="","",IF(ABS(SUMIFS($E$9:$E$2008,$A$9:$A$2008,A449)-SUMIFS($F$9:$F$2008,$A$9:$A$2008,A449))&lt;0.5,"Yes","No"))</f>
        <v/>
      </c>
      <c r="L449" s="10" t="str">
        <f aca="false">IF(A449="","",IF(IF(K449="No","Does not balance | ","")&amp;IF(I449="","Not approved | ",IF(UPPER(TRIM(H449))=UPPER(TRIM(I449)),"Self-approved | ",""))&amp;IF(J449="","No support | ","")&amp;IF(WEEKDAY(B449,2)&gt;5,"Weekend posting | ","")&amp;IF(COUNTIF(Settings!$A$14:$A$43,B449)&gt;0,"Holiday posting | ","")&amp;IF(B449&gt;Settings!$C$8,"Posted after close | ","")&amp;IF(OR(B449&lt;Settings!$C$6,B449&gt;Settings!$C$7),"Outside period | ","")&amp;IF(COUNTIF(Settings!$E$14:$E$43,C449&amp;"")&gt;0,"Sensitive account | ","")&amp;IF(AND(MAX(N(E449),N(F449))&gt;=Settings!$C$9,MOD(MAX(N(E449),N(F449)),Settings!$C$10)=0),"Round amount | ","")="","",LEFT(IF(K449="No","Does not balance | ","")&amp;IF(I449="","Not approved | ",IF(UPPER(TRIM(H449))=UPPER(TRIM(I449)),"Self-approved | ",""))&amp;IF(J449="","No support | ","")&amp;IF(WEEKDAY(B449,2)&gt;5,"Weekend posting | ","")&amp;IF(COUNTIF(Settings!$A$14:$A$43,B449)&gt;0,"Holiday posting | ","")&amp;IF(B449&gt;Settings!$C$8,"Posted after close | ","")&amp;IF(OR(B449&lt;Settings!$C$6,B449&gt;Settings!$C$7),"Outside period | ","")&amp;IF(COUNTIF(Settings!$E$14:$E$43,C449&amp;"")&gt;0,"Sensitive account | ","")&amp;IF(AND(MAX(N(E449),N(F449))&gt;=Settings!$C$9,MOD(MAX(N(E449),N(F449)),Settings!$C$10)=0),"Round amount | ",""),LEN(IF(K449="No","Does not balance | ","")&amp;IF(I449="","Not approved | ",IF(UPPER(TRIM(H449))=UPPER(TRIM(I449)),"Self-approved | ",""))&amp;IF(J449="","No support | ","")&amp;IF(WEEKDAY(B449,2)&gt;5,"Weekend posting | ","")&amp;IF(COUNTIF(Settings!$A$14:$A$43,B449)&gt;0,"Holiday posting | ","")&amp;IF(B449&gt;Settings!$C$8,"Posted after close | ","")&amp;IF(OR(B449&lt;Settings!$C$6,B449&gt;Settings!$C$7),"Outside period | ","")&amp;IF(COUNTIF(Settings!$E$14:$E$43,C449&amp;"")&gt;0,"Sensitive account | ","")&amp;IF(AND(MAX(N(E449),N(F449))&gt;=Settings!$C$9,MOD(MAX(N(E449),N(F449)),Settings!$C$10)=0),"Round amount | ",""))-3)))</f>
        <v/>
      </c>
      <c r="M449" s="21" t="str">
        <f aca="false">IF(A449="","",IF(COUNTIF($A$9:A449,A449)=1,MAX($M$8:M448)+1,""))</f>
        <v/>
      </c>
    </row>
    <row r="450" customFormat="false" ht="15" hidden="false" customHeight="false" outlineLevel="0" collapsed="false">
      <c r="A450" s="8"/>
      <c r="B450" s="17"/>
      <c r="C450" s="19"/>
      <c r="D450" s="8"/>
      <c r="E450" s="18"/>
      <c r="F450" s="18"/>
      <c r="G450" s="8"/>
      <c r="H450" s="8"/>
      <c r="I450" s="8"/>
      <c r="J450" s="8"/>
      <c r="K450" s="10" t="str">
        <f aca="false">IF(A450="","",IF(ABS(SUMIFS($E$9:$E$2008,$A$9:$A$2008,A450)-SUMIFS($F$9:$F$2008,$A$9:$A$2008,A450))&lt;0.5,"Yes","No"))</f>
        <v/>
      </c>
      <c r="L450" s="10" t="str">
        <f aca="false">IF(A450="","",IF(IF(K450="No","Does not balance | ","")&amp;IF(I450="","Not approved | ",IF(UPPER(TRIM(H450))=UPPER(TRIM(I450)),"Self-approved | ",""))&amp;IF(J450="","No support | ","")&amp;IF(WEEKDAY(B450,2)&gt;5,"Weekend posting | ","")&amp;IF(COUNTIF(Settings!$A$14:$A$43,B450)&gt;0,"Holiday posting | ","")&amp;IF(B450&gt;Settings!$C$8,"Posted after close | ","")&amp;IF(OR(B450&lt;Settings!$C$6,B450&gt;Settings!$C$7),"Outside period | ","")&amp;IF(COUNTIF(Settings!$E$14:$E$43,C450&amp;"")&gt;0,"Sensitive account | ","")&amp;IF(AND(MAX(N(E450),N(F450))&gt;=Settings!$C$9,MOD(MAX(N(E450),N(F450)),Settings!$C$10)=0),"Round amount | ","")="","",LEFT(IF(K450="No","Does not balance | ","")&amp;IF(I450="","Not approved | ",IF(UPPER(TRIM(H450))=UPPER(TRIM(I450)),"Self-approved | ",""))&amp;IF(J450="","No support | ","")&amp;IF(WEEKDAY(B450,2)&gt;5,"Weekend posting | ","")&amp;IF(COUNTIF(Settings!$A$14:$A$43,B450)&gt;0,"Holiday posting | ","")&amp;IF(B450&gt;Settings!$C$8,"Posted after close | ","")&amp;IF(OR(B450&lt;Settings!$C$6,B450&gt;Settings!$C$7),"Outside period | ","")&amp;IF(COUNTIF(Settings!$E$14:$E$43,C450&amp;"")&gt;0,"Sensitive account | ","")&amp;IF(AND(MAX(N(E450),N(F450))&gt;=Settings!$C$9,MOD(MAX(N(E450),N(F450)),Settings!$C$10)=0),"Round amount | ",""),LEN(IF(K450="No","Does not balance | ","")&amp;IF(I450="","Not approved | ",IF(UPPER(TRIM(H450))=UPPER(TRIM(I450)),"Self-approved | ",""))&amp;IF(J450="","No support | ","")&amp;IF(WEEKDAY(B450,2)&gt;5,"Weekend posting | ","")&amp;IF(COUNTIF(Settings!$A$14:$A$43,B450)&gt;0,"Holiday posting | ","")&amp;IF(B450&gt;Settings!$C$8,"Posted after close | ","")&amp;IF(OR(B450&lt;Settings!$C$6,B450&gt;Settings!$C$7),"Outside period | ","")&amp;IF(COUNTIF(Settings!$E$14:$E$43,C450&amp;"")&gt;0,"Sensitive account | ","")&amp;IF(AND(MAX(N(E450),N(F450))&gt;=Settings!$C$9,MOD(MAX(N(E450),N(F450)),Settings!$C$10)=0),"Round amount | ",""))-3)))</f>
        <v/>
      </c>
      <c r="M450" s="21" t="str">
        <f aca="false">IF(A450="","",IF(COUNTIF($A$9:A450,A450)=1,MAX($M$8:M449)+1,""))</f>
        <v/>
      </c>
    </row>
    <row r="451" customFormat="false" ht="15" hidden="false" customHeight="false" outlineLevel="0" collapsed="false">
      <c r="A451" s="8"/>
      <c r="B451" s="17"/>
      <c r="C451" s="19"/>
      <c r="D451" s="8"/>
      <c r="E451" s="18"/>
      <c r="F451" s="18"/>
      <c r="G451" s="8"/>
      <c r="H451" s="8"/>
      <c r="I451" s="8"/>
      <c r="J451" s="8"/>
      <c r="K451" s="10" t="str">
        <f aca="false">IF(A451="","",IF(ABS(SUMIFS($E$9:$E$2008,$A$9:$A$2008,A451)-SUMIFS($F$9:$F$2008,$A$9:$A$2008,A451))&lt;0.5,"Yes","No"))</f>
        <v/>
      </c>
      <c r="L451" s="10" t="str">
        <f aca="false">IF(A451="","",IF(IF(K451="No","Does not balance | ","")&amp;IF(I451="","Not approved | ",IF(UPPER(TRIM(H451))=UPPER(TRIM(I451)),"Self-approved | ",""))&amp;IF(J451="","No support | ","")&amp;IF(WEEKDAY(B451,2)&gt;5,"Weekend posting | ","")&amp;IF(COUNTIF(Settings!$A$14:$A$43,B451)&gt;0,"Holiday posting | ","")&amp;IF(B451&gt;Settings!$C$8,"Posted after close | ","")&amp;IF(OR(B451&lt;Settings!$C$6,B451&gt;Settings!$C$7),"Outside period | ","")&amp;IF(COUNTIF(Settings!$E$14:$E$43,C451&amp;"")&gt;0,"Sensitive account | ","")&amp;IF(AND(MAX(N(E451),N(F451))&gt;=Settings!$C$9,MOD(MAX(N(E451),N(F451)),Settings!$C$10)=0),"Round amount | ","")="","",LEFT(IF(K451="No","Does not balance | ","")&amp;IF(I451="","Not approved | ",IF(UPPER(TRIM(H451))=UPPER(TRIM(I451)),"Self-approved | ",""))&amp;IF(J451="","No support | ","")&amp;IF(WEEKDAY(B451,2)&gt;5,"Weekend posting | ","")&amp;IF(COUNTIF(Settings!$A$14:$A$43,B451)&gt;0,"Holiday posting | ","")&amp;IF(B451&gt;Settings!$C$8,"Posted after close | ","")&amp;IF(OR(B451&lt;Settings!$C$6,B451&gt;Settings!$C$7),"Outside period | ","")&amp;IF(COUNTIF(Settings!$E$14:$E$43,C451&amp;"")&gt;0,"Sensitive account | ","")&amp;IF(AND(MAX(N(E451),N(F451))&gt;=Settings!$C$9,MOD(MAX(N(E451),N(F451)),Settings!$C$10)=0),"Round amount | ",""),LEN(IF(K451="No","Does not balance | ","")&amp;IF(I451="","Not approved | ",IF(UPPER(TRIM(H451))=UPPER(TRIM(I451)),"Self-approved | ",""))&amp;IF(J451="","No support | ","")&amp;IF(WEEKDAY(B451,2)&gt;5,"Weekend posting | ","")&amp;IF(COUNTIF(Settings!$A$14:$A$43,B451)&gt;0,"Holiday posting | ","")&amp;IF(B451&gt;Settings!$C$8,"Posted after close | ","")&amp;IF(OR(B451&lt;Settings!$C$6,B451&gt;Settings!$C$7),"Outside period | ","")&amp;IF(COUNTIF(Settings!$E$14:$E$43,C451&amp;"")&gt;0,"Sensitive account | ","")&amp;IF(AND(MAX(N(E451),N(F451))&gt;=Settings!$C$9,MOD(MAX(N(E451),N(F451)),Settings!$C$10)=0),"Round amount | ",""))-3)))</f>
        <v/>
      </c>
      <c r="M451" s="21" t="str">
        <f aca="false">IF(A451="","",IF(COUNTIF($A$9:A451,A451)=1,MAX($M$8:M450)+1,""))</f>
        <v/>
      </c>
    </row>
    <row r="452" customFormat="false" ht="15" hidden="false" customHeight="false" outlineLevel="0" collapsed="false">
      <c r="A452" s="8"/>
      <c r="B452" s="17"/>
      <c r="C452" s="19"/>
      <c r="D452" s="8"/>
      <c r="E452" s="18"/>
      <c r="F452" s="18"/>
      <c r="G452" s="8"/>
      <c r="H452" s="8"/>
      <c r="I452" s="8"/>
      <c r="J452" s="8"/>
      <c r="K452" s="10" t="str">
        <f aca="false">IF(A452="","",IF(ABS(SUMIFS($E$9:$E$2008,$A$9:$A$2008,A452)-SUMIFS($F$9:$F$2008,$A$9:$A$2008,A452))&lt;0.5,"Yes","No"))</f>
        <v/>
      </c>
      <c r="L452" s="10" t="str">
        <f aca="false">IF(A452="","",IF(IF(K452="No","Does not balance | ","")&amp;IF(I452="","Not approved | ",IF(UPPER(TRIM(H452))=UPPER(TRIM(I452)),"Self-approved | ",""))&amp;IF(J452="","No support | ","")&amp;IF(WEEKDAY(B452,2)&gt;5,"Weekend posting | ","")&amp;IF(COUNTIF(Settings!$A$14:$A$43,B452)&gt;0,"Holiday posting | ","")&amp;IF(B452&gt;Settings!$C$8,"Posted after close | ","")&amp;IF(OR(B452&lt;Settings!$C$6,B452&gt;Settings!$C$7),"Outside period | ","")&amp;IF(COUNTIF(Settings!$E$14:$E$43,C452&amp;"")&gt;0,"Sensitive account | ","")&amp;IF(AND(MAX(N(E452),N(F452))&gt;=Settings!$C$9,MOD(MAX(N(E452),N(F452)),Settings!$C$10)=0),"Round amount | ","")="","",LEFT(IF(K452="No","Does not balance | ","")&amp;IF(I452="","Not approved | ",IF(UPPER(TRIM(H452))=UPPER(TRIM(I452)),"Self-approved | ",""))&amp;IF(J452="","No support | ","")&amp;IF(WEEKDAY(B452,2)&gt;5,"Weekend posting | ","")&amp;IF(COUNTIF(Settings!$A$14:$A$43,B452)&gt;0,"Holiday posting | ","")&amp;IF(B452&gt;Settings!$C$8,"Posted after close | ","")&amp;IF(OR(B452&lt;Settings!$C$6,B452&gt;Settings!$C$7),"Outside period | ","")&amp;IF(COUNTIF(Settings!$E$14:$E$43,C452&amp;"")&gt;0,"Sensitive account | ","")&amp;IF(AND(MAX(N(E452),N(F452))&gt;=Settings!$C$9,MOD(MAX(N(E452),N(F452)),Settings!$C$10)=0),"Round amount | ",""),LEN(IF(K452="No","Does not balance | ","")&amp;IF(I452="","Not approved | ",IF(UPPER(TRIM(H452))=UPPER(TRIM(I452)),"Self-approved | ",""))&amp;IF(J452="","No support | ","")&amp;IF(WEEKDAY(B452,2)&gt;5,"Weekend posting | ","")&amp;IF(COUNTIF(Settings!$A$14:$A$43,B452)&gt;0,"Holiday posting | ","")&amp;IF(B452&gt;Settings!$C$8,"Posted after close | ","")&amp;IF(OR(B452&lt;Settings!$C$6,B452&gt;Settings!$C$7),"Outside period | ","")&amp;IF(COUNTIF(Settings!$E$14:$E$43,C452&amp;"")&gt;0,"Sensitive account | ","")&amp;IF(AND(MAX(N(E452),N(F452))&gt;=Settings!$C$9,MOD(MAX(N(E452),N(F452)),Settings!$C$10)=0),"Round amount | ",""))-3)))</f>
        <v/>
      </c>
      <c r="M452" s="21" t="str">
        <f aca="false">IF(A452="","",IF(COUNTIF($A$9:A452,A452)=1,MAX($M$8:M451)+1,""))</f>
        <v/>
      </c>
    </row>
    <row r="453" customFormat="false" ht="15" hidden="false" customHeight="false" outlineLevel="0" collapsed="false">
      <c r="A453" s="8"/>
      <c r="B453" s="17"/>
      <c r="C453" s="19"/>
      <c r="D453" s="8"/>
      <c r="E453" s="18"/>
      <c r="F453" s="18"/>
      <c r="G453" s="8"/>
      <c r="H453" s="8"/>
      <c r="I453" s="8"/>
      <c r="J453" s="8"/>
      <c r="K453" s="10" t="str">
        <f aca="false">IF(A453="","",IF(ABS(SUMIFS($E$9:$E$2008,$A$9:$A$2008,A453)-SUMIFS($F$9:$F$2008,$A$9:$A$2008,A453))&lt;0.5,"Yes","No"))</f>
        <v/>
      </c>
      <c r="L453" s="10" t="str">
        <f aca="false">IF(A453="","",IF(IF(K453="No","Does not balance | ","")&amp;IF(I453="","Not approved | ",IF(UPPER(TRIM(H453))=UPPER(TRIM(I453)),"Self-approved | ",""))&amp;IF(J453="","No support | ","")&amp;IF(WEEKDAY(B453,2)&gt;5,"Weekend posting | ","")&amp;IF(COUNTIF(Settings!$A$14:$A$43,B453)&gt;0,"Holiday posting | ","")&amp;IF(B453&gt;Settings!$C$8,"Posted after close | ","")&amp;IF(OR(B453&lt;Settings!$C$6,B453&gt;Settings!$C$7),"Outside period | ","")&amp;IF(COUNTIF(Settings!$E$14:$E$43,C453&amp;"")&gt;0,"Sensitive account | ","")&amp;IF(AND(MAX(N(E453),N(F453))&gt;=Settings!$C$9,MOD(MAX(N(E453),N(F453)),Settings!$C$10)=0),"Round amount | ","")="","",LEFT(IF(K453="No","Does not balance | ","")&amp;IF(I453="","Not approved | ",IF(UPPER(TRIM(H453))=UPPER(TRIM(I453)),"Self-approved | ",""))&amp;IF(J453="","No support | ","")&amp;IF(WEEKDAY(B453,2)&gt;5,"Weekend posting | ","")&amp;IF(COUNTIF(Settings!$A$14:$A$43,B453)&gt;0,"Holiday posting | ","")&amp;IF(B453&gt;Settings!$C$8,"Posted after close | ","")&amp;IF(OR(B453&lt;Settings!$C$6,B453&gt;Settings!$C$7),"Outside period | ","")&amp;IF(COUNTIF(Settings!$E$14:$E$43,C453&amp;"")&gt;0,"Sensitive account | ","")&amp;IF(AND(MAX(N(E453),N(F453))&gt;=Settings!$C$9,MOD(MAX(N(E453),N(F453)),Settings!$C$10)=0),"Round amount | ",""),LEN(IF(K453="No","Does not balance | ","")&amp;IF(I453="","Not approved | ",IF(UPPER(TRIM(H453))=UPPER(TRIM(I453)),"Self-approved | ",""))&amp;IF(J453="","No support | ","")&amp;IF(WEEKDAY(B453,2)&gt;5,"Weekend posting | ","")&amp;IF(COUNTIF(Settings!$A$14:$A$43,B453)&gt;0,"Holiday posting | ","")&amp;IF(B453&gt;Settings!$C$8,"Posted after close | ","")&amp;IF(OR(B453&lt;Settings!$C$6,B453&gt;Settings!$C$7),"Outside period | ","")&amp;IF(COUNTIF(Settings!$E$14:$E$43,C453&amp;"")&gt;0,"Sensitive account | ","")&amp;IF(AND(MAX(N(E453),N(F453))&gt;=Settings!$C$9,MOD(MAX(N(E453),N(F453)),Settings!$C$10)=0),"Round amount | ",""))-3)))</f>
        <v/>
      </c>
      <c r="M453" s="21" t="str">
        <f aca="false">IF(A453="","",IF(COUNTIF($A$9:A453,A453)=1,MAX($M$8:M452)+1,""))</f>
        <v/>
      </c>
    </row>
    <row r="454" customFormat="false" ht="15" hidden="false" customHeight="false" outlineLevel="0" collapsed="false">
      <c r="A454" s="8"/>
      <c r="B454" s="17"/>
      <c r="C454" s="19"/>
      <c r="D454" s="8"/>
      <c r="E454" s="18"/>
      <c r="F454" s="18"/>
      <c r="G454" s="8"/>
      <c r="H454" s="8"/>
      <c r="I454" s="8"/>
      <c r="J454" s="8"/>
      <c r="K454" s="10" t="str">
        <f aca="false">IF(A454="","",IF(ABS(SUMIFS($E$9:$E$2008,$A$9:$A$2008,A454)-SUMIFS($F$9:$F$2008,$A$9:$A$2008,A454))&lt;0.5,"Yes","No"))</f>
        <v/>
      </c>
      <c r="L454" s="10" t="str">
        <f aca="false">IF(A454="","",IF(IF(K454="No","Does not balance | ","")&amp;IF(I454="","Not approved | ",IF(UPPER(TRIM(H454))=UPPER(TRIM(I454)),"Self-approved | ",""))&amp;IF(J454="","No support | ","")&amp;IF(WEEKDAY(B454,2)&gt;5,"Weekend posting | ","")&amp;IF(COUNTIF(Settings!$A$14:$A$43,B454)&gt;0,"Holiday posting | ","")&amp;IF(B454&gt;Settings!$C$8,"Posted after close | ","")&amp;IF(OR(B454&lt;Settings!$C$6,B454&gt;Settings!$C$7),"Outside period | ","")&amp;IF(COUNTIF(Settings!$E$14:$E$43,C454&amp;"")&gt;0,"Sensitive account | ","")&amp;IF(AND(MAX(N(E454),N(F454))&gt;=Settings!$C$9,MOD(MAX(N(E454),N(F454)),Settings!$C$10)=0),"Round amount | ","")="","",LEFT(IF(K454="No","Does not balance | ","")&amp;IF(I454="","Not approved | ",IF(UPPER(TRIM(H454))=UPPER(TRIM(I454)),"Self-approved | ",""))&amp;IF(J454="","No support | ","")&amp;IF(WEEKDAY(B454,2)&gt;5,"Weekend posting | ","")&amp;IF(COUNTIF(Settings!$A$14:$A$43,B454)&gt;0,"Holiday posting | ","")&amp;IF(B454&gt;Settings!$C$8,"Posted after close | ","")&amp;IF(OR(B454&lt;Settings!$C$6,B454&gt;Settings!$C$7),"Outside period | ","")&amp;IF(COUNTIF(Settings!$E$14:$E$43,C454&amp;"")&gt;0,"Sensitive account | ","")&amp;IF(AND(MAX(N(E454),N(F454))&gt;=Settings!$C$9,MOD(MAX(N(E454),N(F454)),Settings!$C$10)=0),"Round amount | ",""),LEN(IF(K454="No","Does not balance | ","")&amp;IF(I454="","Not approved | ",IF(UPPER(TRIM(H454))=UPPER(TRIM(I454)),"Self-approved | ",""))&amp;IF(J454="","No support | ","")&amp;IF(WEEKDAY(B454,2)&gt;5,"Weekend posting | ","")&amp;IF(COUNTIF(Settings!$A$14:$A$43,B454)&gt;0,"Holiday posting | ","")&amp;IF(B454&gt;Settings!$C$8,"Posted after close | ","")&amp;IF(OR(B454&lt;Settings!$C$6,B454&gt;Settings!$C$7),"Outside period | ","")&amp;IF(COUNTIF(Settings!$E$14:$E$43,C454&amp;"")&gt;0,"Sensitive account | ","")&amp;IF(AND(MAX(N(E454),N(F454))&gt;=Settings!$C$9,MOD(MAX(N(E454),N(F454)),Settings!$C$10)=0),"Round amount | ",""))-3)))</f>
        <v/>
      </c>
      <c r="M454" s="21" t="str">
        <f aca="false">IF(A454="","",IF(COUNTIF($A$9:A454,A454)=1,MAX($M$8:M453)+1,""))</f>
        <v/>
      </c>
    </row>
    <row r="455" customFormat="false" ht="15" hidden="false" customHeight="false" outlineLevel="0" collapsed="false">
      <c r="A455" s="8"/>
      <c r="B455" s="17"/>
      <c r="C455" s="19"/>
      <c r="D455" s="8"/>
      <c r="E455" s="18"/>
      <c r="F455" s="18"/>
      <c r="G455" s="8"/>
      <c r="H455" s="8"/>
      <c r="I455" s="8"/>
      <c r="J455" s="8"/>
      <c r="K455" s="10" t="str">
        <f aca="false">IF(A455="","",IF(ABS(SUMIFS($E$9:$E$2008,$A$9:$A$2008,A455)-SUMIFS($F$9:$F$2008,$A$9:$A$2008,A455))&lt;0.5,"Yes","No"))</f>
        <v/>
      </c>
      <c r="L455" s="10" t="str">
        <f aca="false">IF(A455="","",IF(IF(K455="No","Does not balance | ","")&amp;IF(I455="","Not approved | ",IF(UPPER(TRIM(H455))=UPPER(TRIM(I455)),"Self-approved | ",""))&amp;IF(J455="","No support | ","")&amp;IF(WEEKDAY(B455,2)&gt;5,"Weekend posting | ","")&amp;IF(COUNTIF(Settings!$A$14:$A$43,B455)&gt;0,"Holiday posting | ","")&amp;IF(B455&gt;Settings!$C$8,"Posted after close | ","")&amp;IF(OR(B455&lt;Settings!$C$6,B455&gt;Settings!$C$7),"Outside period | ","")&amp;IF(COUNTIF(Settings!$E$14:$E$43,C455&amp;"")&gt;0,"Sensitive account | ","")&amp;IF(AND(MAX(N(E455),N(F455))&gt;=Settings!$C$9,MOD(MAX(N(E455),N(F455)),Settings!$C$10)=0),"Round amount | ","")="","",LEFT(IF(K455="No","Does not balance | ","")&amp;IF(I455="","Not approved | ",IF(UPPER(TRIM(H455))=UPPER(TRIM(I455)),"Self-approved | ",""))&amp;IF(J455="","No support | ","")&amp;IF(WEEKDAY(B455,2)&gt;5,"Weekend posting | ","")&amp;IF(COUNTIF(Settings!$A$14:$A$43,B455)&gt;0,"Holiday posting | ","")&amp;IF(B455&gt;Settings!$C$8,"Posted after close | ","")&amp;IF(OR(B455&lt;Settings!$C$6,B455&gt;Settings!$C$7),"Outside period | ","")&amp;IF(COUNTIF(Settings!$E$14:$E$43,C455&amp;"")&gt;0,"Sensitive account | ","")&amp;IF(AND(MAX(N(E455),N(F455))&gt;=Settings!$C$9,MOD(MAX(N(E455),N(F455)),Settings!$C$10)=0),"Round amount | ",""),LEN(IF(K455="No","Does not balance | ","")&amp;IF(I455="","Not approved | ",IF(UPPER(TRIM(H455))=UPPER(TRIM(I455)),"Self-approved | ",""))&amp;IF(J455="","No support | ","")&amp;IF(WEEKDAY(B455,2)&gt;5,"Weekend posting | ","")&amp;IF(COUNTIF(Settings!$A$14:$A$43,B455)&gt;0,"Holiday posting | ","")&amp;IF(B455&gt;Settings!$C$8,"Posted after close | ","")&amp;IF(OR(B455&lt;Settings!$C$6,B455&gt;Settings!$C$7),"Outside period | ","")&amp;IF(COUNTIF(Settings!$E$14:$E$43,C455&amp;"")&gt;0,"Sensitive account | ","")&amp;IF(AND(MAX(N(E455),N(F455))&gt;=Settings!$C$9,MOD(MAX(N(E455),N(F455)),Settings!$C$10)=0),"Round amount | ",""))-3)))</f>
        <v/>
      </c>
      <c r="M455" s="21" t="str">
        <f aca="false">IF(A455="","",IF(COUNTIF($A$9:A455,A455)=1,MAX($M$8:M454)+1,""))</f>
        <v/>
      </c>
    </row>
    <row r="456" customFormat="false" ht="15" hidden="false" customHeight="false" outlineLevel="0" collapsed="false">
      <c r="A456" s="8"/>
      <c r="B456" s="17"/>
      <c r="C456" s="19"/>
      <c r="D456" s="8"/>
      <c r="E456" s="18"/>
      <c r="F456" s="18"/>
      <c r="G456" s="8"/>
      <c r="H456" s="8"/>
      <c r="I456" s="8"/>
      <c r="J456" s="8"/>
      <c r="K456" s="10" t="str">
        <f aca="false">IF(A456="","",IF(ABS(SUMIFS($E$9:$E$2008,$A$9:$A$2008,A456)-SUMIFS($F$9:$F$2008,$A$9:$A$2008,A456))&lt;0.5,"Yes","No"))</f>
        <v/>
      </c>
      <c r="L456" s="10" t="str">
        <f aca="false">IF(A456="","",IF(IF(K456="No","Does not balance | ","")&amp;IF(I456="","Not approved | ",IF(UPPER(TRIM(H456))=UPPER(TRIM(I456)),"Self-approved | ",""))&amp;IF(J456="","No support | ","")&amp;IF(WEEKDAY(B456,2)&gt;5,"Weekend posting | ","")&amp;IF(COUNTIF(Settings!$A$14:$A$43,B456)&gt;0,"Holiday posting | ","")&amp;IF(B456&gt;Settings!$C$8,"Posted after close | ","")&amp;IF(OR(B456&lt;Settings!$C$6,B456&gt;Settings!$C$7),"Outside period | ","")&amp;IF(COUNTIF(Settings!$E$14:$E$43,C456&amp;"")&gt;0,"Sensitive account | ","")&amp;IF(AND(MAX(N(E456),N(F456))&gt;=Settings!$C$9,MOD(MAX(N(E456),N(F456)),Settings!$C$10)=0),"Round amount | ","")="","",LEFT(IF(K456="No","Does not balance | ","")&amp;IF(I456="","Not approved | ",IF(UPPER(TRIM(H456))=UPPER(TRIM(I456)),"Self-approved | ",""))&amp;IF(J456="","No support | ","")&amp;IF(WEEKDAY(B456,2)&gt;5,"Weekend posting | ","")&amp;IF(COUNTIF(Settings!$A$14:$A$43,B456)&gt;0,"Holiday posting | ","")&amp;IF(B456&gt;Settings!$C$8,"Posted after close | ","")&amp;IF(OR(B456&lt;Settings!$C$6,B456&gt;Settings!$C$7),"Outside period | ","")&amp;IF(COUNTIF(Settings!$E$14:$E$43,C456&amp;"")&gt;0,"Sensitive account | ","")&amp;IF(AND(MAX(N(E456),N(F456))&gt;=Settings!$C$9,MOD(MAX(N(E456),N(F456)),Settings!$C$10)=0),"Round amount | ",""),LEN(IF(K456="No","Does not balance | ","")&amp;IF(I456="","Not approved | ",IF(UPPER(TRIM(H456))=UPPER(TRIM(I456)),"Self-approved | ",""))&amp;IF(J456="","No support | ","")&amp;IF(WEEKDAY(B456,2)&gt;5,"Weekend posting | ","")&amp;IF(COUNTIF(Settings!$A$14:$A$43,B456)&gt;0,"Holiday posting | ","")&amp;IF(B456&gt;Settings!$C$8,"Posted after close | ","")&amp;IF(OR(B456&lt;Settings!$C$6,B456&gt;Settings!$C$7),"Outside period | ","")&amp;IF(COUNTIF(Settings!$E$14:$E$43,C456&amp;"")&gt;0,"Sensitive account | ","")&amp;IF(AND(MAX(N(E456),N(F456))&gt;=Settings!$C$9,MOD(MAX(N(E456),N(F456)),Settings!$C$10)=0),"Round amount | ",""))-3)))</f>
        <v/>
      </c>
      <c r="M456" s="21" t="str">
        <f aca="false">IF(A456="","",IF(COUNTIF($A$9:A456,A456)=1,MAX($M$8:M455)+1,""))</f>
        <v/>
      </c>
    </row>
    <row r="457" customFormat="false" ht="15" hidden="false" customHeight="false" outlineLevel="0" collapsed="false">
      <c r="A457" s="8"/>
      <c r="B457" s="17"/>
      <c r="C457" s="19"/>
      <c r="D457" s="8"/>
      <c r="E457" s="18"/>
      <c r="F457" s="18"/>
      <c r="G457" s="8"/>
      <c r="H457" s="8"/>
      <c r="I457" s="8"/>
      <c r="J457" s="8"/>
      <c r="K457" s="10" t="str">
        <f aca="false">IF(A457="","",IF(ABS(SUMIFS($E$9:$E$2008,$A$9:$A$2008,A457)-SUMIFS($F$9:$F$2008,$A$9:$A$2008,A457))&lt;0.5,"Yes","No"))</f>
        <v/>
      </c>
      <c r="L457" s="10" t="str">
        <f aca="false">IF(A457="","",IF(IF(K457="No","Does not balance | ","")&amp;IF(I457="","Not approved | ",IF(UPPER(TRIM(H457))=UPPER(TRIM(I457)),"Self-approved | ",""))&amp;IF(J457="","No support | ","")&amp;IF(WEEKDAY(B457,2)&gt;5,"Weekend posting | ","")&amp;IF(COUNTIF(Settings!$A$14:$A$43,B457)&gt;0,"Holiday posting | ","")&amp;IF(B457&gt;Settings!$C$8,"Posted after close | ","")&amp;IF(OR(B457&lt;Settings!$C$6,B457&gt;Settings!$C$7),"Outside period | ","")&amp;IF(COUNTIF(Settings!$E$14:$E$43,C457&amp;"")&gt;0,"Sensitive account | ","")&amp;IF(AND(MAX(N(E457),N(F457))&gt;=Settings!$C$9,MOD(MAX(N(E457),N(F457)),Settings!$C$10)=0),"Round amount | ","")="","",LEFT(IF(K457="No","Does not balance | ","")&amp;IF(I457="","Not approved | ",IF(UPPER(TRIM(H457))=UPPER(TRIM(I457)),"Self-approved | ",""))&amp;IF(J457="","No support | ","")&amp;IF(WEEKDAY(B457,2)&gt;5,"Weekend posting | ","")&amp;IF(COUNTIF(Settings!$A$14:$A$43,B457)&gt;0,"Holiday posting | ","")&amp;IF(B457&gt;Settings!$C$8,"Posted after close | ","")&amp;IF(OR(B457&lt;Settings!$C$6,B457&gt;Settings!$C$7),"Outside period | ","")&amp;IF(COUNTIF(Settings!$E$14:$E$43,C457&amp;"")&gt;0,"Sensitive account | ","")&amp;IF(AND(MAX(N(E457),N(F457))&gt;=Settings!$C$9,MOD(MAX(N(E457),N(F457)),Settings!$C$10)=0),"Round amount | ",""),LEN(IF(K457="No","Does not balance | ","")&amp;IF(I457="","Not approved | ",IF(UPPER(TRIM(H457))=UPPER(TRIM(I457)),"Self-approved | ",""))&amp;IF(J457="","No support | ","")&amp;IF(WEEKDAY(B457,2)&gt;5,"Weekend posting | ","")&amp;IF(COUNTIF(Settings!$A$14:$A$43,B457)&gt;0,"Holiday posting | ","")&amp;IF(B457&gt;Settings!$C$8,"Posted after close | ","")&amp;IF(OR(B457&lt;Settings!$C$6,B457&gt;Settings!$C$7),"Outside period | ","")&amp;IF(COUNTIF(Settings!$E$14:$E$43,C457&amp;"")&gt;0,"Sensitive account | ","")&amp;IF(AND(MAX(N(E457),N(F457))&gt;=Settings!$C$9,MOD(MAX(N(E457),N(F457)),Settings!$C$10)=0),"Round amount | ",""))-3)))</f>
        <v/>
      </c>
      <c r="M457" s="21" t="str">
        <f aca="false">IF(A457="","",IF(COUNTIF($A$9:A457,A457)=1,MAX($M$8:M456)+1,""))</f>
        <v/>
      </c>
    </row>
    <row r="458" customFormat="false" ht="15" hidden="false" customHeight="false" outlineLevel="0" collapsed="false">
      <c r="A458" s="8"/>
      <c r="B458" s="17"/>
      <c r="C458" s="19"/>
      <c r="D458" s="8"/>
      <c r="E458" s="18"/>
      <c r="F458" s="18"/>
      <c r="G458" s="8"/>
      <c r="H458" s="8"/>
      <c r="I458" s="8"/>
      <c r="J458" s="8"/>
      <c r="K458" s="10" t="str">
        <f aca="false">IF(A458="","",IF(ABS(SUMIFS($E$9:$E$2008,$A$9:$A$2008,A458)-SUMIFS($F$9:$F$2008,$A$9:$A$2008,A458))&lt;0.5,"Yes","No"))</f>
        <v/>
      </c>
      <c r="L458" s="10" t="str">
        <f aca="false">IF(A458="","",IF(IF(K458="No","Does not balance | ","")&amp;IF(I458="","Not approved | ",IF(UPPER(TRIM(H458))=UPPER(TRIM(I458)),"Self-approved | ",""))&amp;IF(J458="","No support | ","")&amp;IF(WEEKDAY(B458,2)&gt;5,"Weekend posting | ","")&amp;IF(COUNTIF(Settings!$A$14:$A$43,B458)&gt;0,"Holiday posting | ","")&amp;IF(B458&gt;Settings!$C$8,"Posted after close | ","")&amp;IF(OR(B458&lt;Settings!$C$6,B458&gt;Settings!$C$7),"Outside period | ","")&amp;IF(COUNTIF(Settings!$E$14:$E$43,C458&amp;"")&gt;0,"Sensitive account | ","")&amp;IF(AND(MAX(N(E458),N(F458))&gt;=Settings!$C$9,MOD(MAX(N(E458),N(F458)),Settings!$C$10)=0),"Round amount | ","")="","",LEFT(IF(K458="No","Does not balance | ","")&amp;IF(I458="","Not approved | ",IF(UPPER(TRIM(H458))=UPPER(TRIM(I458)),"Self-approved | ",""))&amp;IF(J458="","No support | ","")&amp;IF(WEEKDAY(B458,2)&gt;5,"Weekend posting | ","")&amp;IF(COUNTIF(Settings!$A$14:$A$43,B458)&gt;0,"Holiday posting | ","")&amp;IF(B458&gt;Settings!$C$8,"Posted after close | ","")&amp;IF(OR(B458&lt;Settings!$C$6,B458&gt;Settings!$C$7),"Outside period | ","")&amp;IF(COUNTIF(Settings!$E$14:$E$43,C458&amp;"")&gt;0,"Sensitive account | ","")&amp;IF(AND(MAX(N(E458),N(F458))&gt;=Settings!$C$9,MOD(MAX(N(E458),N(F458)),Settings!$C$10)=0),"Round amount | ",""),LEN(IF(K458="No","Does not balance | ","")&amp;IF(I458="","Not approved | ",IF(UPPER(TRIM(H458))=UPPER(TRIM(I458)),"Self-approved | ",""))&amp;IF(J458="","No support | ","")&amp;IF(WEEKDAY(B458,2)&gt;5,"Weekend posting | ","")&amp;IF(COUNTIF(Settings!$A$14:$A$43,B458)&gt;0,"Holiday posting | ","")&amp;IF(B458&gt;Settings!$C$8,"Posted after close | ","")&amp;IF(OR(B458&lt;Settings!$C$6,B458&gt;Settings!$C$7),"Outside period | ","")&amp;IF(COUNTIF(Settings!$E$14:$E$43,C458&amp;"")&gt;0,"Sensitive account | ","")&amp;IF(AND(MAX(N(E458),N(F458))&gt;=Settings!$C$9,MOD(MAX(N(E458),N(F458)),Settings!$C$10)=0),"Round amount | ",""))-3)))</f>
        <v/>
      </c>
      <c r="M458" s="21" t="str">
        <f aca="false">IF(A458="","",IF(COUNTIF($A$9:A458,A458)=1,MAX($M$8:M457)+1,""))</f>
        <v/>
      </c>
    </row>
    <row r="459" customFormat="false" ht="15" hidden="false" customHeight="false" outlineLevel="0" collapsed="false">
      <c r="A459" s="8"/>
      <c r="B459" s="17"/>
      <c r="C459" s="19"/>
      <c r="D459" s="8"/>
      <c r="E459" s="18"/>
      <c r="F459" s="18"/>
      <c r="G459" s="8"/>
      <c r="H459" s="8"/>
      <c r="I459" s="8"/>
      <c r="J459" s="8"/>
      <c r="K459" s="10" t="str">
        <f aca="false">IF(A459="","",IF(ABS(SUMIFS($E$9:$E$2008,$A$9:$A$2008,A459)-SUMIFS($F$9:$F$2008,$A$9:$A$2008,A459))&lt;0.5,"Yes","No"))</f>
        <v/>
      </c>
      <c r="L459" s="10" t="str">
        <f aca="false">IF(A459="","",IF(IF(K459="No","Does not balance | ","")&amp;IF(I459="","Not approved | ",IF(UPPER(TRIM(H459))=UPPER(TRIM(I459)),"Self-approved | ",""))&amp;IF(J459="","No support | ","")&amp;IF(WEEKDAY(B459,2)&gt;5,"Weekend posting | ","")&amp;IF(COUNTIF(Settings!$A$14:$A$43,B459)&gt;0,"Holiday posting | ","")&amp;IF(B459&gt;Settings!$C$8,"Posted after close | ","")&amp;IF(OR(B459&lt;Settings!$C$6,B459&gt;Settings!$C$7),"Outside period | ","")&amp;IF(COUNTIF(Settings!$E$14:$E$43,C459&amp;"")&gt;0,"Sensitive account | ","")&amp;IF(AND(MAX(N(E459),N(F459))&gt;=Settings!$C$9,MOD(MAX(N(E459),N(F459)),Settings!$C$10)=0),"Round amount | ","")="","",LEFT(IF(K459="No","Does not balance | ","")&amp;IF(I459="","Not approved | ",IF(UPPER(TRIM(H459))=UPPER(TRIM(I459)),"Self-approved | ",""))&amp;IF(J459="","No support | ","")&amp;IF(WEEKDAY(B459,2)&gt;5,"Weekend posting | ","")&amp;IF(COUNTIF(Settings!$A$14:$A$43,B459)&gt;0,"Holiday posting | ","")&amp;IF(B459&gt;Settings!$C$8,"Posted after close | ","")&amp;IF(OR(B459&lt;Settings!$C$6,B459&gt;Settings!$C$7),"Outside period | ","")&amp;IF(COUNTIF(Settings!$E$14:$E$43,C459&amp;"")&gt;0,"Sensitive account | ","")&amp;IF(AND(MAX(N(E459),N(F459))&gt;=Settings!$C$9,MOD(MAX(N(E459),N(F459)),Settings!$C$10)=0),"Round amount | ",""),LEN(IF(K459="No","Does not balance | ","")&amp;IF(I459="","Not approved | ",IF(UPPER(TRIM(H459))=UPPER(TRIM(I459)),"Self-approved | ",""))&amp;IF(J459="","No support | ","")&amp;IF(WEEKDAY(B459,2)&gt;5,"Weekend posting | ","")&amp;IF(COUNTIF(Settings!$A$14:$A$43,B459)&gt;0,"Holiday posting | ","")&amp;IF(B459&gt;Settings!$C$8,"Posted after close | ","")&amp;IF(OR(B459&lt;Settings!$C$6,B459&gt;Settings!$C$7),"Outside period | ","")&amp;IF(COUNTIF(Settings!$E$14:$E$43,C459&amp;"")&gt;0,"Sensitive account | ","")&amp;IF(AND(MAX(N(E459),N(F459))&gt;=Settings!$C$9,MOD(MAX(N(E459),N(F459)),Settings!$C$10)=0),"Round amount | ",""))-3)))</f>
        <v/>
      </c>
      <c r="M459" s="21" t="str">
        <f aca="false">IF(A459="","",IF(COUNTIF($A$9:A459,A459)=1,MAX($M$8:M458)+1,""))</f>
        <v/>
      </c>
    </row>
    <row r="460" customFormat="false" ht="15" hidden="false" customHeight="false" outlineLevel="0" collapsed="false">
      <c r="A460" s="8"/>
      <c r="B460" s="17"/>
      <c r="C460" s="19"/>
      <c r="D460" s="8"/>
      <c r="E460" s="18"/>
      <c r="F460" s="18"/>
      <c r="G460" s="8"/>
      <c r="H460" s="8"/>
      <c r="I460" s="8"/>
      <c r="J460" s="8"/>
      <c r="K460" s="10" t="str">
        <f aca="false">IF(A460="","",IF(ABS(SUMIFS($E$9:$E$2008,$A$9:$A$2008,A460)-SUMIFS($F$9:$F$2008,$A$9:$A$2008,A460))&lt;0.5,"Yes","No"))</f>
        <v/>
      </c>
      <c r="L460" s="10" t="str">
        <f aca="false">IF(A460="","",IF(IF(K460="No","Does not balance | ","")&amp;IF(I460="","Not approved | ",IF(UPPER(TRIM(H460))=UPPER(TRIM(I460)),"Self-approved | ",""))&amp;IF(J460="","No support | ","")&amp;IF(WEEKDAY(B460,2)&gt;5,"Weekend posting | ","")&amp;IF(COUNTIF(Settings!$A$14:$A$43,B460)&gt;0,"Holiday posting | ","")&amp;IF(B460&gt;Settings!$C$8,"Posted after close | ","")&amp;IF(OR(B460&lt;Settings!$C$6,B460&gt;Settings!$C$7),"Outside period | ","")&amp;IF(COUNTIF(Settings!$E$14:$E$43,C460&amp;"")&gt;0,"Sensitive account | ","")&amp;IF(AND(MAX(N(E460),N(F460))&gt;=Settings!$C$9,MOD(MAX(N(E460),N(F460)),Settings!$C$10)=0),"Round amount | ","")="","",LEFT(IF(K460="No","Does not balance | ","")&amp;IF(I460="","Not approved | ",IF(UPPER(TRIM(H460))=UPPER(TRIM(I460)),"Self-approved | ",""))&amp;IF(J460="","No support | ","")&amp;IF(WEEKDAY(B460,2)&gt;5,"Weekend posting | ","")&amp;IF(COUNTIF(Settings!$A$14:$A$43,B460)&gt;0,"Holiday posting | ","")&amp;IF(B460&gt;Settings!$C$8,"Posted after close | ","")&amp;IF(OR(B460&lt;Settings!$C$6,B460&gt;Settings!$C$7),"Outside period | ","")&amp;IF(COUNTIF(Settings!$E$14:$E$43,C460&amp;"")&gt;0,"Sensitive account | ","")&amp;IF(AND(MAX(N(E460),N(F460))&gt;=Settings!$C$9,MOD(MAX(N(E460),N(F460)),Settings!$C$10)=0),"Round amount | ",""),LEN(IF(K460="No","Does not balance | ","")&amp;IF(I460="","Not approved | ",IF(UPPER(TRIM(H460))=UPPER(TRIM(I460)),"Self-approved | ",""))&amp;IF(J460="","No support | ","")&amp;IF(WEEKDAY(B460,2)&gt;5,"Weekend posting | ","")&amp;IF(COUNTIF(Settings!$A$14:$A$43,B460)&gt;0,"Holiday posting | ","")&amp;IF(B460&gt;Settings!$C$8,"Posted after close | ","")&amp;IF(OR(B460&lt;Settings!$C$6,B460&gt;Settings!$C$7),"Outside period | ","")&amp;IF(COUNTIF(Settings!$E$14:$E$43,C460&amp;"")&gt;0,"Sensitive account | ","")&amp;IF(AND(MAX(N(E460),N(F460))&gt;=Settings!$C$9,MOD(MAX(N(E460),N(F460)),Settings!$C$10)=0),"Round amount | ",""))-3)))</f>
        <v/>
      </c>
      <c r="M460" s="21" t="str">
        <f aca="false">IF(A460="","",IF(COUNTIF($A$9:A460,A460)=1,MAX($M$8:M459)+1,""))</f>
        <v/>
      </c>
    </row>
    <row r="461" customFormat="false" ht="15" hidden="false" customHeight="false" outlineLevel="0" collapsed="false">
      <c r="A461" s="8"/>
      <c r="B461" s="17"/>
      <c r="C461" s="19"/>
      <c r="D461" s="8"/>
      <c r="E461" s="18"/>
      <c r="F461" s="18"/>
      <c r="G461" s="8"/>
      <c r="H461" s="8"/>
      <c r="I461" s="8"/>
      <c r="J461" s="8"/>
      <c r="K461" s="10" t="str">
        <f aca="false">IF(A461="","",IF(ABS(SUMIFS($E$9:$E$2008,$A$9:$A$2008,A461)-SUMIFS($F$9:$F$2008,$A$9:$A$2008,A461))&lt;0.5,"Yes","No"))</f>
        <v/>
      </c>
      <c r="L461" s="10" t="str">
        <f aca="false">IF(A461="","",IF(IF(K461="No","Does not balance | ","")&amp;IF(I461="","Not approved | ",IF(UPPER(TRIM(H461))=UPPER(TRIM(I461)),"Self-approved | ",""))&amp;IF(J461="","No support | ","")&amp;IF(WEEKDAY(B461,2)&gt;5,"Weekend posting | ","")&amp;IF(COUNTIF(Settings!$A$14:$A$43,B461)&gt;0,"Holiday posting | ","")&amp;IF(B461&gt;Settings!$C$8,"Posted after close | ","")&amp;IF(OR(B461&lt;Settings!$C$6,B461&gt;Settings!$C$7),"Outside period | ","")&amp;IF(COUNTIF(Settings!$E$14:$E$43,C461&amp;"")&gt;0,"Sensitive account | ","")&amp;IF(AND(MAX(N(E461),N(F461))&gt;=Settings!$C$9,MOD(MAX(N(E461),N(F461)),Settings!$C$10)=0),"Round amount | ","")="","",LEFT(IF(K461="No","Does not balance | ","")&amp;IF(I461="","Not approved | ",IF(UPPER(TRIM(H461))=UPPER(TRIM(I461)),"Self-approved | ",""))&amp;IF(J461="","No support | ","")&amp;IF(WEEKDAY(B461,2)&gt;5,"Weekend posting | ","")&amp;IF(COUNTIF(Settings!$A$14:$A$43,B461)&gt;0,"Holiday posting | ","")&amp;IF(B461&gt;Settings!$C$8,"Posted after close | ","")&amp;IF(OR(B461&lt;Settings!$C$6,B461&gt;Settings!$C$7),"Outside period | ","")&amp;IF(COUNTIF(Settings!$E$14:$E$43,C461&amp;"")&gt;0,"Sensitive account | ","")&amp;IF(AND(MAX(N(E461),N(F461))&gt;=Settings!$C$9,MOD(MAX(N(E461),N(F461)),Settings!$C$10)=0),"Round amount | ",""),LEN(IF(K461="No","Does not balance | ","")&amp;IF(I461="","Not approved | ",IF(UPPER(TRIM(H461))=UPPER(TRIM(I461)),"Self-approved | ",""))&amp;IF(J461="","No support | ","")&amp;IF(WEEKDAY(B461,2)&gt;5,"Weekend posting | ","")&amp;IF(COUNTIF(Settings!$A$14:$A$43,B461)&gt;0,"Holiday posting | ","")&amp;IF(B461&gt;Settings!$C$8,"Posted after close | ","")&amp;IF(OR(B461&lt;Settings!$C$6,B461&gt;Settings!$C$7),"Outside period | ","")&amp;IF(COUNTIF(Settings!$E$14:$E$43,C461&amp;"")&gt;0,"Sensitive account | ","")&amp;IF(AND(MAX(N(E461),N(F461))&gt;=Settings!$C$9,MOD(MAX(N(E461),N(F461)),Settings!$C$10)=0),"Round amount | ",""))-3)))</f>
        <v/>
      </c>
      <c r="M461" s="21" t="str">
        <f aca="false">IF(A461="","",IF(COUNTIF($A$9:A461,A461)=1,MAX($M$8:M460)+1,""))</f>
        <v/>
      </c>
    </row>
    <row r="462" customFormat="false" ht="15" hidden="false" customHeight="false" outlineLevel="0" collapsed="false">
      <c r="A462" s="8"/>
      <c r="B462" s="17"/>
      <c r="C462" s="19"/>
      <c r="D462" s="8"/>
      <c r="E462" s="18"/>
      <c r="F462" s="18"/>
      <c r="G462" s="8"/>
      <c r="H462" s="8"/>
      <c r="I462" s="8"/>
      <c r="J462" s="8"/>
      <c r="K462" s="10" t="str">
        <f aca="false">IF(A462="","",IF(ABS(SUMIFS($E$9:$E$2008,$A$9:$A$2008,A462)-SUMIFS($F$9:$F$2008,$A$9:$A$2008,A462))&lt;0.5,"Yes","No"))</f>
        <v/>
      </c>
      <c r="L462" s="10" t="str">
        <f aca="false">IF(A462="","",IF(IF(K462="No","Does not balance | ","")&amp;IF(I462="","Not approved | ",IF(UPPER(TRIM(H462))=UPPER(TRIM(I462)),"Self-approved | ",""))&amp;IF(J462="","No support | ","")&amp;IF(WEEKDAY(B462,2)&gt;5,"Weekend posting | ","")&amp;IF(COUNTIF(Settings!$A$14:$A$43,B462)&gt;0,"Holiday posting | ","")&amp;IF(B462&gt;Settings!$C$8,"Posted after close | ","")&amp;IF(OR(B462&lt;Settings!$C$6,B462&gt;Settings!$C$7),"Outside period | ","")&amp;IF(COUNTIF(Settings!$E$14:$E$43,C462&amp;"")&gt;0,"Sensitive account | ","")&amp;IF(AND(MAX(N(E462),N(F462))&gt;=Settings!$C$9,MOD(MAX(N(E462),N(F462)),Settings!$C$10)=0),"Round amount | ","")="","",LEFT(IF(K462="No","Does not balance | ","")&amp;IF(I462="","Not approved | ",IF(UPPER(TRIM(H462))=UPPER(TRIM(I462)),"Self-approved | ",""))&amp;IF(J462="","No support | ","")&amp;IF(WEEKDAY(B462,2)&gt;5,"Weekend posting | ","")&amp;IF(COUNTIF(Settings!$A$14:$A$43,B462)&gt;0,"Holiday posting | ","")&amp;IF(B462&gt;Settings!$C$8,"Posted after close | ","")&amp;IF(OR(B462&lt;Settings!$C$6,B462&gt;Settings!$C$7),"Outside period | ","")&amp;IF(COUNTIF(Settings!$E$14:$E$43,C462&amp;"")&gt;0,"Sensitive account | ","")&amp;IF(AND(MAX(N(E462),N(F462))&gt;=Settings!$C$9,MOD(MAX(N(E462),N(F462)),Settings!$C$10)=0),"Round amount | ",""),LEN(IF(K462="No","Does not balance | ","")&amp;IF(I462="","Not approved | ",IF(UPPER(TRIM(H462))=UPPER(TRIM(I462)),"Self-approved | ",""))&amp;IF(J462="","No support | ","")&amp;IF(WEEKDAY(B462,2)&gt;5,"Weekend posting | ","")&amp;IF(COUNTIF(Settings!$A$14:$A$43,B462)&gt;0,"Holiday posting | ","")&amp;IF(B462&gt;Settings!$C$8,"Posted after close | ","")&amp;IF(OR(B462&lt;Settings!$C$6,B462&gt;Settings!$C$7),"Outside period | ","")&amp;IF(COUNTIF(Settings!$E$14:$E$43,C462&amp;"")&gt;0,"Sensitive account | ","")&amp;IF(AND(MAX(N(E462),N(F462))&gt;=Settings!$C$9,MOD(MAX(N(E462),N(F462)),Settings!$C$10)=0),"Round amount | ",""))-3)))</f>
        <v/>
      </c>
      <c r="M462" s="21" t="str">
        <f aca="false">IF(A462="","",IF(COUNTIF($A$9:A462,A462)=1,MAX($M$8:M461)+1,""))</f>
        <v/>
      </c>
    </row>
    <row r="463" customFormat="false" ht="15" hidden="false" customHeight="false" outlineLevel="0" collapsed="false">
      <c r="A463" s="8"/>
      <c r="B463" s="17"/>
      <c r="C463" s="19"/>
      <c r="D463" s="8"/>
      <c r="E463" s="18"/>
      <c r="F463" s="18"/>
      <c r="G463" s="8"/>
      <c r="H463" s="8"/>
      <c r="I463" s="8"/>
      <c r="J463" s="8"/>
      <c r="K463" s="10" t="str">
        <f aca="false">IF(A463="","",IF(ABS(SUMIFS($E$9:$E$2008,$A$9:$A$2008,A463)-SUMIFS($F$9:$F$2008,$A$9:$A$2008,A463))&lt;0.5,"Yes","No"))</f>
        <v/>
      </c>
      <c r="L463" s="10" t="str">
        <f aca="false">IF(A463="","",IF(IF(K463="No","Does not balance | ","")&amp;IF(I463="","Not approved | ",IF(UPPER(TRIM(H463))=UPPER(TRIM(I463)),"Self-approved | ",""))&amp;IF(J463="","No support | ","")&amp;IF(WEEKDAY(B463,2)&gt;5,"Weekend posting | ","")&amp;IF(COUNTIF(Settings!$A$14:$A$43,B463)&gt;0,"Holiday posting | ","")&amp;IF(B463&gt;Settings!$C$8,"Posted after close | ","")&amp;IF(OR(B463&lt;Settings!$C$6,B463&gt;Settings!$C$7),"Outside period | ","")&amp;IF(COUNTIF(Settings!$E$14:$E$43,C463&amp;"")&gt;0,"Sensitive account | ","")&amp;IF(AND(MAX(N(E463),N(F463))&gt;=Settings!$C$9,MOD(MAX(N(E463),N(F463)),Settings!$C$10)=0),"Round amount | ","")="","",LEFT(IF(K463="No","Does not balance | ","")&amp;IF(I463="","Not approved | ",IF(UPPER(TRIM(H463))=UPPER(TRIM(I463)),"Self-approved | ",""))&amp;IF(J463="","No support | ","")&amp;IF(WEEKDAY(B463,2)&gt;5,"Weekend posting | ","")&amp;IF(COUNTIF(Settings!$A$14:$A$43,B463)&gt;0,"Holiday posting | ","")&amp;IF(B463&gt;Settings!$C$8,"Posted after close | ","")&amp;IF(OR(B463&lt;Settings!$C$6,B463&gt;Settings!$C$7),"Outside period | ","")&amp;IF(COUNTIF(Settings!$E$14:$E$43,C463&amp;"")&gt;0,"Sensitive account | ","")&amp;IF(AND(MAX(N(E463),N(F463))&gt;=Settings!$C$9,MOD(MAX(N(E463),N(F463)),Settings!$C$10)=0),"Round amount | ",""),LEN(IF(K463="No","Does not balance | ","")&amp;IF(I463="","Not approved | ",IF(UPPER(TRIM(H463))=UPPER(TRIM(I463)),"Self-approved | ",""))&amp;IF(J463="","No support | ","")&amp;IF(WEEKDAY(B463,2)&gt;5,"Weekend posting | ","")&amp;IF(COUNTIF(Settings!$A$14:$A$43,B463)&gt;0,"Holiday posting | ","")&amp;IF(B463&gt;Settings!$C$8,"Posted after close | ","")&amp;IF(OR(B463&lt;Settings!$C$6,B463&gt;Settings!$C$7),"Outside period | ","")&amp;IF(COUNTIF(Settings!$E$14:$E$43,C463&amp;"")&gt;0,"Sensitive account | ","")&amp;IF(AND(MAX(N(E463),N(F463))&gt;=Settings!$C$9,MOD(MAX(N(E463),N(F463)),Settings!$C$10)=0),"Round amount | ",""))-3)))</f>
        <v/>
      </c>
      <c r="M463" s="21" t="str">
        <f aca="false">IF(A463="","",IF(COUNTIF($A$9:A463,A463)=1,MAX($M$8:M462)+1,""))</f>
        <v/>
      </c>
    </row>
    <row r="464" customFormat="false" ht="15" hidden="false" customHeight="false" outlineLevel="0" collapsed="false">
      <c r="A464" s="8"/>
      <c r="B464" s="17"/>
      <c r="C464" s="19"/>
      <c r="D464" s="8"/>
      <c r="E464" s="18"/>
      <c r="F464" s="18"/>
      <c r="G464" s="8"/>
      <c r="H464" s="8"/>
      <c r="I464" s="8"/>
      <c r="J464" s="8"/>
      <c r="K464" s="10" t="str">
        <f aca="false">IF(A464="","",IF(ABS(SUMIFS($E$9:$E$2008,$A$9:$A$2008,A464)-SUMIFS($F$9:$F$2008,$A$9:$A$2008,A464))&lt;0.5,"Yes","No"))</f>
        <v/>
      </c>
      <c r="L464" s="10" t="str">
        <f aca="false">IF(A464="","",IF(IF(K464="No","Does not balance | ","")&amp;IF(I464="","Not approved | ",IF(UPPER(TRIM(H464))=UPPER(TRIM(I464)),"Self-approved | ",""))&amp;IF(J464="","No support | ","")&amp;IF(WEEKDAY(B464,2)&gt;5,"Weekend posting | ","")&amp;IF(COUNTIF(Settings!$A$14:$A$43,B464)&gt;0,"Holiday posting | ","")&amp;IF(B464&gt;Settings!$C$8,"Posted after close | ","")&amp;IF(OR(B464&lt;Settings!$C$6,B464&gt;Settings!$C$7),"Outside period | ","")&amp;IF(COUNTIF(Settings!$E$14:$E$43,C464&amp;"")&gt;0,"Sensitive account | ","")&amp;IF(AND(MAX(N(E464),N(F464))&gt;=Settings!$C$9,MOD(MAX(N(E464),N(F464)),Settings!$C$10)=0),"Round amount | ","")="","",LEFT(IF(K464="No","Does not balance | ","")&amp;IF(I464="","Not approved | ",IF(UPPER(TRIM(H464))=UPPER(TRIM(I464)),"Self-approved | ",""))&amp;IF(J464="","No support | ","")&amp;IF(WEEKDAY(B464,2)&gt;5,"Weekend posting | ","")&amp;IF(COUNTIF(Settings!$A$14:$A$43,B464)&gt;0,"Holiday posting | ","")&amp;IF(B464&gt;Settings!$C$8,"Posted after close | ","")&amp;IF(OR(B464&lt;Settings!$C$6,B464&gt;Settings!$C$7),"Outside period | ","")&amp;IF(COUNTIF(Settings!$E$14:$E$43,C464&amp;"")&gt;0,"Sensitive account | ","")&amp;IF(AND(MAX(N(E464),N(F464))&gt;=Settings!$C$9,MOD(MAX(N(E464),N(F464)),Settings!$C$10)=0),"Round amount | ",""),LEN(IF(K464="No","Does not balance | ","")&amp;IF(I464="","Not approved | ",IF(UPPER(TRIM(H464))=UPPER(TRIM(I464)),"Self-approved | ",""))&amp;IF(J464="","No support | ","")&amp;IF(WEEKDAY(B464,2)&gt;5,"Weekend posting | ","")&amp;IF(COUNTIF(Settings!$A$14:$A$43,B464)&gt;0,"Holiday posting | ","")&amp;IF(B464&gt;Settings!$C$8,"Posted after close | ","")&amp;IF(OR(B464&lt;Settings!$C$6,B464&gt;Settings!$C$7),"Outside period | ","")&amp;IF(COUNTIF(Settings!$E$14:$E$43,C464&amp;"")&gt;0,"Sensitive account | ","")&amp;IF(AND(MAX(N(E464),N(F464))&gt;=Settings!$C$9,MOD(MAX(N(E464),N(F464)),Settings!$C$10)=0),"Round amount | ",""))-3)))</f>
        <v/>
      </c>
      <c r="M464" s="21" t="str">
        <f aca="false">IF(A464="","",IF(COUNTIF($A$9:A464,A464)=1,MAX($M$8:M463)+1,""))</f>
        <v/>
      </c>
    </row>
    <row r="465" customFormat="false" ht="15" hidden="false" customHeight="false" outlineLevel="0" collapsed="false">
      <c r="A465" s="8"/>
      <c r="B465" s="17"/>
      <c r="C465" s="19"/>
      <c r="D465" s="8"/>
      <c r="E465" s="18"/>
      <c r="F465" s="18"/>
      <c r="G465" s="8"/>
      <c r="H465" s="8"/>
      <c r="I465" s="8"/>
      <c r="J465" s="8"/>
      <c r="K465" s="10" t="str">
        <f aca="false">IF(A465="","",IF(ABS(SUMIFS($E$9:$E$2008,$A$9:$A$2008,A465)-SUMIFS($F$9:$F$2008,$A$9:$A$2008,A465))&lt;0.5,"Yes","No"))</f>
        <v/>
      </c>
      <c r="L465" s="10" t="str">
        <f aca="false">IF(A465="","",IF(IF(K465="No","Does not balance | ","")&amp;IF(I465="","Not approved | ",IF(UPPER(TRIM(H465))=UPPER(TRIM(I465)),"Self-approved | ",""))&amp;IF(J465="","No support | ","")&amp;IF(WEEKDAY(B465,2)&gt;5,"Weekend posting | ","")&amp;IF(COUNTIF(Settings!$A$14:$A$43,B465)&gt;0,"Holiday posting | ","")&amp;IF(B465&gt;Settings!$C$8,"Posted after close | ","")&amp;IF(OR(B465&lt;Settings!$C$6,B465&gt;Settings!$C$7),"Outside period | ","")&amp;IF(COUNTIF(Settings!$E$14:$E$43,C465&amp;"")&gt;0,"Sensitive account | ","")&amp;IF(AND(MAX(N(E465),N(F465))&gt;=Settings!$C$9,MOD(MAX(N(E465),N(F465)),Settings!$C$10)=0),"Round amount | ","")="","",LEFT(IF(K465="No","Does not balance | ","")&amp;IF(I465="","Not approved | ",IF(UPPER(TRIM(H465))=UPPER(TRIM(I465)),"Self-approved | ",""))&amp;IF(J465="","No support | ","")&amp;IF(WEEKDAY(B465,2)&gt;5,"Weekend posting | ","")&amp;IF(COUNTIF(Settings!$A$14:$A$43,B465)&gt;0,"Holiday posting | ","")&amp;IF(B465&gt;Settings!$C$8,"Posted after close | ","")&amp;IF(OR(B465&lt;Settings!$C$6,B465&gt;Settings!$C$7),"Outside period | ","")&amp;IF(COUNTIF(Settings!$E$14:$E$43,C465&amp;"")&gt;0,"Sensitive account | ","")&amp;IF(AND(MAX(N(E465),N(F465))&gt;=Settings!$C$9,MOD(MAX(N(E465),N(F465)),Settings!$C$10)=0),"Round amount | ",""),LEN(IF(K465="No","Does not balance | ","")&amp;IF(I465="","Not approved | ",IF(UPPER(TRIM(H465))=UPPER(TRIM(I465)),"Self-approved | ",""))&amp;IF(J465="","No support | ","")&amp;IF(WEEKDAY(B465,2)&gt;5,"Weekend posting | ","")&amp;IF(COUNTIF(Settings!$A$14:$A$43,B465)&gt;0,"Holiday posting | ","")&amp;IF(B465&gt;Settings!$C$8,"Posted after close | ","")&amp;IF(OR(B465&lt;Settings!$C$6,B465&gt;Settings!$C$7),"Outside period | ","")&amp;IF(COUNTIF(Settings!$E$14:$E$43,C465&amp;"")&gt;0,"Sensitive account | ","")&amp;IF(AND(MAX(N(E465),N(F465))&gt;=Settings!$C$9,MOD(MAX(N(E465),N(F465)),Settings!$C$10)=0),"Round amount | ",""))-3)))</f>
        <v/>
      </c>
      <c r="M465" s="21" t="str">
        <f aca="false">IF(A465="","",IF(COUNTIF($A$9:A465,A465)=1,MAX($M$8:M464)+1,""))</f>
        <v/>
      </c>
    </row>
    <row r="466" customFormat="false" ht="15" hidden="false" customHeight="false" outlineLevel="0" collapsed="false">
      <c r="A466" s="8"/>
      <c r="B466" s="17"/>
      <c r="C466" s="19"/>
      <c r="D466" s="8"/>
      <c r="E466" s="18"/>
      <c r="F466" s="18"/>
      <c r="G466" s="8"/>
      <c r="H466" s="8"/>
      <c r="I466" s="8"/>
      <c r="J466" s="8"/>
      <c r="K466" s="10" t="str">
        <f aca="false">IF(A466="","",IF(ABS(SUMIFS($E$9:$E$2008,$A$9:$A$2008,A466)-SUMIFS($F$9:$F$2008,$A$9:$A$2008,A466))&lt;0.5,"Yes","No"))</f>
        <v/>
      </c>
      <c r="L466" s="10" t="str">
        <f aca="false">IF(A466="","",IF(IF(K466="No","Does not balance | ","")&amp;IF(I466="","Not approved | ",IF(UPPER(TRIM(H466))=UPPER(TRIM(I466)),"Self-approved | ",""))&amp;IF(J466="","No support | ","")&amp;IF(WEEKDAY(B466,2)&gt;5,"Weekend posting | ","")&amp;IF(COUNTIF(Settings!$A$14:$A$43,B466)&gt;0,"Holiday posting | ","")&amp;IF(B466&gt;Settings!$C$8,"Posted after close | ","")&amp;IF(OR(B466&lt;Settings!$C$6,B466&gt;Settings!$C$7),"Outside period | ","")&amp;IF(COUNTIF(Settings!$E$14:$E$43,C466&amp;"")&gt;0,"Sensitive account | ","")&amp;IF(AND(MAX(N(E466),N(F466))&gt;=Settings!$C$9,MOD(MAX(N(E466),N(F466)),Settings!$C$10)=0),"Round amount | ","")="","",LEFT(IF(K466="No","Does not balance | ","")&amp;IF(I466="","Not approved | ",IF(UPPER(TRIM(H466))=UPPER(TRIM(I466)),"Self-approved | ",""))&amp;IF(J466="","No support | ","")&amp;IF(WEEKDAY(B466,2)&gt;5,"Weekend posting | ","")&amp;IF(COUNTIF(Settings!$A$14:$A$43,B466)&gt;0,"Holiday posting | ","")&amp;IF(B466&gt;Settings!$C$8,"Posted after close | ","")&amp;IF(OR(B466&lt;Settings!$C$6,B466&gt;Settings!$C$7),"Outside period | ","")&amp;IF(COUNTIF(Settings!$E$14:$E$43,C466&amp;"")&gt;0,"Sensitive account | ","")&amp;IF(AND(MAX(N(E466),N(F466))&gt;=Settings!$C$9,MOD(MAX(N(E466),N(F466)),Settings!$C$10)=0),"Round amount | ",""),LEN(IF(K466="No","Does not balance | ","")&amp;IF(I466="","Not approved | ",IF(UPPER(TRIM(H466))=UPPER(TRIM(I466)),"Self-approved | ",""))&amp;IF(J466="","No support | ","")&amp;IF(WEEKDAY(B466,2)&gt;5,"Weekend posting | ","")&amp;IF(COUNTIF(Settings!$A$14:$A$43,B466)&gt;0,"Holiday posting | ","")&amp;IF(B466&gt;Settings!$C$8,"Posted after close | ","")&amp;IF(OR(B466&lt;Settings!$C$6,B466&gt;Settings!$C$7),"Outside period | ","")&amp;IF(COUNTIF(Settings!$E$14:$E$43,C466&amp;"")&gt;0,"Sensitive account | ","")&amp;IF(AND(MAX(N(E466),N(F466))&gt;=Settings!$C$9,MOD(MAX(N(E466),N(F466)),Settings!$C$10)=0),"Round amount | ",""))-3)))</f>
        <v/>
      </c>
      <c r="M466" s="21" t="str">
        <f aca="false">IF(A466="","",IF(COUNTIF($A$9:A466,A466)=1,MAX($M$8:M465)+1,""))</f>
        <v/>
      </c>
    </row>
    <row r="467" customFormat="false" ht="15" hidden="false" customHeight="false" outlineLevel="0" collapsed="false">
      <c r="A467" s="8"/>
      <c r="B467" s="17"/>
      <c r="C467" s="19"/>
      <c r="D467" s="8"/>
      <c r="E467" s="18"/>
      <c r="F467" s="18"/>
      <c r="G467" s="8"/>
      <c r="H467" s="8"/>
      <c r="I467" s="8"/>
      <c r="J467" s="8"/>
      <c r="K467" s="10" t="str">
        <f aca="false">IF(A467="","",IF(ABS(SUMIFS($E$9:$E$2008,$A$9:$A$2008,A467)-SUMIFS($F$9:$F$2008,$A$9:$A$2008,A467))&lt;0.5,"Yes","No"))</f>
        <v/>
      </c>
      <c r="L467" s="10" t="str">
        <f aca="false">IF(A467="","",IF(IF(K467="No","Does not balance | ","")&amp;IF(I467="","Not approved | ",IF(UPPER(TRIM(H467))=UPPER(TRIM(I467)),"Self-approved | ",""))&amp;IF(J467="","No support | ","")&amp;IF(WEEKDAY(B467,2)&gt;5,"Weekend posting | ","")&amp;IF(COUNTIF(Settings!$A$14:$A$43,B467)&gt;0,"Holiday posting | ","")&amp;IF(B467&gt;Settings!$C$8,"Posted after close | ","")&amp;IF(OR(B467&lt;Settings!$C$6,B467&gt;Settings!$C$7),"Outside period | ","")&amp;IF(COUNTIF(Settings!$E$14:$E$43,C467&amp;"")&gt;0,"Sensitive account | ","")&amp;IF(AND(MAX(N(E467),N(F467))&gt;=Settings!$C$9,MOD(MAX(N(E467),N(F467)),Settings!$C$10)=0),"Round amount | ","")="","",LEFT(IF(K467="No","Does not balance | ","")&amp;IF(I467="","Not approved | ",IF(UPPER(TRIM(H467))=UPPER(TRIM(I467)),"Self-approved | ",""))&amp;IF(J467="","No support | ","")&amp;IF(WEEKDAY(B467,2)&gt;5,"Weekend posting | ","")&amp;IF(COUNTIF(Settings!$A$14:$A$43,B467)&gt;0,"Holiday posting | ","")&amp;IF(B467&gt;Settings!$C$8,"Posted after close | ","")&amp;IF(OR(B467&lt;Settings!$C$6,B467&gt;Settings!$C$7),"Outside period | ","")&amp;IF(COUNTIF(Settings!$E$14:$E$43,C467&amp;"")&gt;0,"Sensitive account | ","")&amp;IF(AND(MAX(N(E467),N(F467))&gt;=Settings!$C$9,MOD(MAX(N(E467),N(F467)),Settings!$C$10)=0),"Round amount | ",""),LEN(IF(K467="No","Does not balance | ","")&amp;IF(I467="","Not approved | ",IF(UPPER(TRIM(H467))=UPPER(TRIM(I467)),"Self-approved | ",""))&amp;IF(J467="","No support | ","")&amp;IF(WEEKDAY(B467,2)&gt;5,"Weekend posting | ","")&amp;IF(COUNTIF(Settings!$A$14:$A$43,B467)&gt;0,"Holiday posting | ","")&amp;IF(B467&gt;Settings!$C$8,"Posted after close | ","")&amp;IF(OR(B467&lt;Settings!$C$6,B467&gt;Settings!$C$7),"Outside period | ","")&amp;IF(COUNTIF(Settings!$E$14:$E$43,C467&amp;"")&gt;0,"Sensitive account | ","")&amp;IF(AND(MAX(N(E467),N(F467))&gt;=Settings!$C$9,MOD(MAX(N(E467),N(F467)),Settings!$C$10)=0),"Round amount | ",""))-3)))</f>
        <v/>
      </c>
      <c r="M467" s="21" t="str">
        <f aca="false">IF(A467="","",IF(COUNTIF($A$9:A467,A467)=1,MAX($M$8:M466)+1,""))</f>
        <v/>
      </c>
    </row>
    <row r="468" customFormat="false" ht="15" hidden="false" customHeight="false" outlineLevel="0" collapsed="false">
      <c r="A468" s="8"/>
      <c r="B468" s="17"/>
      <c r="C468" s="19"/>
      <c r="D468" s="8"/>
      <c r="E468" s="18"/>
      <c r="F468" s="18"/>
      <c r="G468" s="8"/>
      <c r="H468" s="8"/>
      <c r="I468" s="8"/>
      <c r="J468" s="8"/>
      <c r="K468" s="10" t="str">
        <f aca="false">IF(A468="","",IF(ABS(SUMIFS($E$9:$E$2008,$A$9:$A$2008,A468)-SUMIFS($F$9:$F$2008,$A$9:$A$2008,A468))&lt;0.5,"Yes","No"))</f>
        <v/>
      </c>
      <c r="L468" s="10" t="str">
        <f aca="false">IF(A468="","",IF(IF(K468="No","Does not balance | ","")&amp;IF(I468="","Not approved | ",IF(UPPER(TRIM(H468))=UPPER(TRIM(I468)),"Self-approved | ",""))&amp;IF(J468="","No support | ","")&amp;IF(WEEKDAY(B468,2)&gt;5,"Weekend posting | ","")&amp;IF(COUNTIF(Settings!$A$14:$A$43,B468)&gt;0,"Holiday posting | ","")&amp;IF(B468&gt;Settings!$C$8,"Posted after close | ","")&amp;IF(OR(B468&lt;Settings!$C$6,B468&gt;Settings!$C$7),"Outside period | ","")&amp;IF(COUNTIF(Settings!$E$14:$E$43,C468&amp;"")&gt;0,"Sensitive account | ","")&amp;IF(AND(MAX(N(E468),N(F468))&gt;=Settings!$C$9,MOD(MAX(N(E468),N(F468)),Settings!$C$10)=0),"Round amount | ","")="","",LEFT(IF(K468="No","Does not balance | ","")&amp;IF(I468="","Not approved | ",IF(UPPER(TRIM(H468))=UPPER(TRIM(I468)),"Self-approved | ",""))&amp;IF(J468="","No support | ","")&amp;IF(WEEKDAY(B468,2)&gt;5,"Weekend posting | ","")&amp;IF(COUNTIF(Settings!$A$14:$A$43,B468)&gt;0,"Holiday posting | ","")&amp;IF(B468&gt;Settings!$C$8,"Posted after close | ","")&amp;IF(OR(B468&lt;Settings!$C$6,B468&gt;Settings!$C$7),"Outside period | ","")&amp;IF(COUNTIF(Settings!$E$14:$E$43,C468&amp;"")&gt;0,"Sensitive account | ","")&amp;IF(AND(MAX(N(E468),N(F468))&gt;=Settings!$C$9,MOD(MAX(N(E468),N(F468)),Settings!$C$10)=0),"Round amount | ",""),LEN(IF(K468="No","Does not balance | ","")&amp;IF(I468="","Not approved | ",IF(UPPER(TRIM(H468))=UPPER(TRIM(I468)),"Self-approved | ",""))&amp;IF(J468="","No support | ","")&amp;IF(WEEKDAY(B468,2)&gt;5,"Weekend posting | ","")&amp;IF(COUNTIF(Settings!$A$14:$A$43,B468)&gt;0,"Holiday posting | ","")&amp;IF(B468&gt;Settings!$C$8,"Posted after close | ","")&amp;IF(OR(B468&lt;Settings!$C$6,B468&gt;Settings!$C$7),"Outside period | ","")&amp;IF(COUNTIF(Settings!$E$14:$E$43,C468&amp;"")&gt;0,"Sensitive account | ","")&amp;IF(AND(MAX(N(E468),N(F468))&gt;=Settings!$C$9,MOD(MAX(N(E468),N(F468)),Settings!$C$10)=0),"Round amount | ",""))-3)))</f>
        <v/>
      </c>
      <c r="M468" s="21" t="str">
        <f aca="false">IF(A468="","",IF(COUNTIF($A$9:A468,A468)=1,MAX($M$8:M467)+1,""))</f>
        <v/>
      </c>
    </row>
    <row r="469" customFormat="false" ht="15" hidden="false" customHeight="false" outlineLevel="0" collapsed="false">
      <c r="A469" s="8"/>
      <c r="B469" s="17"/>
      <c r="C469" s="19"/>
      <c r="D469" s="8"/>
      <c r="E469" s="18"/>
      <c r="F469" s="18"/>
      <c r="G469" s="8"/>
      <c r="H469" s="8"/>
      <c r="I469" s="8"/>
      <c r="J469" s="8"/>
      <c r="K469" s="10" t="str">
        <f aca="false">IF(A469="","",IF(ABS(SUMIFS($E$9:$E$2008,$A$9:$A$2008,A469)-SUMIFS($F$9:$F$2008,$A$9:$A$2008,A469))&lt;0.5,"Yes","No"))</f>
        <v/>
      </c>
      <c r="L469" s="10" t="str">
        <f aca="false">IF(A469="","",IF(IF(K469="No","Does not balance | ","")&amp;IF(I469="","Not approved | ",IF(UPPER(TRIM(H469))=UPPER(TRIM(I469)),"Self-approved | ",""))&amp;IF(J469="","No support | ","")&amp;IF(WEEKDAY(B469,2)&gt;5,"Weekend posting | ","")&amp;IF(COUNTIF(Settings!$A$14:$A$43,B469)&gt;0,"Holiday posting | ","")&amp;IF(B469&gt;Settings!$C$8,"Posted after close | ","")&amp;IF(OR(B469&lt;Settings!$C$6,B469&gt;Settings!$C$7),"Outside period | ","")&amp;IF(COUNTIF(Settings!$E$14:$E$43,C469&amp;"")&gt;0,"Sensitive account | ","")&amp;IF(AND(MAX(N(E469),N(F469))&gt;=Settings!$C$9,MOD(MAX(N(E469),N(F469)),Settings!$C$10)=0),"Round amount | ","")="","",LEFT(IF(K469="No","Does not balance | ","")&amp;IF(I469="","Not approved | ",IF(UPPER(TRIM(H469))=UPPER(TRIM(I469)),"Self-approved | ",""))&amp;IF(J469="","No support | ","")&amp;IF(WEEKDAY(B469,2)&gt;5,"Weekend posting | ","")&amp;IF(COUNTIF(Settings!$A$14:$A$43,B469)&gt;0,"Holiday posting | ","")&amp;IF(B469&gt;Settings!$C$8,"Posted after close | ","")&amp;IF(OR(B469&lt;Settings!$C$6,B469&gt;Settings!$C$7),"Outside period | ","")&amp;IF(COUNTIF(Settings!$E$14:$E$43,C469&amp;"")&gt;0,"Sensitive account | ","")&amp;IF(AND(MAX(N(E469),N(F469))&gt;=Settings!$C$9,MOD(MAX(N(E469),N(F469)),Settings!$C$10)=0),"Round amount | ",""),LEN(IF(K469="No","Does not balance | ","")&amp;IF(I469="","Not approved | ",IF(UPPER(TRIM(H469))=UPPER(TRIM(I469)),"Self-approved | ",""))&amp;IF(J469="","No support | ","")&amp;IF(WEEKDAY(B469,2)&gt;5,"Weekend posting | ","")&amp;IF(COUNTIF(Settings!$A$14:$A$43,B469)&gt;0,"Holiday posting | ","")&amp;IF(B469&gt;Settings!$C$8,"Posted after close | ","")&amp;IF(OR(B469&lt;Settings!$C$6,B469&gt;Settings!$C$7),"Outside period | ","")&amp;IF(COUNTIF(Settings!$E$14:$E$43,C469&amp;"")&gt;0,"Sensitive account | ","")&amp;IF(AND(MAX(N(E469),N(F469))&gt;=Settings!$C$9,MOD(MAX(N(E469),N(F469)),Settings!$C$10)=0),"Round amount | ",""))-3)))</f>
        <v/>
      </c>
      <c r="M469" s="21" t="str">
        <f aca="false">IF(A469="","",IF(COUNTIF($A$9:A469,A469)=1,MAX($M$8:M468)+1,""))</f>
        <v/>
      </c>
    </row>
    <row r="470" customFormat="false" ht="15" hidden="false" customHeight="false" outlineLevel="0" collapsed="false">
      <c r="A470" s="8"/>
      <c r="B470" s="17"/>
      <c r="C470" s="19"/>
      <c r="D470" s="8"/>
      <c r="E470" s="18"/>
      <c r="F470" s="18"/>
      <c r="G470" s="8"/>
      <c r="H470" s="8"/>
      <c r="I470" s="8"/>
      <c r="J470" s="8"/>
      <c r="K470" s="10" t="str">
        <f aca="false">IF(A470="","",IF(ABS(SUMIFS($E$9:$E$2008,$A$9:$A$2008,A470)-SUMIFS($F$9:$F$2008,$A$9:$A$2008,A470))&lt;0.5,"Yes","No"))</f>
        <v/>
      </c>
      <c r="L470" s="10" t="str">
        <f aca="false">IF(A470="","",IF(IF(K470="No","Does not balance | ","")&amp;IF(I470="","Not approved | ",IF(UPPER(TRIM(H470))=UPPER(TRIM(I470)),"Self-approved | ",""))&amp;IF(J470="","No support | ","")&amp;IF(WEEKDAY(B470,2)&gt;5,"Weekend posting | ","")&amp;IF(COUNTIF(Settings!$A$14:$A$43,B470)&gt;0,"Holiday posting | ","")&amp;IF(B470&gt;Settings!$C$8,"Posted after close | ","")&amp;IF(OR(B470&lt;Settings!$C$6,B470&gt;Settings!$C$7),"Outside period | ","")&amp;IF(COUNTIF(Settings!$E$14:$E$43,C470&amp;"")&gt;0,"Sensitive account | ","")&amp;IF(AND(MAX(N(E470),N(F470))&gt;=Settings!$C$9,MOD(MAX(N(E470),N(F470)),Settings!$C$10)=0),"Round amount | ","")="","",LEFT(IF(K470="No","Does not balance | ","")&amp;IF(I470="","Not approved | ",IF(UPPER(TRIM(H470))=UPPER(TRIM(I470)),"Self-approved | ",""))&amp;IF(J470="","No support | ","")&amp;IF(WEEKDAY(B470,2)&gt;5,"Weekend posting | ","")&amp;IF(COUNTIF(Settings!$A$14:$A$43,B470)&gt;0,"Holiday posting | ","")&amp;IF(B470&gt;Settings!$C$8,"Posted after close | ","")&amp;IF(OR(B470&lt;Settings!$C$6,B470&gt;Settings!$C$7),"Outside period | ","")&amp;IF(COUNTIF(Settings!$E$14:$E$43,C470&amp;"")&gt;0,"Sensitive account | ","")&amp;IF(AND(MAX(N(E470),N(F470))&gt;=Settings!$C$9,MOD(MAX(N(E470),N(F470)),Settings!$C$10)=0),"Round amount | ",""),LEN(IF(K470="No","Does not balance | ","")&amp;IF(I470="","Not approved | ",IF(UPPER(TRIM(H470))=UPPER(TRIM(I470)),"Self-approved | ",""))&amp;IF(J470="","No support | ","")&amp;IF(WEEKDAY(B470,2)&gt;5,"Weekend posting | ","")&amp;IF(COUNTIF(Settings!$A$14:$A$43,B470)&gt;0,"Holiday posting | ","")&amp;IF(B470&gt;Settings!$C$8,"Posted after close | ","")&amp;IF(OR(B470&lt;Settings!$C$6,B470&gt;Settings!$C$7),"Outside period | ","")&amp;IF(COUNTIF(Settings!$E$14:$E$43,C470&amp;"")&gt;0,"Sensitive account | ","")&amp;IF(AND(MAX(N(E470),N(F470))&gt;=Settings!$C$9,MOD(MAX(N(E470),N(F470)),Settings!$C$10)=0),"Round amount | ",""))-3)))</f>
        <v/>
      </c>
      <c r="M470" s="21" t="str">
        <f aca="false">IF(A470="","",IF(COUNTIF($A$9:A470,A470)=1,MAX($M$8:M469)+1,""))</f>
        <v/>
      </c>
    </row>
    <row r="471" customFormat="false" ht="15" hidden="false" customHeight="false" outlineLevel="0" collapsed="false">
      <c r="A471" s="8"/>
      <c r="B471" s="17"/>
      <c r="C471" s="19"/>
      <c r="D471" s="8"/>
      <c r="E471" s="18"/>
      <c r="F471" s="18"/>
      <c r="G471" s="8"/>
      <c r="H471" s="8"/>
      <c r="I471" s="8"/>
      <c r="J471" s="8"/>
      <c r="K471" s="10" t="str">
        <f aca="false">IF(A471="","",IF(ABS(SUMIFS($E$9:$E$2008,$A$9:$A$2008,A471)-SUMIFS($F$9:$F$2008,$A$9:$A$2008,A471))&lt;0.5,"Yes","No"))</f>
        <v/>
      </c>
      <c r="L471" s="10" t="str">
        <f aca="false">IF(A471="","",IF(IF(K471="No","Does not balance | ","")&amp;IF(I471="","Not approved | ",IF(UPPER(TRIM(H471))=UPPER(TRIM(I471)),"Self-approved | ",""))&amp;IF(J471="","No support | ","")&amp;IF(WEEKDAY(B471,2)&gt;5,"Weekend posting | ","")&amp;IF(COUNTIF(Settings!$A$14:$A$43,B471)&gt;0,"Holiday posting | ","")&amp;IF(B471&gt;Settings!$C$8,"Posted after close | ","")&amp;IF(OR(B471&lt;Settings!$C$6,B471&gt;Settings!$C$7),"Outside period | ","")&amp;IF(COUNTIF(Settings!$E$14:$E$43,C471&amp;"")&gt;0,"Sensitive account | ","")&amp;IF(AND(MAX(N(E471),N(F471))&gt;=Settings!$C$9,MOD(MAX(N(E471),N(F471)),Settings!$C$10)=0),"Round amount | ","")="","",LEFT(IF(K471="No","Does not balance | ","")&amp;IF(I471="","Not approved | ",IF(UPPER(TRIM(H471))=UPPER(TRIM(I471)),"Self-approved | ",""))&amp;IF(J471="","No support | ","")&amp;IF(WEEKDAY(B471,2)&gt;5,"Weekend posting | ","")&amp;IF(COUNTIF(Settings!$A$14:$A$43,B471)&gt;0,"Holiday posting | ","")&amp;IF(B471&gt;Settings!$C$8,"Posted after close | ","")&amp;IF(OR(B471&lt;Settings!$C$6,B471&gt;Settings!$C$7),"Outside period | ","")&amp;IF(COUNTIF(Settings!$E$14:$E$43,C471&amp;"")&gt;0,"Sensitive account | ","")&amp;IF(AND(MAX(N(E471),N(F471))&gt;=Settings!$C$9,MOD(MAX(N(E471),N(F471)),Settings!$C$10)=0),"Round amount | ",""),LEN(IF(K471="No","Does not balance | ","")&amp;IF(I471="","Not approved | ",IF(UPPER(TRIM(H471))=UPPER(TRIM(I471)),"Self-approved | ",""))&amp;IF(J471="","No support | ","")&amp;IF(WEEKDAY(B471,2)&gt;5,"Weekend posting | ","")&amp;IF(COUNTIF(Settings!$A$14:$A$43,B471)&gt;0,"Holiday posting | ","")&amp;IF(B471&gt;Settings!$C$8,"Posted after close | ","")&amp;IF(OR(B471&lt;Settings!$C$6,B471&gt;Settings!$C$7),"Outside period | ","")&amp;IF(COUNTIF(Settings!$E$14:$E$43,C471&amp;"")&gt;0,"Sensitive account | ","")&amp;IF(AND(MAX(N(E471),N(F471))&gt;=Settings!$C$9,MOD(MAX(N(E471),N(F471)),Settings!$C$10)=0),"Round amount | ",""))-3)))</f>
        <v/>
      </c>
      <c r="M471" s="21" t="str">
        <f aca="false">IF(A471="","",IF(COUNTIF($A$9:A471,A471)=1,MAX($M$8:M470)+1,""))</f>
        <v/>
      </c>
    </row>
    <row r="472" customFormat="false" ht="15" hidden="false" customHeight="false" outlineLevel="0" collapsed="false">
      <c r="A472" s="8"/>
      <c r="B472" s="17"/>
      <c r="C472" s="19"/>
      <c r="D472" s="8"/>
      <c r="E472" s="18"/>
      <c r="F472" s="18"/>
      <c r="G472" s="8"/>
      <c r="H472" s="8"/>
      <c r="I472" s="8"/>
      <c r="J472" s="8"/>
      <c r="K472" s="10" t="str">
        <f aca="false">IF(A472="","",IF(ABS(SUMIFS($E$9:$E$2008,$A$9:$A$2008,A472)-SUMIFS($F$9:$F$2008,$A$9:$A$2008,A472))&lt;0.5,"Yes","No"))</f>
        <v/>
      </c>
      <c r="L472" s="10" t="str">
        <f aca="false">IF(A472="","",IF(IF(K472="No","Does not balance | ","")&amp;IF(I472="","Not approved | ",IF(UPPER(TRIM(H472))=UPPER(TRIM(I472)),"Self-approved | ",""))&amp;IF(J472="","No support | ","")&amp;IF(WEEKDAY(B472,2)&gt;5,"Weekend posting | ","")&amp;IF(COUNTIF(Settings!$A$14:$A$43,B472)&gt;0,"Holiday posting | ","")&amp;IF(B472&gt;Settings!$C$8,"Posted after close | ","")&amp;IF(OR(B472&lt;Settings!$C$6,B472&gt;Settings!$C$7),"Outside period | ","")&amp;IF(COUNTIF(Settings!$E$14:$E$43,C472&amp;"")&gt;0,"Sensitive account | ","")&amp;IF(AND(MAX(N(E472),N(F472))&gt;=Settings!$C$9,MOD(MAX(N(E472),N(F472)),Settings!$C$10)=0),"Round amount | ","")="","",LEFT(IF(K472="No","Does not balance | ","")&amp;IF(I472="","Not approved | ",IF(UPPER(TRIM(H472))=UPPER(TRIM(I472)),"Self-approved | ",""))&amp;IF(J472="","No support | ","")&amp;IF(WEEKDAY(B472,2)&gt;5,"Weekend posting | ","")&amp;IF(COUNTIF(Settings!$A$14:$A$43,B472)&gt;0,"Holiday posting | ","")&amp;IF(B472&gt;Settings!$C$8,"Posted after close | ","")&amp;IF(OR(B472&lt;Settings!$C$6,B472&gt;Settings!$C$7),"Outside period | ","")&amp;IF(COUNTIF(Settings!$E$14:$E$43,C472&amp;"")&gt;0,"Sensitive account | ","")&amp;IF(AND(MAX(N(E472),N(F472))&gt;=Settings!$C$9,MOD(MAX(N(E472),N(F472)),Settings!$C$10)=0),"Round amount | ",""),LEN(IF(K472="No","Does not balance | ","")&amp;IF(I472="","Not approved | ",IF(UPPER(TRIM(H472))=UPPER(TRIM(I472)),"Self-approved | ",""))&amp;IF(J472="","No support | ","")&amp;IF(WEEKDAY(B472,2)&gt;5,"Weekend posting | ","")&amp;IF(COUNTIF(Settings!$A$14:$A$43,B472)&gt;0,"Holiday posting | ","")&amp;IF(B472&gt;Settings!$C$8,"Posted after close | ","")&amp;IF(OR(B472&lt;Settings!$C$6,B472&gt;Settings!$C$7),"Outside period | ","")&amp;IF(COUNTIF(Settings!$E$14:$E$43,C472&amp;"")&gt;0,"Sensitive account | ","")&amp;IF(AND(MAX(N(E472),N(F472))&gt;=Settings!$C$9,MOD(MAX(N(E472),N(F472)),Settings!$C$10)=0),"Round amount | ",""))-3)))</f>
        <v/>
      </c>
      <c r="M472" s="21" t="str">
        <f aca="false">IF(A472="","",IF(COUNTIF($A$9:A472,A472)=1,MAX($M$8:M471)+1,""))</f>
        <v/>
      </c>
    </row>
    <row r="473" customFormat="false" ht="15" hidden="false" customHeight="false" outlineLevel="0" collapsed="false">
      <c r="A473" s="8"/>
      <c r="B473" s="17"/>
      <c r="C473" s="19"/>
      <c r="D473" s="8"/>
      <c r="E473" s="18"/>
      <c r="F473" s="18"/>
      <c r="G473" s="8"/>
      <c r="H473" s="8"/>
      <c r="I473" s="8"/>
      <c r="J473" s="8"/>
      <c r="K473" s="10" t="str">
        <f aca="false">IF(A473="","",IF(ABS(SUMIFS($E$9:$E$2008,$A$9:$A$2008,A473)-SUMIFS($F$9:$F$2008,$A$9:$A$2008,A473))&lt;0.5,"Yes","No"))</f>
        <v/>
      </c>
      <c r="L473" s="10" t="str">
        <f aca="false">IF(A473="","",IF(IF(K473="No","Does not balance | ","")&amp;IF(I473="","Not approved | ",IF(UPPER(TRIM(H473))=UPPER(TRIM(I473)),"Self-approved | ",""))&amp;IF(J473="","No support | ","")&amp;IF(WEEKDAY(B473,2)&gt;5,"Weekend posting | ","")&amp;IF(COUNTIF(Settings!$A$14:$A$43,B473)&gt;0,"Holiday posting | ","")&amp;IF(B473&gt;Settings!$C$8,"Posted after close | ","")&amp;IF(OR(B473&lt;Settings!$C$6,B473&gt;Settings!$C$7),"Outside period | ","")&amp;IF(COUNTIF(Settings!$E$14:$E$43,C473&amp;"")&gt;0,"Sensitive account | ","")&amp;IF(AND(MAX(N(E473),N(F473))&gt;=Settings!$C$9,MOD(MAX(N(E473),N(F473)),Settings!$C$10)=0),"Round amount | ","")="","",LEFT(IF(K473="No","Does not balance | ","")&amp;IF(I473="","Not approved | ",IF(UPPER(TRIM(H473))=UPPER(TRIM(I473)),"Self-approved | ",""))&amp;IF(J473="","No support | ","")&amp;IF(WEEKDAY(B473,2)&gt;5,"Weekend posting | ","")&amp;IF(COUNTIF(Settings!$A$14:$A$43,B473)&gt;0,"Holiday posting | ","")&amp;IF(B473&gt;Settings!$C$8,"Posted after close | ","")&amp;IF(OR(B473&lt;Settings!$C$6,B473&gt;Settings!$C$7),"Outside period | ","")&amp;IF(COUNTIF(Settings!$E$14:$E$43,C473&amp;"")&gt;0,"Sensitive account | ","")&amp;IF(AND(MAX(N(E473),N(F473))&gt;=Settings!$C$9,MOD(MAX(N(E473),N(F473)),Settings!$C$10)=0),"Round amount | ",""),LEN(IF(K473="No","Does not balance | ","")&amp;IF(I473="","Not approved | ",IF(UPPER(TRIM(H473))=UPPER(TRIM(I473)),"Self-approved | ",""))&amp;IF(J473="","No support | ","")&amp;IF(WEEKDAY(B473,2)&gt;5,"Weekend posting | ","")&amp;IF(COUNTIF(Settings!$A$14:$A$43,B473)&gt;0,"Holiday posting | ","")&amp;IF(B473&gt;Settings!$C$8,"Posted after close | ","")&amp;IF(OR(B473&lt;Settings!$C$6,B473&gt;Settings!$C$7),"Outside period | ","")&amp;IF(COUNTIF(Settings!$E$14:$E$43,C473&amp;"")&gt;0,"Sensitive account | ","")&amp;IF(AND(MAX(N(E473),N(F473))&gt;=Settings!$C$9,MOD(MAX(N(E473),N(F473)),Settings!$C$10)=0),"Round amount | ",""))-3)))</f>
        <v/>
      </c>
      <c r="M473" s="21" t="str">
        <f aca="false">IF(A473="","",IF(COUNTIF($A$9:A473,A473)=1,MAX($M$8:M472)+1,""))</f>
        <v/>
      </c>
    </row>
    <row r="474" customFormat="false" ht="15" hidden="false" customHeight="false" outlineLevel="0" collapsed="false">
      <c r="A474" s="8"/>
      <c r="B474" s="17"/>
      <c r="C474" s="19"/>
      <c r="D474" s="8"/>
      <c r="E474" s="18"/>
      <c r="F474" s="18"/>
      <c r="G474" s="8"/>
      <c r="H474" s="8"/>
      <c r="I474" s="8"/>
      <c r="J474" s="8"/>
      <c r="K474" s="10" t="str">
        <f aca="false">IF(A474="","",IF(ABS(SUMIFS($E$9:$E$2008,$A$9:$A$2008,A474)-SUMIFS($F$9:$F$2008,$A$9:$A$2008,A474))&lt;0.5,"Yes","No"))</f>
        <v/>
      </c>
      <c r="L474" s="10" t="str">
        <f aca="false">IF(A474="","",IF(IF(K474="No","Does not balance | ","")&amp;IF(I474="","Not approved | ",IF(UPPER(TRIM(H474))=UPPER(TRIM(I474)),"Self-approved | ",""))&amp;IF(J474="","No support | ","")&amp;IF(WEEKDAY(B474,2)&gt;5,"Weekend posting | ","")&amp;IF(COUNTIF(Settings!$A$14:$A$43,B474)&gt;0,"Holiday posting | ","")&amp;IF(B474&gt;Settings!$C$8,"Posted after close | ","")&amp;IF(OR(B474&lt;Settings!$C$6,B474&gt;Settings!$C$7),"Outside period | ","")&amp;IF(COUNTIF(Settings!$E$14:$E$43,C474&amp;"")&gt;0,"Sensitive account | ","")&amp;IF(AND(MAX(N(E474),N(F474))&gt;=Settings!$C$9,MOD(MAX(N(E474),N(F474)),Settings!$C$10)=0),"Round amount | ","")="","",LEFT(IF(K474="No","Does not balance | ","")&amp;IF(I474="","Not approved | ",IF(UPPER(TRIM(H474))=UPPER(TRIM(I474)),"Self-approved | ",""))&amp;IF(J474="","No support | ","")&amp;IF(WEEKDAY(B474,2)&gt;5,"Weekend posting | ","")&amp;IF(COUNTIF(Settings!$A$14:$A$43,B474)&gt;0,"Holiday posting | ","")&amp;IF(B474&gt;Settings!$C$8,"Posted after close | ","")&amp;IF(OR(B474&lt;Settings!$C$6,B474&gt;Settings!$C$7),"Outside period | ","")&amp;IF(COUNTIF(Settings!$E$14:$E$43,C474&amp;"")&gt;0,"Sensitive account | ","")&amp;IF(AND(MAX(N(E474),N(F474))&gt;=Settings!$C$9,MOD(MAX(N(E474),N(F474)),Settings!$C$10)=0),"Round amount | ",""),LEN(IF(K474="No","Does not balance | ","")&amp;IF(I474="","Not approved | ",IF(UPPER(TRIM(H474))=UPPER(TRIM(I474)),"Self-approved | ",""))&amp;IF(J474="","No support | ","")&amp;IF(WEEKDAY(B474,2)&gt;5,"Weekend posting | ","")&amp;IF(COUNTIF(Settings!$A$14:$A$43,B474)&gt;0,"Holiday posting | ","")&amp;IF(B474&gt;Settings!$C$8,"Posted after close | ","")&amp;IF(OR(B474&lt;Settings!$C$6,B474&gt;Settings!$C$7),"Outside period | ","")&amp;IF(COUNTIF(Settings!$E$14:$E$43,C474&amp;"")&gt;0,"Sensitive account | ","")&amp;IF(AND(MAX(N(E474),N(F474))&gt;=Settings!$C$9,MOD(MAX(N(E474),N(F474)),Settings!$C$10)=0),"Round amount | ",""))-3)))</f>
        <v/>
      </c>
      <c r="M474" s="21" t="str">
        <f aca="false">IF(A474="","",IF(COUNTIF($A$9:A474,A474)=1,MAX($M$8:M473)+1,""))</f>
        <v/>
      </c>
    </row>
    <row r="475" customFormat="false" ht="15" hidden="false" customHeight="false" outlineLevel="0" collapsed="false">
      <c r="A475" s="8"/>
      <c r="B475" s="17"/>
      <c r="C475" s="19"/>
      <c r="D475" s="8"/>
      <c r="E475" s="18"/>
      <c r="F475" s="18"/>
      <c r="G475" s="8"/>
      <c r="H475" s="8"/>
      <c r="I475" s="8"/>
      <c r="J475" s="8"/>
      <c r="K475" s="10" t="str">
        <f aca="false">IF(A475="","",IF(ABS(SUMIFS($E$9:$E$2008,$A$9:$A$2008,A475)-SUMIFS($F$9:$F$2008,$A$9:$A$2008,A475))&lt;0.5,"Yes","No"))</f>
        <v/>
      </c>
      <c r="L475" s="10" t="str">
        <f aca="false">IF(A475="","",IF(IF(K475="No","Does not balance | ","")&amp;IF(I475="","Not approved | ",IF(UPPER(TRIM(H475))=UPPER(TRIM(I475)),"Self-approved | ",""))&amp;IF(J475="","No support | ","")&amp;IF(WEEKDAY(B475,2)&gt;5,"Weekend posting | ","")&amp;IF(COUNTIF(Settings!$A$14:$A$43,B475)&gt;0,"Holiday posting | ","")&amp;IF(B475&gt;Settings!$C$8,"Posted after close | ","")&amp;IF(OR(B475&lt;Settings!$C$6,B475&gt;Settings!$C$7),"Outside period | ","")&amp;IF(COUNTIF(Settings!$E$14:$E$43,C475&amp;"")&gt;0,"Sensitive account | ","")&amp;IF(AND(MAX(N(E475),N(F475))&gt;=Settings!$C$9,MOD(MAX(N(E475),N(F475)),Settings!$C$10)=0),"Round amount | ","")="","",LEFT(IF(K475="No","Does not balance | ","")&amp;IF(I475="","Not approved | ",IF(UPPER(TRIM(H475))=UPPER(TRIM(I475)),"Self-approved | ",""))&amp;IF(J475="","No support | ","")&amp;IF(WEEKDAY(B475,2)&gt;5,"Weekend posting | ","")&amp;IF(COUNTIF(Settings!$A$14:$A$43,B475)&gt;0,"Holiday posting | ","")&amp;IF(B475&gt;Settings!$C$8,"Posted after close | ","")&amp;IF(OR(B475&lt;Settings!$C$6,B475&gt;Settings!$C$7),"Outside period | ","")&amp;IF(COUNTIF(Settings!$E$14:$E$43,C475&amp;"")&gt;0,"Sensitive account | ","")&amp;IF(AND(MAX(N(E475),N(F475))&gt;=Settings!$C$9,MOD(MAX(N(E475),N(F475)),Settings!$C$10)=0),"Round amount | ",""),LEN(IF(K475="No","Does not balance | ","")&amp;IF(I475="","Not approved | ",IF(UPPER(TRIM(H475))=UPPER(TRIM(I475)),"Self-approved | ",""))&amp;IF(J475="","No support | ","")&amp;IF(WEEKDAY(B475,2)&gt;5,"Weekend posting | ","")&amp;IF(COUNTIF(Settings!$A$14:$A$43,B475)&gt;0,"Holiday posting | ","")&amp;IF(B475&gt;Settings!$C$8,"Posted after close | ","")&amp;IF(OR(B475&lt;Settings!$C$6,B475&gt;Settings!$C$7),"Outside period | ","")&amp;IF(COUNTIF(Settings!$E$14:$E$43,C475&amp;"")&gt;0,"Sensitive account | ","")&amp;IF(AND(MAX(N(E475),N(F475))&gt;=Settings!$C$9,MOD(MAX(N(E475),N(F475)),Settings!$C$10)=0),"Round amount | ",""))-3)))</f>
        <v/>
      </c>
      <c r="M475" s="21" t="str">
        <f aca="false">IF(A475="","",IF(COUNTIF($A$9:A475,A475)=1,MAX($M$8:M474)+1,""))</f>
        <v/>
      </c>
    </row>
    <row r="476" customFormat="false" ht="15" hidden="false" customHeight="false" outlineLevel="0" collapsed="false">
      <c r="A476" s="8"/>
      <c r="B476" s="17"/>
      <c r="C476" s="19"/>
      <c r="D476" s="8"/>
      <c r="E476" s="18"/>
      <c r="F476" s="18"/>
      <c r="G476" s="8"/>
      <c r="H476" s="8"/>
      <c r="I476" s="8"/>
      <c r="J476" s="8"/>
      <c r="K476" s="10" t="str">
        <f aca="false">IF(A476="","",IF(ABS(SUMIFS($E$9:$E$2008,$A$9:$A$2008,A476)-SUMIFS($F$9:$F$2008,$A$9:$A$2008,A476))&lt;0.5,"Yes","No"))</f>
        <v/>
      </c>
      <c r="L476" s="10" t="str">
        <f aca="false">IF(A476="","",IF(IF(K476="No","Does not balance | ","")&amp;IF(I476="","Not approved | ",IF(UPPER(TRIM(H476))=UPPER(TRIM(I476)),"Self-approved | ",""))&amp;IF(J476="","No support | ","")&amp;IF(WEEKDAY(B476,2)&gt;5,"Weekend posting | ","")&amp;IF(COUNTIF(Settings!$A$14:$A$43,B476)&gt;0,"Holiday posting | ","")&amp;IF(B476&gt;Settings!$C$8,"Posted after close | ","")&amp;IF(OR(B476&lt;Settings!$C$6,B476&gt;Settings!$C$7),"Outside period | ","")&amp;IF(COUNTIF(Settings!$E$14:$E$43,C476&amp;"")&gt;0,"Sensitive account | ","")&amp;IF(AND(MAX(N(E476),N(F476))&gt;=Settings!$C$9,MOD(MAX(N(E476),N(F476)),Settings!$C$10)=0),"Round amount | ","")="","",LEFT(IF(K476="No","Does not balance | ","")&amp;IF(I476="","Not approved | ",IF(UPPER(TRIM(H476))=UPPER(TRIM(I476)),"Self-approved | ",""))&amp;IF(J476="","No support | ","")&amp;IF(WEEKDAY(B476,2)&gt;5,"Weekend posting | ","")&amp;IF(COUNTIF(Settings!$A$14:$A$43,B476)&gt;0,"Holiday posting | ","")&amp;IF(B476&gt;Settings!$C$8,"Posted after close | ","")&amp;IF(OR(B476&lt;Settings!$C$6,B476&gt;Settings!$C$7),"Outside period | ","")&amp;IF(COUNTIF(Settings!$E$14:$E$43,C476&amp;"")&gt;0,"Sensitive account | ","")&amp;IF(AND(MAX(N(E476),N(F476))&gt;=Settings!$C$9,MOD(MAX(N(E476),N(F476)),Settings!$C$10)=0),"Round amount | ",""),LEN(IF(K476="No","Does not balance | ","")&amp;IF(I476="","Not approved | ",IF(UPPER(TRIM(H476))=UPPER(TRIM(I476)),"Self-approved | ",""))&amp;IF(J476="","No support | ","")&amp;IF(WEEKDAY(B476,2)&gt;5,"Weekend posting | ","")&amp;IF(COUNTIF(Settings!$A$14:$A$43,B476)&gt;0,"Holiday posting | ","")&amp;IF(B476&gt;Settings!$C$8,"Posted after close | ","")&amp;IF(OR(B476&lt;Settings!$C$6,B476&gt;Settings!$C$7),"Outside period | ","")&amp;IF(COUNTIF(Settings!$E$14:$E$43,C476&amp;"")&gt;0,"Sensitive account | ","")&amp;IF(AND(MAX(N(E476),N(F476))&gt;=Settings!$C$9,MOD(MAX(N(E476),N(F476)),Settings!$C$10)=0),"Round amount | ",""))-3)))</f>
        <v/>
      </c>
      <c r="M476" s="21" t="str">
        <f aca="false">IF(A476="","",IF(COUNTIF($A$9:A476,A476)=1,MAX($M$8:M475)+1,""))</f>
        <v/>
      </c>
    </row>
    <row r="477" customFormat="false" ht="15" hidden="false" customHeight="false" outlineLevel="0" collapsed="false">
      <c r="A477" s="8"/>
      <c r="B477" s="17"/>
      <c r="C477" s="19"/>
      <c r="D477" s="8"/>
      <c r="E477" s="18"/>
      <c r="F477" s="18"/>
      <c r="G477" s="8"/>
      <c r="H477" s="8"/>
      <c r="I477" s="8"/>
      <c r="J477" s="8"/>
      <c r="K477" s="10" t="str">
        <f aca="false">IF(A477="","",IF(ABS(SUMIFS($E$9:$E$2008,$A$9:$A$2008,A477)-SUMIFS($F$9:$F$2008,$A$9:$A$2008,A477))&lt;0.5,"Yes","No"))</f>
        <v/>
      </c>
      <c r="L477" s="10" t="str">
        <f aca="false">IF(A477="","",IF(IF(K477="No","Does not balance | ","")&amp;IF(I477="","Not approved | ",IF(UPPER(TRIM(H477))=UPPER(TRIM(I477)),"Self-approved | ",""))&amp;IF(J477="","No support | ","")&amp;IF(WEEKDAY(B477,2)&gt;5,"Weekend posting | ","")&amp;IF(COUNTIF(Settings!$A$14:$A$43,B477)&gt;0,"Holiday posting | ","")&amp;IF(B477&gt;Settings!$C$8,"Posted after close | ","")&amp;IF(OR(B477&lt;Settings!$C$6,B477&gt;Settings!$C$7),"Outside period | ","")&amp;IF(COUNTIF(Settings!$E$14:$E$43,C477&amp;"")&gt;0,"Sensitive account | ","")&amp;IF(AND(MAX(N(E477),N(F477))&gt;=Settings!$C$9,MOD(MAX(N(E477),N(F477)),Settings!$C$10)=0),"Round amount | ","")="","",LEFT(IF(K477="No","Does not balance | ","")&amp;IF(I477="","Not approved | ",IF(UPPER(TRIM(H477))=UPPER(TRIM(I477)),"Self-approved | ",""))&amp;IF(J477="","No support | ","")&amp;IF(WEEKDAY(B477,2)&gt;5,"Weekend posting | ","")&amp;IF(COUNTIF(Settings!$A$14:$A$43,B477)&gt;0,"Holiday posting | ","")&amp;IF(B477&gt;Settings!$C$8,"Posted after close | ","")&amp;IF(OR(B477&lt;Settings!$C$6,B477&gt;Settings!$C$7),"Outside period | ","")&amp;IF(COUNTIF(Settings!$E$14:$E$43,C477&amp;"")&gt;0,"Sensitive account | ","")&amp;IF(AND(MAX(N(E477),N(F477))&gt;=Settings!$C$9,MOD(MAX(N(E477),N(F477)),Settings!$C$10)=0),"Round amount | ",""),LEN(IF(K477="No","Does not balance | ","")&amp;IF(I477="","Not approved | ",IF(UPPER(TRIM(H477))=UPPER(TRIM(I477)),"Self-approved | ",""))&amp;IF(J477="","No support | ","")&amp;IF(WEEKDAY(B477,2)&gt;5,"Weekend posting | ","")&amp;IF(COUNTIF(Settings!$A$14:$A$43,B477)&gt;0,"Holiday posting | ","")&amp;IF(B477&gt;Settings!$C$8,"Posted after close | ","")&amp;IF(OR(B477&lt;Settings!$C$6,B477&gt;Settings!$C$7),"Outside period | ","")&amp;IF(COUNTIF(Settings!$E$14:$E$43,C477&amp;"")&gt;0,"Sensitive account | ","")&amp;IF(AND(MAX(N(E477),N(F477))&gt;=Settings!$C$9,MOD(MAX(N(E477),N(F477)),Settings!$C$10)=0),"Round amount | ",""))-3)))</f>
        <v/>
      </c>
      <c r="M477" s="21" t="str">
        <f aca="false">IF(A477="","",IF(COUNTIF($A$9:A477,A477)=1,MAX($M$8:M476)+1,""))</f>
        <v/>
      </c>
    </row>
    <row r="478" customFormat="false" ht="15" hidden="false" customHeight="false" outlineLevel="0" collapsed="false">
      <c r="A478" s="8"/>
      <c r="B478" s="17"/>
      <c r="C478" s="19"/>
      <c r="D478" s="8"/>
      <c r="E478" s="18"/>
      <c r="F478" s="18"/>
      <c r="G478" s="8"/>
      <c r="H478" s="8"/>
      <c r="I478" s="8"/>
      <c r="J478" s="8"/>
      <c r="K478" s="10" t="str">
        <f aca="false">IF(A478="","",IF(ABS(SUMIFS($E$9:$E$2008,$A$9:$A$2008,A478)-SUMIFS($F$9:$F$2008,$A$9:$A$2008,A478))&lt;0.5,"Yes","No"))</f>
        <v/>
      </c>
      <c r="L478" s="10" t="str">
        <f aca="false">IF(A478="","",IF(IF(K478="No","Does not balance | ","")&amp;IF(I478="","Not approved | ",IF(UPPER(TRIM(H478))=UPPER(TRIM(I478)),"Self-approved | ",""))&amp;IF(J478="","No support | ","")&amp;IF(WEEKDAY(B478,2)&gt;5,"Weekend posting | ","")&amp;IF(COUNTIF(Settings!$A$14:$A$43,B478)&gt;0,"Holiday posting | ","")&amp;IF(B478&gt;Settings!$C$8,"Posted after close | ","")&amp;IF(OR(B478&lt;Settings!$C$6,B478&gt;Settings!$C$7),"Outside period | ","")&amp;IF(COUNTIF(Settings!$E$14:$E$43,C478&amp;"")&gt;0,"Sensitive account | ","")&amp;IF(AND(MAX(N(E478),N(F478))&gt;=Settings!$C$9,MOD(MAX(N(E478),N(F478)),Settings!$C$10)=0),"Round amount | ","")="","",LEFT(IF(K478="No","Does not balance | ","")&amp;IF(I478="","Not approved | ",IF(UPPER(TRIM(H478))=UPPER(TRIM(I478)),"Self-approved | ",""))&amp;IF(J478="","No support | ","")&amp;IF(WEEKDAY(B478,2)&gt;5,"Weekend posting | ","")&amp;IF(COUNTIF(Settings!$A$14:$A$43,B478)&gt;0,"Holiday posting | ","")&amp;IF(B478&gt;Settings!$C$8,"Posted after close | ","")&amp;IF(OR(B478&lt;Settings!$C$6,B478&gt;Settings!$C$7),"Outside period | ","")&amp;IF(COUNTIF(Settings!$E$14:$E$43,C478&amp;"")&gt;0,"Sensitive account | ","")&amp;IF(AND(MAX(N(E478),N(F478))&gt;=Settings!$C$9,MOD(MAX(N(E478),N(F478)),Settings!$C$10)=0),"Round amount | ",""),LEN(IF(K478="No","Does not balance | ","")&amp;IF(I478="","Not approved | ",IF(UPPER(TRIM(H478))=UPPER(TRIM(I478)),"Self-approved | ",""))&amp;IF(J478="","No support | ","")&amp;IF(WEEKDAY(B478,2)&gt;5,"Weekend posting | ","")&amp;IF(COUNTIF(Settings!$A$14:$A$43,B478)&gt;0,"Holiday posting | ","")&amp;IF(B478&gt;Settings!$C$8,"Posted after close | ","")&amp;IF(OR(B478&lt;Settings!$C$6,B478&gt;Settings!$C$7),"Outside period | ","")&amp;IF(COUNTIF(Settings!$E$14:$E$43,C478&amp;"")&gt;0,"Sensitive account | ","")&amp;IF(AND(MAX(N(E478),N(F478))&gt;=Settings!$C$9,MOD(MAX(N(E478),N(F478)),Settings!$C$10)=0),"Round amount | ",""))-3)))</f>
        <v/>
      </c>
      <c r="M478" s="21" t="str">
        <f aca="false">IF(A478="","",IF(COUNTIF($A$9:A478,A478)=1,MAX($M$8:M477)+1,""))</f>
        <v/>
      </c>
    </row>
    <row r="479" customFormat="false" ht="15" hidden="false" customHeight="false" outlineLevel="0" collapsed="false">
      <c r="A479" s="8"/>
      <c r="B479" s="17"/>
      <c r="C479" s="19"/>
      <c r="D479" s="8"/>
      <c r="E479" s="18"/>
      <c r="F479" s="18"/>
      <c r="G479" s="8"/>
      <c r="H479" s="8"/>
      <c r="I479" s="8"/>
      <c r="J479" s="8"/>
      <c r="K479" s="10" t="str">
        <f aca="false">IF(A479="","",IF(ABS(SUMIFS($E$9:$E$2008,$A$9:$A$2008,A479)-SUMIFS($F$9:$F$2008,$A$9:$A$2008,A479))&lt;0.5,"Yes","No"))</f>
        <v/>
      </c>
      <c r="L479" s="10" t="str">
        <f aca="false">IF(A479="","",IF(IF(K479="No","Does not balance | ","")&amp;IF(I479="","Not approved | ",IF(UPPER(TRIM(H479))=UPPER(TRIM(I479)),"Self-approved | ",""))&amp;IF(J479="","No support | ","")&amp;IF(WEEKDAY(B479,2)&gt;5,"Weekend posting | ","")&amp;IF(COUNTIF(Settings!$A$14:$A$43,B479)&gt;0,"Holiday posting | ","")&amp;IF(B479&gt;Settings!$C$8,"Posted after close | ","")&amp;IF(OR(B479&lt;Settings!$C$6,B479&gt;Settings!$C$7),"Outside period | ","")&amp;IF(COUNTIF(Settings!$E$14:$E$43,C479&amp;"")&gt;0,"Sensitive account | ","")&amp;IF(AND(MAX(N(E479),N(F479))&gt;=Settings!$C$9,MOD(MAX(N(E479),N(F479)),Settings!$C$10)=0),"Round amount | ","")="","",LEFT(IF(K479="No","Does not balance | ","")&amp;IF(I479="","Not approved | ",IF(UPPER(TRIM(H479))=UPPER(TRIM(I479)),"Self-approved | ",""))&amp;IF(J479="","No support | ","")&amp;IF(WEEKDAY(B479,2)&gt;5,"Weekend posting | ","")&amp;IF(COUNTIF(Settings!$A$14:$A$43,B479)&gt;0,"Holiday posting | ","")&amp;IF(B479&gt;Settings!$C$8,"Posted after close | ","")&amp;IF(OR(B479&lt;Settings!$C$6,B479&gt;Settings!$C$7),"Outside period | ","")&amp;IF(COUNTIF(Settings!$E$14:$E$43,C479&amp;"")&gt;0,"Sensitive account | ","")&amp;IF(AND(MAX(N(E479),N(F479))&gt;=Settings!$C$9,MOD(MAX(N(E479),N(F479)),Settings!$C$10)=0),"Round amount | ",""),LEN(IF(K479="No","Does not balance | ","")&amp;IF(I479="","Not approved | ",IF(UPPER(TRIM(H479))=UPPER(TRIM(I479)),"Self-approved | ",""))&amp;IF(J479="","No support | ","")&amp;IF(WEEKDAY(B479,2)&gt;5,"Weekend posting | ","")&amp;IF(COUNTIF(Settings!$A$14:$A$43,B479)&gt;0,"Holiday posting | ","")&amp;IF(B479&gt;Settings!$C$8,"Posted after close | ","")&amp;IF(OR(B479&lt;Settings!$C$6,B479&gt;Settings!$C$7),"Outside period | ","")&amp;IF(COUNTIF(Settings!$E$14:$E$43,C479&amp;"")&gt;0,"Sensitive account | ","")&amp;IF(AND(MAX(N(E479),N(F479))&gt;=Settings!$C$9,MOD(MAX(N(E479),N(F479)),Settings!$C$10)=0),"Round amount | ",""))-3)))</f>
        <v/>
      </c>
      <c r="M479" s="21" t="str">
        <f aca="false">IF(A479="","",IF(COUNTIF($A$9:A479,A479)=1,MAX($M$8:M478)+1,""))</f>
        <v/>
      </c>
    </row>
    <row r="480" customFormat="false" ht="15" hidden="false" customHeight="false" outlineLevel="0" collapsed="false">
      <c r="A480" s="8"/>
      <c r="B480" s="17"/>
      <c r="C480" s="19"/>
      <c r="D480" s="8"/>
      <c r="E480" s="18"/>
      <c r="F480" s="18"/>
      <c r="G480" s="8"/>
      <c r="H480" s="8"/>
      <c r="I480" s="8"/>
      <c r="J480" s="8"/>
      <c r="K480" s="10" t="str">
        <f aca="false">IF(A480="","",IF(ABS(SUMIFS($E$9:$E$2008,$A$9:$A$2008,A480)-SUMIFS($F$9:$F$2008,$A$9:$A$2008,A480))&lt;0.5,"Yes","No"))</f>
        <v/>
      </c>
      <c r="L480" s="10" t="str">
        <f aca="false">IF(A480="","",IF(IF(K480="No","Does not balance | ","")&amp;IF(I480="","Not approved | ",IF(UPPER(TRIM(H480))=UPPER(TRIM(I480)),"Self-approved | ",""))&amp;IF(J480="","No support | ","")&amp;IF(WEEKDAY(B480,2)&gt;5,"Weekend posting | ","")&amp;IF(COUNTIF(Settings!$A$14:$A$43,B480)&gt;0,"Holiday posting | ","")&amp;IF(B480&gt;Settings!$C$8,"Posted after close | ","")&amp;IF(OR(B480&lt;Settings!$C$6,B480&gt;Settings!$C$7),"Outside period | ","")&amp;IF(COUNTIF(Settings!$E$14:$E$43,C480&amp;"")&gt;0,"Sensitive account | ","")&amp;IF(AND(MAX(N(E480),N(F480))&gt;=Settings!$C$9,MOD(MAX(N(E480),N(F480)),Settings!$C$10)=0),"Round amount | ","")="","",LEFT(IF(K480="No","Does not balance | ","")&amp;IF(I480="","Not approved | ",IF(UPPER(TRIM(H480))=UPPER(TRIM(I480)),"Self-approved | ",""))&amp;IF(J480="","No support | ","")&amp;IF(WEEKDAY(B480,2)&gt;5,"Weekend posting | ","")&amp;IF(COUNTIF(Settings!$A$14:$A$43,B480)&gt;0,"Holiday posting | ","")&amp;IF(B480&gt;Settings!$C$8,"Posted after close | ","")&amp;IF(OR(B480&lt;Settings!$C$6,B480&gt;Settings!$C$7),"Outside period | ","")&amp;IF(COUNTIF(Settings!$E$14:$E$43,C480&amp;"")&gt;0,"Sensitive account | ","")&amp;IF(AND(MAX(N(E480),N(F480))&gt;=Settings!$C$9,MOD(MAX(N(E480),N(F480)),Settings!$C$10)=0),"Round amount | ",""),LEN(IF(K480="No","Does not balance | ","")&amp;IF(I480="","Not approved | ",IF(UPPER(TRIM(H480))=UPPER(TRIM(I480)),"Self-approved | ",""))&amp;IF(J480="","No support | ","")&amp;IF(WEEKDAY(B480,2)&gt;5,"Weekend posting | ","")&amp;IF(COUNTIF(Settings!$A$14:$A$43,B480)&gt;0,"Holiday posting | ","")&amp;IF(B480&gt;Settings!$C$8,"Posted after close | ","")&amp;IF(OR(B480&lt;Settings!$C$6,B480&gt;Settings!$C$7),"Outside period | ","")&amp;IF(COUNTIF(Settings!$E$14:$E$43,C480&amp;"")&gt;0,"Sensitive account | ","")&amp;IF(AND(MAX(N(E480),N(F480))&gt;=Settings!$C$9,MOD(MAX(N(E480),N(F480)),Settings!$C$10)=0),"Round amount | ",""))-3)))</f>
        <v/>
      </c>
      <c r="M480" s="21" t="str">
        <f aca="false">IF(A480="","",IF(COUNTIF($A$9:A480,A480)=1,MAX($M$8:M479)+1,""))</f>
        <v/>
      </c>
    </row>
    <row r="481" customFormat="false" ht="15" hidden="false" customHeight="false" outlineLevel="0" collapsed="false">
      <c r="A481" s="8"/>
      <c r="B481" s="17"/>
      <c r="C481" s="19"/>
      <c r="D481" s="8"/>
      <c r="E481" s="18"/>
      <c r="F481" s="18"/>
      <c r="G481" s="8"/>
      <c r="H481" s="8"/>
      <c r="I481" s="8"/>
      <c r="J481" s="8"/>
      <c r="K481" s="10" t="str">
        <f aca="false">IF(A481="","",IF(ABS(SUMIFS($E$9:$E$2008,$A$9:$A$2008,A481)-SUMIFS($F$9:$F$2008,$A$9:$A$2008,A481))&lt;0.5,"Yes","No"))</f>
        <v/>
      </c>
      <c r="L481" s="10" t="str">
        <f aca="false">IF(A481="","",IF(IF(K481="No","Does not balance | ","")&amp;IF(I481="","Not approved | ",IF(UPPER(TRIM(H481))=UPPER(TRIM(I481)),"Self-approved | ",""))&amp;IF(J481="","No support | ","")&amp;IF(WEEKDAY(B481,2)&gt;5,"Weekend posting | ","")&amp;IF(COUNTIF(Settings!$A$14:$A$43,B481)&gt;0,"Holiday posting | ","")&amp;IF(B481&gt;Settings!$C$8,"Posted after close | ","")&amp;IF(OR(B481&lt;Settings!$C$6,B481&gt;Settings!$C$7),"Outside period | ","")&amp;IF(COUNTIF(Settings!$E$14:$E$43,C481&amp;"")&gt;0,"Sensitive account | ","")&amp;IF(AND(MAX(N(E481),N(F481))&gt;=Settings!$C$9,MOD(MAX(N(E481),N(F481)),Settings!$C$10)=0),"Round amount | ","")="","",LEFT(IF(K481="No","Does not balance | ","")&amp;IF(I481="","Not approved | ",IF(UPPER(TRIM(H481))=UPPER(TRIM(I481)),"Self-approved | ",""))&amp;IF(J481="","No support | ","")&amp;IF(WEEKDAY(B481,2)&gt;5,"Weekend posting | ","")&amp;IF(COUNTIF(Settings!$A$14:$A$43,B481)&gt;0,"Holiday posting | ","")&amp;IF(B481&gt;Settings!$C$8,"Posted after close | ","")&amp;IF(OR(B481&lt;Settings!$C$6,B481&gt;Settings!$C$7),"Outside period | ","")&amp;IF(COUNTIF(Settings!$E$14:$E$43,C481&amp;"")&gt;0,"Sensitive account | ","")&amp;IF(AND(MAX(N(E481),N(F481))&gt;=Settings!$C$9,MOD(MAX(N(E481),N(F481)),Settings!$C$10)=0),"Round amount | ",""),LEN(IF(K481="No","Does not balance | ","")&amp;IF(I481="","Not approved | ",IF(UPPER(TRIM(H481))=UPPER(TRIM(I481)),"Self-approved | ",""))&amp;IF(J481="","No support | ","")&amp;IF(WEEKDAY(B481,2)&gt;5,"Weekend posting | ","")&amp;IF(COUNTIF(Settings!$A$14:$A$43,B481)&gt;0,"Holiday posting | ","")&amp;IF(B481&gt;Settings!$C$8,"Posted after close | ","")&amp;IF(OR(B481&lt;Settings!$C$6,B481&gt;Settings!$C$7),"Outside period | ","")&amp;IF(COUNTIF(Settings!$E$14:$E$43,C481&amp;"")&gt;0,"Sensitive account | ","")&amp;IF(AND(MAX(N(E481),N(F481))&gt;=Settings!$C$9,MOD(MAX(N(E481),N(F481)),Settings!$C$10)=0),"Round amount | ",""))-3)))</f>
        <v/>
      </c>
      <c r="M481" s="21" t="str">
        <f aca="false">IF(A481="","",IF(COUNTIF($A$9:A481,A481)=1,MAX($M$8:M480)+1,""))</f>
        <v/>
      </c>
    </row>
    <row r="482" customFormat="false" ht="15" hidden="false" customHeight="false" outlineLevel="0" collapsed="false">
      <c r="A482" s="8"/>
      <c r="B482" s="17"/>
      <c r="C482" s="19"/>
      <c r="D482" s="8"/>
      <c r="E482" s="18"/>
      <c r="F482" s="18"/>
      <c r="G482" s="8"/>
      <c r="H482" s="8"/>
      <c r="I482" s="8"/>
      <c r="J482" s="8"/>
      <c r="K482" s="10" t="str">
        <f aca="false">IF(A482="","",IF(ABS(SUMIFS($E$9:$E$2008,$A$9:$A$2008,A482)-SUMIFS($F$9:$F$2008,$A$9:$A$2008,A482))&lt;0.5,"Yes","No"))</f>
        <v/>
      </c>
      <c r="L482" s="10" t="str">
        <f aca="false">IF(A482="","",IF(IF(K482="No","Does not balance | ","")&amp;IF(I482="","Not approved | ",IF(UPPER(TRIM(H482))=UPPER(TRIM(I482)),"Self-approved | ",""))&amp;IF(J482="","No support | ","")&amp;IF(WEEKDAY(B482,2)&gt;5,"Weekend posting | ","")&amp;IF(COUNTIF(Settings!$A$14:$A$43,B482)&gt;0,"Holiday posting | ","")&amp;IF(B482&gt;Settings!$C$8,"Posted after close | ","")&amp;IF(OR(B482&lt;Settings!$C$6,B482&gt;Settings!$C$7),"Outside period | ","")&amp;IF(COUNTIF(Settings!$E$14:$E$43,C482&amp;"")&gt;0,"Sensitive account | ","")&amp;IF(AND(MAX(N(E482),N(F482))&gt;=Settings!$C$9,MOD(MAX(N(E482),N(F482)),Settings!$C$10)=0),"Round amount | ","")="","",LEFT(IF(K482="No","Does not balance | ","")&amp;IF(I482="","Not approved | ",IF(UPPER(TRIM(H482))=UPPER(TRIM(I482)),"Self-approved | ",""))&amp;IF(J482="","No support | ","")&amp;IF(WEEKDAY(B482,2)&gt;5,"Weekend posting | ","")&amp;IF(COUNTIF(Settings!$A$14:$A$43,B482)&gt;0,"Holiday posting | ","")&amp;IF(B482&gt;Settings!$C$8,"Posted after close | ","")&amp;IF(OR(B482&lt;Settings!$C$6,B482&gt;Settings!$C$7),"Outside period | ","")&amp;IF(COUNTIF(Settings!$E$14:$E$43,C482&amp;"")&gt;0,"Sensitive account | ","")&amp;IF(AND(MAX(N(E482),N(F482))&gt;=Settings!$C$9,MOD(MAX(N(E482),N(F482)),Settings!$C$10)=0),"Round amount | ",""),LEN(IF(K482="No","Does not balance | ","")&amp;IF(I482="","Not approved | ",IF(UPPER(TRIM(H482))=UPPER(TRIM(I482)),"Self-approved | ",""))&amp;IF(J482="","No support | ","")&amp;IF(WEEKDAY(B482,2)&gt;5,"Weekend posting | ","")&amp;IF(COUNTIF(Settings!$A$14:$A$43,B482)&gt;0,"Holiday posting | ","")&amp;IF(B482&gt;Settings!$C$8,"Posted after close | ","")&amp;IF(OR(B482&lt;Settings!$C$6,B482&gt;Settings!$C$7),"Outside period | ","")&amp;IF(COUNTIF(Settings!$E$14:$E$43,C482&amp;"")&gt;0,"Sensitive account | ","")&amp;IF(AND(MAX(N(E482),N(F482))&gt;=Settings!$C$9,MOD(MAX(N(E482),N(F482)),Settings!$C$10)=0),"Round amount | ",""))-3)))</f>
        <v/>
      </c>
      <c r="M482" s="21" t="str">
        <f aca="false">IF(A482="","",IF(COUNTIF($A$9:A482,A482)=1,MAX($M$8:M481)+1,""))</f>
        <v/>
      </c>
    </row>
    <row r="483" customFormat="false" ht="15" hidden="false" customHeight="false" outlineLevel="0" collapsed="false">
      <c r="A483" s="8"/>
      <c r="B483" s="17"/>
      <c r="C483" s="19"/>
      <c r="D483" s="8"/>
      <c r="E483" s="18"/>
      <c r="F483" s="18"/>
      <c r="G483" s="8"/>
      <c r="H483" s="8"/>
      <c r="I483" s="8"/>
      <c r="J483" s="8"/>
      <c r="K483" s="10" t="str">
        <f aca="false">IF(A483="","",IF(ABS(SUMIFS($E$9:$E$2008,$A$9:$A$2008,A483)-SUMIFS($F$9:$F$2008,$A$9:$A$2008,A483))&lt;0.5,"Yes","No"))</f>
        <v/>
      </c>
      <c r="L483" s="10" t="str">
        <f aca="false">IF(A483="","",IF(IF(K483="No","Does not balance | ","")&amp;IF(I483="","Not approved | ",IF(UPPER(TRIM(H483))=UPPER(TRIM(I483)),"Self-approved | ",""))&amp;IF(J483="","No support | ","")&amp;IF(WEEKDAY(B483,2)&gt;5,"Weekend posting | ","")&amp;IF(COUNTIF(Settings!$A$14:$A$43,B483)&gt;0,"Holiday posting | ","")&amp;IF(B483&gt;Settings!$C$8,"Posted after close | ","")&amp;IF(OR(B483&lt;Settings!$C$6,B483&gt;Settings!$C$7),"Outside period | ","")&amp;IF(COUNTIF(Settings!$E$14:$E$43,C483&amp;"")&gt;0,"Sensitive account | ","")&amp;IF(AND(MAX(N(E483),N(F483))&gt;=Settings!$C$9,MOD(MAX(N(E483),N(F483)),Settings!$C$10)=0),"Round amount | ","")="","",LEFT(IF(K483="No","Does not balance | ","")&amp;IF(I483="","Not approved | ",IF(UPPER(TRIM(H483))=UPPER(TRIM(I483)),"Self-approved | ",""))&amp;IF(J483="","No support | ","")&amp;IF(WEEKDAY(B483,2)&gt;5,"Weekend posting | ","")&amp;IF(COUNTIF(Settings!$A$14:$A$43,B483)&gt;0,"Holiday posting | ","")&amp;IF(B483&gt;Settings!$C$8,"Posted after close | ","")&amp;IF(OR(B483&lt;Settings!$C$6,B483&gt;Settings!$C$7),"Outside period | ","")&amp;IF(COUNTIF(Settings!$E$14:$E$43,C483&amp;"")&gt;0,"Sensitive account | ","")&amp;IF(AND(MAX(N(E483),N(F483))&gt;=Settings!$C$9,MOD(MAX(N(E483),N(F483)),Settings!$C$10)=0),"Round amount | ",""),LEN(IF(K483="No","Does not balance | ","")&amp;IF(I483="","Not approved | ",IF(UPPER(TRIM(H483))=UPPER(TRIM(I483)),"Self-approved | ",""))&amp;IF(J483="","No support | ","")&amp;IF(WEEKDAY(B483,2)&gt;5,"Weekend posting | ","")&amp;IF(COUNTIF(Settings!$A$14:$A$43,B483)&gt;0,"Holiday posting | ","")&amp;IF(B483&gt;Settings!$C$8,"Posted after close | ","")&amp;IF(OR(B483&lt;Settings!$C$6,B483&gt;Settings!$C$7),"Outside period | ","")&amp;IF(COUNTIF(Settings!$E$14:$E$43,C483&amp;"")&gt;0,"Sensitive account | ","")&amp;IF(AND(MAX(N(E483),N(F483))&gt;=Settings!$C$9,MOD(MAX(N(E483),N(F483)),Settings!$C$10)=0),"Round amount | ",""))-3)))</f>
        <v/>
      </c>
      <c r="M483" s="21" t="str">
        <f aca="false">IF(A483="","",IF(COUNTIF($A$9:A483,A483)=1,MAX($M$8:M482)+1,""))</f>
        <v/>
      </c>
    </row>
    <row r="484" customFormat="false" ht="15" hidden="false" customHeight="false" outlineLevel="0" collapsed="false">
      <c r="A484" s="8"/>
      <c r="B484" s="17"/>
      <c r="C484" s="19"/>
      <c r="D484" s="8"/>
      <c r="E484" s="18"/>
      <c r="F484" s="18"/>
      <c r="G484" s="8"/>
      <c r="H484" s="8"/>
      <c r="I484" s="8"/>
      <c r="J484" s="8"/>
      <c r="K484" s="10" t="str">
        <f aca="false">IF(A484="","",IF(ABS(SUMIFS($E$9:$E$2008,$A$9:$A$2008,A484)-SUMIFS($F$9:$F$2008,$A$9:$A$2008,A484))&lt;0.5,"Yes","No"))</f>
        <v/>
      </c>
      <c r="L484" s="10" t="str">
        <f aca="false">IF(A484="","",IF(IF(K484="No","Does not balance | ","")&amp;IF(I484="","Not approved | ",IF(UPPER(TRIM(H484))=UPPER(TRIM(I484)),"Self-approved | ",""))&amp;IF(J484="","No support | ","")&amp;IF(WEEKDAY(B484,2)&gt;5,"Weekend posting | ","")&amp;IF(COUNTIF(Settings!$A$14:$A$43,B484)&gt;0,"Holiday posting | ","")&amp;IF(B484&gt;Settings!$C$8,"Posted after close | ","")&amp;IF(OR(B484&lt;Settings!$C$6,B484&gt;Settings!$C$7),"Outside period | ","")&amp;IF(COUNTIF(Settings!$E$14:$E$43,C484&amp;"")&gt;0,"Sensitive account | ","")&amp;IF(AND(MAX(N(E484),N(F484))&gt;=Settings!$C$9,MOD(MAX(N(E484),N(F484)),Settings!$C$10)=0),"Round amount | ","")="","",LEFT(IF(K484="No","Does not balance | ","")&amp;IF(I484="","Not approved | ",IF(UPPER(TRIM(H484))=UPPER(TRIM(I484)),"Self-approved | ",""))&amp;IF(J484="","No support | ","")&amp;IF(WEEKDAY(B484,2)&gt;5,"Weekend posting | ","")&amp;IF(COUNTIF(Settings!$A$14:$A$43,B484)&gt;0,"Holiday posting | ","")&amp;IF(B484&gt;Settings!$C$8,"Posted after close | ","")&amp;IF(OR(B484&lt;Settings!$C$6,B484&gt;Settings!$C$7),"Outside period | ","")&amp;IF(COUNTIF(Settings!$E$14:$E$43,C484&amp;"")&gt;0,"Sensitive account | ","")&amp;IF(AND(MAX(N(E484),N(F484))&gt;=Settings!$C$9,MOD(MAX(N(E484),N(F484)),Settings!$C$10)=0),"Round amount | ",""),LEN(IF(K484="No","Does not balance | ","")&amp;IF(I484="","Not approved | ",IF(UPPER(TRIM(H484))=UPPER(TRIM(I484)),"Self-approved | ",""))&amp;IF(J484="","No support | ","")&amp;IF(WEEKDAY(B484,2)&gt;5,"Weekend posting | ","")&amp;IF(COUNTIF(Settings!$A$14:$A$43,B484)&gt;0,"Holiday posting | ","")&amp;IF(B484&gt;Settings!$C$8,"Posted after close | ","")&amp;IF(OR(B484&lt;Settings!$C$6,B484&gt;Settings!$C$7),"Outside period | ","")&amp;IF(COUNTIF(Settings!$E$14:$E$43,C484&amp;"")&gt;0,"Sensitive account | ","")&amp;IF(AND(MAX(N(E484),N(F484))&gt;=Settings!$C$9,MOD(MAX(N(E484),N(F484)),Settings!$C$10)=0),"Round amount | ",""))-3)))</f>
        <v/>
      </c>
      <c r="M484" s="21" t="str">
        <f aca="false">IF(A484="","",IF(COUNTIF($A$9:A484,A484)=1,MAX($M$8:M483)+1,""))</f>
        <v/>
      </c>
    </row>
    <row r="485" customFormat="false" ht="15" hidden="false" customHeight="false" outlineLevel="0" collapsed="false">
      <c r="A485" s="8"/>
      <c r="B485" s="17"/>
      <c r="C485" s="19"/>
      <c r="D485" s="8"/>
      <c r="E485" s="18"/>
      <c r="F485" s="18"/>
      <c r="G485" s="8"/>
      <c r="H485" s="8"/>
      <c r="I485" s="8"/>
      <c r="J485" s="8"/>
      <c r="K485" s="10" t="str">
        <f aca="false">IF(A485="","",IF(ABS(SUMIFS($E$9:$E$2008,$A$9:$A$2008,A485)-SUMIFS($F$9:$F$2008,$A$9:$A$2008,A485))&lt;0.5,"Yes","No"))</f>
        <v/>
      </c>
      <c r="L485" s="10" t="str">
        <f aca="false">IF(A485="","",IF(IF(K485="No","Does not balance | ","")&amp;IF(I485="","Not approved | ",IF(UPPER(TRIM(H485))=UPPER(TRIM(I485)),"Self-approved | ",""))&amp;IF(J485="","No support | ","")&amp;IF(WEEKDAY(B485,2)&gt;5,"Weekend posting | ","")&amp;IF(COUNTIF(Settings!$A$14:$A$43,B485)&gt;0,"Holiday posting | ","")&amp;IF(B485&gt;Settings!$C$8,"Posted after close | ","")&amp;IF(OR(B485&lt;Settings!$C$6,B485&gt;Settings!$C$7),"Outside period | ","")&amp;IF(COUNTIF(Settings!$E$14:$E$43,C485&amp;"")&gt;0,"Sensitive account | ","")&amp;IF(AND(MAX(N(E485),N(F485))&gt;=Settings!$C$9,MOD(MAX(N(E485),N(F485)),Settings!$C$10)=0),"Round amount | ","")="","",LEFT(IF(K485="No","Does not balance | ","")&amp;IF(I485="","Not approved | ",IF(UPPER(TRIM(H485))=UPPER(TRIM(I485)),"Self-approved | ",""))&amp;IF(J485="","No support | ","")&amp;IF(WEEKDAY(B485,2)&gt;5,"Weekend posting | ","")&amp;IF(COUNTIF(Settings!$A$14:$A$43,B485)&gt;0,"Holiday posting | ","")&amp;IF(B485&gt;Settings!$C$8,"Posted after close | ","")&amp;IF(OR(B485&lt;Settings!$C$6,B485&gt;Settings!$C$7),"Outside period | ","")&amp;IF(COUNTIF(Settings!$E$14:$E$43,C485&amp;"")&gt;0,"Sensitive account | ","")&amp;IF(AND(MAX(N(E485),N(F485))&gt;=Settings!$C$9,MOD(MAX(N(E485),N(F485)),Settings!$C$10)=0),"Round amount | ",""),LEN(IF(K485="No","Does not balance | ","")&amp;IF(I485="","Not approved | ",IF(UPPER(TRIM(H485))=UPPER(TRIM(I485)),"Self-approved | ",""))&amp;IF(J485="","No support | ","")&amp;IF(WEEKDAY(B485,2)&gt;5,"Weekend posting | ","")&amp;IF(COUNTIF(Settings!$A$14:$A$43,B485)&gt;0,"Holiday posting | ","")&amp;IF(B485&gt;Settings!$C$8,"Posted after close | ","")&amp;IF(OR(B485&lt;Settings!$C$6,B485&gt;Settings!$C$7),"Outside period | ","")&amp;IF(COUNTIF(Settings!$E$14:$E$43,C485&amp;"")&gt;0,"Sensitive account | ","")&amp;IF(AND(MAX(N(E485),N(F485))&gt;=Settings!$C$9,MOD(MAX(N(E485),N(F485)),Settings!$C$10)=0),"Round amount | ",""))-3)))</f>
        <v/>
      </c>
      <c r="M485" s="21" t="str">
        <f aca="false">IF(A485="","",IF(COUNTIF($A$9:A485,A485)=1,MAX($M$8:M484)+1,""))</f>
        <v/>
      </c>
    </row>
    <row r="486" customFormat="false" ht="15" hidden="false" customHeight="false" outlineLevel="0" collapsed="false">
      <c r="A486" s="8"/>
      <c r="B486" s="17"/>
      <c r="C486" s="19"/>
      <c r="D486" s="8"/>
      <c r="E486" s="18"/>
      <c r="F486" s="18"/>
      <c r="G486" s="8"/>
      <c r="H486" s="8"/>
      <c r="I486" s="8"/>
      <c r="J486" s="8"/>
      <c r="K486" s="10" t="str">
        <f aca="false">IF(A486="","",IF(ABS(SUMIFS($E$9:$E$2008,$A$9:$A$2008,A486)-SUMIFS($F$9:$F$2008,$A$9:$A$2008,A486))&lt;0.5,"Yes","No"))</f>
        <v/>
      </c>
      <c r="L486" s="10" t="str">
        <f aca="false">IF(A486="","",IF(IF(K486="No","Does not balance | ","")&amp;IF(I486="","Not approved | ",IF(UPPER(TRIM(H486))=UPPER(TRIM(I486)),"Self-approved | ",""))&amp;IF(J486="","No support | ","")&amp;IF(WEEKDAY(B486,2)&gt;5,"Weekend posting | ","")&amp;IF(COUNTIF(Settings!$A$14:$A$43,B486)&gt;0,"Holiday posting | ","")&amp;IF(B486&gt;Settings!$C$8,"Posted after close | ","")&amp;IF(OR(B486&lt;Settings!$C$6,B486&gt;Settings!$C$7),"Outside period | ","")&amp;IF(COUNTIF(Settings!$E$14:$E$43,C486&amp;"")&gt;0,"Sensitive account | ","")&amp;IF(AND(MAX(N(E486),N(F486))&gt;=Settings!$C$9,MOD(MAX(N(E486),N(F486)),Settings!$C$10)=0),"Round amount | ","")="","",LEFT(IF(K486="No","Does not balance | ","")&amp;IF(I486="","Not approved | ",IF(UPPER(TRIM(H486))=UPPER(TRIM(I486)),"Self-approved | ",""))&amp;IF(J486="","No support | ","")&amp;IF(WEEKDAY(B486,2)&gt;5,"Weekend posting | ","")&amp;IF(COUNTIF(Settings!$A$14:$A$43,B486)&gt;0,"Holiday posting | ","")&amp;IF(B486&gt;Settings!$C$8,"Posted after close | ","")&amp;IF(OR(B486&lt;Settings!$C$6,B486&gt;Settings!$C$7),"Outside period | ","")&amp;IF(COUNTIF(Settings!$E$14:$E$43,C486&amp;"")&gt;0,"Sensitive account | ","")&amp;IF(AND(MAX(N(E486),N(F486))&gt;=Settings!$C$9,MOD(MAX(N(E486),N(F486)),Settings!$C$10)=0),"Round amount | ",""),LEN(IF(K486="No","Does not balance | ","")&amp;IF(I486="","Not approved | ",IF(UPPER(TRIM(H486))=UPPER(TRIM(I486)),"Self-approved | ",""))&amp;IF(J486="","No support | ","")&amp;IF(WEEKDAY(B486,2)&gt;5,"Weekend posting | ","")&amp;IF(COUNTIF(Settings!$A$14:$A$43,B486)&gt;0,"Holiday posting | ","")&amp;IF(B486&gt;Settings!$C$8,"Posted after close | ","")&amp;IF(OR(B486&lt;Settings!$C$6,B486&gt;Settings!$C$7),"Outside period | ","")&amp;IF(COUNTIF(Settings!$E$14:$E$43,C486&amp;"")&gt;0,"Sensitive account | ","")&amp;IF(AND(MAX(N(E486),N(F486))&gt;=Settings!$C$9,MOD(MAX(N(E486),N(F486)),Settings!$C$10)=0),"Round amount | ",""))-3)))</f>
        <v/>
      </c>
      <c r="M486" s="21" t="str">
        <f aca="false">IF(A486="","",IF(COUNTIF($A$9:A486,A486)=1,MAX($M$8:M485)+1,""))</f>
        <v/>
      </c>
    </row>
    <row r="487" customFormat="false" ht="15" hidden="false" customHeight="false" outlineLevel="0" collapsed="false">
      <c r="A487" s="8"/>
      <c r="B487" s="17"/>
      <c r="C487" s="19"/>
      <c r="D487" s="8"/>
      <c r="E487" s="18"/>
      <c r="F487" s="18"/>
      <c r="G487" s="8"/>
      <c r="H487" s="8"/>
      <c r="I487" s="8"/>
      <c r="J487" s="8"/>
      <c r="K487" s="10" t="str">
        <f aca="false">IF(A487="","",IF(ABS(SUMIFS($E$9:$E$2008,$A$9:$A$2008,A487)-SUMIFS($F$9:$F$2008,$A$9:$A$2008,A487))&lt;0.5,"Yes","No"))</f>
        <v/>
      </c>
      <c r="L487" s="10" t="str">
        <f aca="false">IF(A487="","",IF(IF(K487="No","Does not balance | ","")&amp;IF(I487="","Not approved | ",IF(UPPER(TRIM(H487))=UPPER(TRIM(I487)),"Self-approved | ",""))&amp;IF(J487="","No support | ","")&amp;IF(WEEKDAY(B487,2)&gt;5,"Weekend posting | ","")&amp;IF(COUNTIF(Settings!$A$14:$A$43,B487)&gt;0,"Holiday posting | ","")&amp;IF(B487&gt;Settings!$C$8,"Posted after close | ","")&amp;IF(OR(B487&lt;Settings!$C$6,B487&gt;Settings!$C$7),"Outside period | ","")&amp;IF(COUNTIF(Settings!$E$14:$E$43,C487&amp;"")&gt;0,"Sensitive account | ","")&amp;IF(AND(MAX(N(E487),N(F487))&gt;=Settings!$C$9,MOD(MAX(N(E487),N(F487)),Settings!$C$10)=0),"Round amount | ","")="","",LEFT(IF(K487="No","Does not balance | ","")&amp;IF(I487="","Not approved | ",IF(UPPER(TRIM(H487))=UPPER(TRIM(I487)),"Self-approved | ",""))&amp;IF(J487="","No support | ","")&amp;IF(WEEKDAY(B487,2)&gt;5,"Weekend posting | ","")&amp;IF(COUNTIF(Settings!$A$14:$A$43,B487)&gt;0,"Holiday posting | ","")&amp;IF(B487&gt;Settings!$C$8,"Posted after close | ","")&amp;IF(OR(B487&lt;Settings!$C$6,B487&gt;Settings!$C$7),"Outside period | ","")&amp;IF(COUNTIF(Settings!$E$14:$E$43,C487&amp;"")&gt;0,"Sensitive account | ","")&amp;IF(AND(MAX(N(E487),N(F487))&gt;=Settings!$C$9,MOD(MAX(N(E487),N(F487)),Settings!$C$10)=0),"Round amount | ",""),LEN(IF(K487="No","Does not balance | ","")&amp;IF(I487="","Not approved | ",IF(UPPER(TRIM(H487))=UPPER(TRIM(I487)),"Self-approved | ",""))&amp;IF(J487="","No support | ","")&amp;IF(WEEKDAY(B487,2)&gt;5,"Weekend posting | ","")&amp;IF(COUNTIF(Settings!$A$14:$A$43,B487)&gt;0,"Holiday posting | ","")&amp;IF(B487&gt;Settings!$C$8,"Posted after close | ","")&amp;IF(OR(B487&lt;Settings!$C$6,B487&gt;Settings!$C$7),"Outside period | ","")&amp;IF(COUNTIF(Settings!$E$14:$E$43,C487&amp;"")&gt;0,"Sensitive account | ","")&amp;IF(AND(MAX(N(E487),N(F487))&gt;=Settings!$C$9,MOD(MAX(N(E487),N(F487)),Settings!$C$10)=0),"Round amount | ",""))-3)))</f>
        <v/>
      </c>
      <c r="M487" s="21" t="str">
        <f aca="false">IF(A487="","",IF(COUNTIF($A$9:A487,A487)=1,MAX($M$8:M486)+1,""))</f>
        <v/>
      </c>
    </row>
    <row r="488" customFormat="false" ht="15" hidden="false" customHeight="false" outlineLevel="0" collapsed="false">
      <c r="A488" s="8"/>
      <c r="B488" s="17"/>
      <c r="C488" s="19"/>
      <c r="D488" s="8"/>
      <c r="E488" s="18"/>
      <c r="F488" s="18"/>
      <c r="G488" s="8"/>
      <c r="H488" s="8"/>
      <c r="I488" s="8"/>
      <c r="J488" s="8"/>
      <c r="K488" s="10" t="str">
        <f aca="false">IF(A488="","",IF(ABS(SUMIFS($E$9:$E$2008,$A$9:$A$2008,A488)-SUMIFS($F$9:$F$2008,$A$9:$A$2008,A488))&lt;0.5,"Yes","No"))</f>
        <v/>
      </c>
      <c r="L488" s="10" t="str">
        <f aca="false">IF(A488="","",IF(IF(K488="No","Does not balance | ","")&amp;IF(I488="","Not approved | ",IF(UPPER(TRIM(H488))=UPPER(TRIM(I488)),"Self-approved | ",""))&amp;IF(J488="","No support | ","")&amp;IF(WEEKDAY(B488,2)&gt;5,"Weekend posting | ","")&amp;IF(COUNTIF(Settings!$A$14:$A$43,B488)&gt;0,"Holiday posting | ","")&amp;IF(B488&gt;Settings!$C$8,"Posted after close | ","")&amp;IF(OR(B488&lt;Settings!$C$6,B488&gt;Settings!$C$7),"Outside period | ","")&amp;IF(COUNTIF(Settings!$E$14:$E$43,C488&amp;"")&gt;0,"Sensitive account | ","")&amp;IF(AND(MAX(N(E488),N(F488))&gt;=Settings!$C$9,MOD(MAX(N(E488),N(F488)),Settings!$C$10)=0),"Round amount | ","")="","",LEFT(IF(K488="No","Does not balance | ","")&amp;IF(I488="","Not approved | ",IF(UPPER(TRIM(H488))=UPPER(TRIM(I488)),"Self-approved | ",""))&amp;IF(J488="","No support | ","")&amp;IF(WEEKDAY(B488,2)&gt;5,"Weekend posting | ","")&amp;IF(COUNTIF(Settings!$A$14:$A$43,B488)&gt;0,"Holiday posting | ","")&amp;IF(B488&gt;Settings!$C$8,"Posted after close | ","")&amp;IF(OR(B488&lt;Settings!$C$6,B488&gt;Settings!$C$7),"Outside period | ","")&amp;IF(COUNTIF(Settings!$E$14:$E$43,C488&amp;"")&gt;0,"Sensitive account | ","")&amp;IF(AND(MAX(N(E488),N(F488))&gt;=Settings!$C$9,MOD(MAX(N(E488),N(F488)),Settings!$C$10)=0),"Round amount | ",""),LEN(IF(K488="No","Does not balance | ","")&amp;IF(I488="","Not approved | ",IF(UPPER(TRIM(H488))=UPPER(TRIM(I488)),"Self-approved | ",""))&amp;IF(J488="","No support | ","")&amp;IF(WEEKDAY(B488,2)&gt;5,"Weekend posting | ","")&amp;IF(COUNTIF(Settings!$A$14:$A$43,B488)&gt;0,"Holiday posting | ","")&amp;IF(B488&gt;Settings!$C$8,"Posted after close | ","")&amp;IF(OR(B488&lt;Settings!$C$6,B488&gt;Settings!$C$7),"Outside period | ","")&amp;IF(COUNTIF(Settings!$E$14:$E$43,C488&amp;"")&gt;0,"Sensitive account | ","")&amp;IF(AND(MAX(N(E488),N(F488))&gt;=Settings!$C$9,MOD(MAX(N(E488),N(F488)),Settings!$C$10)=0),"Round amount | ",""))-3)))</f>
        <v/>
      </c>
      <c r="M488" s="21" t="str">
        <f aca="false">IF(A488="","",IF(COUNTIF($A$9:A488,A488)=1,MAX($M$8:M487)+1,""))</f>
        <v/>
      </c>
    </row>
    <row r="489" customFormat="false" ht="15" hidden="false" customHeight="false" outlineLevel="0" collapsed="false">
      <c r="A489" s="8"/>
      <c r="B489" s="17"/>
      <c r="C489" s="19"/>
      <c r="D489" s="8"/>
      <c r="E489" s="18"/>
      <c r="F489" s="18"/>
      <c r="G489" s="8"/>
      <c r="H489" s="8"/>
      <c r="I489" s="8"/>
      <c r="J489" s="8"/>
      <c r="K489" s="10" t="str">
        <f aca="false">IF(A489="","",IF(ABS(SUMIFS($E$9:$E$2008,$A$9:$A$2008,A489)-SUMIFS($F$9:$F$2008,$A$9:$A$2008,A489))&lt;0.5,"Yes","No"))</f>
        <v/>
      </c>
      <c r="L489" s="10" t="str">
        <f aca="false">IF(A489="","",IF(IF(K489="No","Does not balance | ","")&amp;IF(I489="","Not approved | ",IF(UPPER(TRIM(H489))=UPPER(TRIM(I489)),"Self-approved | ",""))&amp;IF(J489="","No support | ","")&amp;IF(WEEKDAY(B489,2)&gt;5,"Weekend posting | ","")&amp;IF(COUNTIF(Settings!$A$14:$A$43,B489)&gt;0,"Holiday posting | ","")&amp;IF(B489&gt;Settings!$C$8,"Posted after close | ","")&amp;IF(OR(B489&lt;Settings!$C$6,B489&gt;Settings!$C$7),"Outside period | ","")&amp;IF(COUNTIF(Settings!$E$14:$E$43,C489&amp;"")&gt;0,"Sensitive account | ","")&amp;IF(AND(MAX(N(E489),N(F489))&gt;=Settings!$C$9,MOD(MAX(N(E489),N(F489)),Settings!$C$10)=0),"Round amount | ","")="","",LEFT(IF(K489="No","Does not balance | ","")&amp;IF(I489="","Not approved | ",IF(UPPER(TRIM(H489))=UPPER(TRIM(I489)),"Self-approved | ",""))&amp;IF(J489="","No support | ","")&amp;IF(WEEKDAY(B489,2)&gt;5,"Weekend posting | ","")&amp;IF(COUNTIF(Settings!$A$14:$A$43,B489)&gt;0,"Holiday posting | ","")&amp;IF(B489&gt;Settings!$C$8,"Posted after close | ","")&amp;IF(OR(B489&lt;Settings!$C$6,B489&gt;Settings!$C$7),"Outside period | ","")&amp;IF(COUNTIF(Settings!$E$14:$E$43,C489&amp;"")&gt;0,"Sensitive account | ","")&amp;IF(AND(MAX(N(E489),N(F489))&gt;=Settings!$C$9,MOD(MAX(N(E489),N(F489)),Settings!$C$10)=0),"Round amount | ",""),LEN(IF(K489="No","Does not balance | ","")&amp;IF(I489="","Not approved | ",IF(UPPER(TRIM(H489))=UPPER(TRIM(I489)),"Self-approved | ",""))&amp;IF(J489="","No support | ","")&amp;IF(WEEKDAY(B489,2)&gt;5,"Weekend posting | ","")&amp;IF(COUNTIF(Settings!$A$14:$A$43,B489)&gt;0,"Holiday posting | ","")&amp;IF(B489&gt;Settings!$C$8,"Posted after close | ","")&amp;IF(OR(B489&lt;Settings!$C$6,B489&gt;Settings!$C$7),"Outside period | ","")&amp;IF(COUNTIF(Settings!$E$14:$E$43,C489&amp;"")&gt;0,"Sensitive account | ","")&amp;IF(AND(MAX(N(E489),N(F489))&gt;=Settings!$C$9,MOD(MAX(N(E489),N(F489)),Settings!$C$10)=0),"Round amount | ",""))-3)))</f>
        <v/>
      </c>
      <c r="M489" s="21" t="str">
        <f aca="false">IF(A489="","",IF(COUNTIF($A$9:A489,A489)=1,MAX($M$8:M488)+1,""))</f>
        <v/>
      </c>
    </row>
    <row r="490" customFormat="false" ht="15" hidden="false" customHeight="false" outlineLevel="0" collapsed="false">
      <c r="A490" s="8"/>
      <c r="B490" s="17"/>
      <c r="C490" s="19"/>
      <c r="D490" s="8"/>
      <c r="E490" s="18"/>
      <c r="F490" s="18"/>
      <c r="G490" s="8"/>
      <c r="H490" s="8"/>
      <c r="I490" s="8"/>
      <c r="J490" s="8"/>
      <c r="K490" s="10" t="str">
        <f aca="false">IF(A490="","",IF(ABS(SUMIFS($E$9:$E$2008,$A$9:$A$2008,A490)-SUMIFS($F$9:$F$2008,$A$9:$A$2008,A490))&lt;0.5,"Yes","No"))</f>
        <v/>
      </c>
      <c r="L490" s="10" t="str">
        <f aca="false">IF(A490="","",IF(IF(K490="No","Does not balance | ","")&amp;IF(I490="","Not approved | ",IF(UPPER(TRIM(H490))=UPPER(TRIM(I490)),"Self-approved | ",""))&amp;IF(J490="","No support | ","")&amp;IF(WEEKDAY(B490,2)&gt;5,"Weekend posting | ","")&amp;IF(COUNTIF(Settings!$A$14:$A$43,B490)&gt;0,"Holiday posting | ","")&amp;IF(B490&gt;Settings!$C$8,"Posted after close | ","")&amp;IF(OR(B490&lt;Settings!$C$6,B490&gt;Settings!$C$7),"Outside period | ","")&amp;IF(COUNTIF(Settings!$E$14:$E$43,C490&amp;"")&gt;0,"Sensitive account | ","")&amp;IF(AND(MAX(N(E490),N(F490))&gt;=Settings!$C$9,MOD(MAX(N(E490),N(F490)),Settings!$C$10)=0),"Round amount | ","")="","",LEFT(IF(K490="No","Does not balance | ","")&amp;IF(I490="","Not approved | ",IF(UPPER(TRIM(H490))=UPPER(TRIM(I490)),"Self-approved | ",""))&amp;IF(J490="","No support | ","")&amp;IF(WEEKDAY(B490,2)&gt;5,"Weekend posting | ","")&amp;IF(COUNTIF(Settings!$A$14:$A$43,B490)&gt;0,"Holiday posting | ","")&amp;IF(B490&gt;Settings!$C$8,"Posted after close | ","")&amp;IF(OR(B490&lt;Settings!$C$6,B490&gt;Settings!$C$7),"Outside period | ","")&amp;IF(COUNTIF(Settings!$E$14:$E$43,C490&amp;"")&gt;0,"Sensitive account | ","")&amp;IF(AND(MAX(N(E490),N(F490))&gt;=Settings!$C$9,MOD(MAX(N(E490),N(F490)),Settings!$C$10)=0),"Round amount | ",""),LEN(IF(K490="No","Does not balance | ","")&amp;IF(I490="","Not approved | ",IF(UPPER(TRIM(H490))=UPPER(TRIM(I490)),"Self-approved | ",""))&amp;IF(J490="","No support | ","")&amp;IF(WEEKDAY(B490,2)&gt;5,"Weekend posting | ","")&amp;IF(COUNTIF(Settings!$A$14:$A$43,B490)&gt;0,"Holiday posting | ","")&amp;IF(B490&gt;Settings!$C$8,"Posted after close | ","")&amp;IF(OR(B490&lt;Settings!$C$6,B490&gt;Settings!$C$7),"Outside period | ","")&amp;IF(COUNTIF(Settings!$E$14:$E$43,C490&amp;"")&gt;0,"Sensitive account | ","")&amp;IF(AND(MAX(N(E490),N(F490))&gt;=Settings!$C$9,MOD(MAX(N(E490),N(F490)),Settings!$C$10)=0),"Round amount | ",""))-3)))</f>
        <v/>
      </c>
      <c r="M490" s="21" t="str">
        <f aca="false">IF(A490="","",IF(COUNTIF($A$9:A490,A490)=1,MAX($M$8:M489)+1,""))</f>
        <v/>
      </c>
    </row>
    <row r="491" customFormat="false" ht="15" hidden="false" customHeight="false" outlineLevel="0" collapsed="false">
      <c r="A491" s="8"/>
      <c r="B491" s="17"/>
      <c r="C491" s="19"/>
      <c r="D491" s="8"/>
      <c r="E491" s="18"/>
      <c r="F491" s="18"/>
      <c r="G491" s="8"/>
      <c r="H491" s="8"/>
      <c r="I491" s="8"/>
      <c r="J491" s="8"/>
      <c r="K491" s="10" t="str">
        <f aca="false">IF(A491="","",IF(ABS(SUMIFS($E$9:$E$2008,$A$9:$A$2008,A491)-SUMIFS($F$9:$F$2008,$A$9:$A$2008,A491))&lt;0.5,"Yes","No"))</f>
        <v/>
      </c>
      <c r="L491" s="10" t="str">
        <f aca="false">IF(A491="","",IF(IF(K491="No","Does not balance | ","")&amp;IF(I491="","Not approved | ",IF(UPPER(TRIM(H491))=UPPER(TRIM(I491)),"Self-approved | ",""))&amp;IF(J491="","No support | ","")&amp;IF(WEEKDAY(B491,2)&gt;5,"Weekend posting | ","")&amp;IF(COUNTIF(Settings!$A$14:$A$43,B491)&gt;0,"Holiday posting | ","")&amp;IF(B491&gt;Settings!$C$8,"Posted after close | ","")&amp;IF(OR(B491&lt;Settings!$C$6,B491&gt;Settings!$C$7),"Outside period | ","")&amp;IF(COUNTIF(Settings!$E$14:$E$43,C491&amp;"")&gt;0,"Sensitive account | ","")&amp;IF(AND(MAX(N(E491),N(F491))&gt;=Settings!$C$9,MOD(MAX(N(E491),N(F491)),Settings!$C$10)=0),"Round amount | ","")="","",LEFT(IF(K491="No","Does not balance | ","")&amp;IF(I491="","Not approved | ",IF(UPPER(TRIM(H491))=UPPER(TRIM(I491)),"Self-approved | ",""))&amp;IF(J491="","No support | ","")&amp;IF(WEEKDAY(B491,2)&gt;5,"Weekend posting | ","")&amp;IF(COUNTIF(Settings!$A$14:$A$43,B491)&gt;0,"Holiday posting | ","")&amp;IF(B491&gt;Settings!$C$8,"Posted after close | ","")&amp;IF(OR(B491&lt;Settings!$C$6,B491&gt;Settings!$C$7),"Outside period | ","")&amp;IF(COUNTIF(Settings!$E$14:$E$43,C491&amp;"")&gt;0,"Sensitive account | ","")&amp;IF(AND(MAX(N(E491),N(F491))&gt;=Settings!$C$9,MOD(MAX(N(E491),N(F491)),Settings!$C$10)=0),"Round amount | ",""),LEN(IF(K491="No","Does not balance | ","")&amp;IF(I491="","Not approved | ",IF(UPPER(TRIM(H491))=UPPER(TRIM(I491)),"Self-approved | ",""))&amp;IF(J491="","No support | ","")&amp;IF(WEEKDAY(B491,2)&gt;5,"Weekend posting | ","")&amp;IF(COUNTIF(Settings!$A$14:$A$43,B491)&gt;0,"Holiday posting | ","")&amp;IF(B491&gt;Settings!$C$8,"Posted after close | ","")&amp;IF(OR(B491&lt;Settings!$C$6,B491&gt;Settings!$C$7),"Outside period | ","")&amp;IF(COUNTIF(Settings!$E$14:$E$43,C491&amp;"")&gt;0,"Sensitive account | ","")&amp;IF(AND(MAX(N(E491),N(F491))&gt;=Settings!$C$9,MOD(MAX(N(E491),N(F491)),Settings!$C$10)=0),"Round amount | ",""))-3)))</f>
        <v/>
      </c>
      <c r="M491" s="21" t="str">
        <f aca="false">IF(A491="","",IF(COUNTIF($A$9:A491,A491)=1,MAX($M$8:M490)+1,""))</f>
        <v/>
      </c>
    </row>
    <row r="492" customFormat="false" ht="15" hidden="false" customHeight="false" outlineLevel="0" collapsed="false">
      <c r="A492" s="8"/>
      <c r="B492" s="17"/>
      <c r="C492" s="19"/>
      <c r="D492" s="8"/>
      <c r="E492" s="18"/>
      <c r="F492" s="18"/>
      <c r="G492" s="8"/>
      <c r="H492" s="8"/>
      <c r="I492" s="8"/>
      <c r="J492" s="8"/>
      <c r="K492" s="10" t="str">
        <f aca="false">IF(A492="","",IF(ABS(SUMIFS($E$9:$E$2008,$A$9:$A$2008,A492)-SUMIFS($F$9:$F$2008,$A$9:$A$2008,A492))&lt;0.5,"Yes","No"))</f>
        <v/>
      </c>
      <c r="L492" s="10" t="str">
        <f aca="false">IF(A492="","",IF(IF(K492="No","Does not balance | ","")&amp;IF(I492="","Not approved | ",IF(UPPER(TRIM(H492))=UPPER(TRIM(I492)),"Self-approved | ",""))&amp;IF(J492="","No support | ","")&amp;IF(WEEKDAY(B492,2)&gt;5,"Weekend posting | ","")&amp;IF(COUNTIF(Settings!$A$14:$A$43,B492)&gt;0,"Holiday posting | ","")&amp;IF(B492&gt;Settings!$C$8,"Posted after close | ","")&amp;IF(OR(B492&lt;Settings!$C$6,B492&gt;Settings!$C$7),"Outside period | ","")&amp;IF(COUNTIF(Settings!$E$14:$E$43,C492&amp;"")&gt;0,"Sensitive account | ","")&amp;IF(AND(MAX(N(E492),N(F492))&gt;=Settings!$C$9,MOD(MAX(N(E492),N(F492)),Settings!$C$10)=0),"Round amount | ","")="","",LEFT(IF(K492="No","Does not balance | ","")&amp;IF(I492="","Not approved | ",IF(UPPER(TRIM(H492))=UPPER(TRIM(I492)),"Self-approved | ",""))&amp;IF(J492="","No support | ","")&amp;IF(WEEKDAY(B492,2)&gt;5,"Weekend posting | ","")&amp;IF(COUNTIF(Settings!$A$14:$A$43,B492)&gt;0,"Holiday posting | ","")&amp;IF(B492&gt;Settings!$C$8,"Posted after close | ","")&amp;IF(OR(B492&lt;Settings!$C$6,B492&gt;Settings!$C$7),"Outside period | ","")&amp;IF(COUNTIF(Settings!$E$14:$E$43,C492&amp;"")&gt;0,"Sensitive account | ","")&amp;IF(AND(MAX(N(E492),N(F492))&gt;=Settings!$C$9,MOD(MAX(N(E492),N(F492)),Settings!$C$10)=0),"Round amount | ",""),LEN(IF(K492="No","Does not balance | ","")&amp;IF(I492="","Not approved | ",IF(UPPER(TRIM(H492))=UPPER(TRIM(I492)),"Self-approved | ",""))&amp;IF(J492="","No support | ","")&amp;IF(WEEKDAY(B492,2)&gt;5,"Weekend posting | ","")&amp;IF(COUNTIF(Settings!$A$14:$A$43,B492)&gt;0,"Holiday posting | ","")&amp;IF(B492&gt;Settings!$C$8,"Posted after close | ","")&amp;IF(OR(B492&lt;Settings!$C$6,B492&gt;Settings!$C$7),"Outside period | ","")&amp;IF(COUNTIF(Settings!$E$14:$E$43,C492&amp;"")&gt;0,"Sensitive account | ","")&amp;IF(AND(MAX(N(E492),N(F492))&gt;=Settings!$C$9,MOD(MAX(N(E492),N(F492)),Settings!$C$10)=0),"Round amount | ",""))-3)))</f>
        <v/>
      </c>
      <c r="M492" s="21" t="str">
        <f aca="false">IF(A492="","",IF(COUNTIF($A$9:A492,A492)=1,MAX($M$8:M491)+1,""))</f>
        <v/>
      </c>
    </row>
    <row r="493" customFormat="false" ht="15" hidden="false" customHeight="false" outlineLevel="0" collapsed="false">
      <c r="A493" s="8"/>
      <c r="B493" s="17"/>
      <c r="C493" s="19"/>
      <c r="D493" s="8"/>
      <c r="E493" s="18"/>
      <c r="F493" s="18"/>
      <c r="G493" s="8"/>
      <c r="H493" s="8"/>
      <c r="I493" s="8"/>
      <c r="J493" s="8"/>
      <c r="K493" s="10" t="str">
        <f aca="false">IF(A493="","",IF(ABS(SUMIFS($E$9:$E$2008,$A$9:$A$2008,A493)-SUMIFS($F$9:$F$2008,$A$9:$A$2008,A493))&lt;0.5,"Yes","No"))</f>
        <v/>
      </c>
      <c r="L493" s="10" t="str">
        <f aca="false">IF(A493="","",IF(IF(K493="No","Does not balance | ","")&amp;IF(I493="","Not approved | ",IF(UPPER(TRIM(H493))=UPPER(TRIM(I493)),"Self-approved | ",""))&amp;IF(J493="","No support | ","")&amp;IF(WEEKDAY(B493,2)&gt;5,"Weekend posting | ","")&amp;IF(COUNTIF(Settings!$A$14:$A$43,B493)&gt;0,"Holiday posting | ","")&amp;IF(B493&gt;Settings!$C$8,"Posted after close | ","")&amp;IF(OR(B493&lt;Settings!$C$6,B493&gt;Settings!$C$7),"Outside period | ","")&amp;IF(COUNTIF(Settings!$E$14:$E$43,C493&amp;"")&gt;0,"Sensitive account | ","")&amp;IF(AND(MAX(N(E493),N(F493))&gt;=Settings!$C$9,MOD(MAX(N(E493),N(F493)),Settings!$C$10)=0),"Round amount | ","")="","",LEFT(IF(K493="No","Does not balance | ","")&amp;IF(I493="","Not approved | ",IF(UPPER(TRIM(H493))=UPPER(TRIM(I493)),"Self-approved | ",""))&amp;IF(J493="","No support | ","")&amp;IF(WEEKDAY(B493,2)&gt;5,"Weekend posting | ","")&amp;IF(COUNTIF(Settings!$A$14:$A$43,B493)&gt;0,"Holiday posting | ","")&amp;IF(B493&gt;Settings!$C$8,"Posted after close | ","")&amp;IF(OR(B493&lt;Settings!$C$6,B493&gt;Settings!$C$7),"Outside period | ","")&amp;IF(COUNTIF(Settings!$E$14:$E$43,C493&amp;"")&gt;0,"Sensitive account | ","")&amp;IF(AND(MAX(N(E493),N(F493))&gt;=Settings!$C$9,MOD(MAX(N(E493),N(F493)),Settings!$C$10)=0),"Round amount | ",""),LEN(IF(K493="No","Does not balance | ","")&amp;IF(I493="","Not approved | ",IF(UPPER(TRIM(H493))=UPPER(TRIM(I493)),"Self-approved | ",""))&amp;IF(J493="","No support | ","")&amp;IF(WEEKDAY(B493,2)&gt;5,"Weekend posting | ","")&amp;IF(COUNTIF(Settings!$A$14:$A$43,B493)&gt;0,"Holiday posting | ","")&amp;IF(B493&gt;Settings!$C$8,"Posted after close | ","")&amp;IF(OR(B493&lt;Settings!$C$6,B493&gt;Settings!$C$7),"Outside period | ","")&amp;IF(COUNTIF(Settings!$E$14:$E$43,C493&amp;"")&gt;0,"Sensitive account | ","")&amp;IF(AND(MAX(N(E493),N(F493))&gt;=Settings!$C$9,MOD(MAX(N(E493),N(F493)),Settings!$C$10)=0),"Round amount | ",""))-3)))</f>
        <v/>
      </c>
      <c r="M493" s="21" t="str">
        <f aca="false">IF(A493="","",IF(COUNTIF($A$9:A493,A493)=1,MAX($M$8:M492)+1,""))</f>
        <v/>
      </c>
    </row>
    <row r="494" customFormat="false" ht="15" hidden="false" customHeight="false" outlineLevel="0" collapsed="false">
      <c r="A494" s="8"/>
      <c r="B494" s="17"/>
      <c r="C494" s="19"/>
      <c r="D494" s="8"/>
      <c r="E494" s="18"/>
      <c r="F494" s="18"/>
      <c r="G494" s="8"/>
      <c r="H494" s="8"/>
      <c r="I494" s="8"/>
      <c r="J494" s="8"/>
      <c r="K494" s="10" t="str">
        <f aca="false">IF(A494="","",IF(ABS(SUMIFS($E$9:$E$2008,$A$9:$A$2008,A494)-SUMIFS($F$9:$F$2008,$A$9:$A$2008,A494))&lt;0.5,"Yes","No"))</f>
        <v/>
      </c>
      <c r="L494" s="10" t="str">
        <f aca="false">IF(A494="","",IF(IF(K494="No","Does not balance | ","")&amp;IF(I494="","Not approved | ",IF(UPPER(TRIM(H494))=UPPER(TRIM(I494)),"Self-approved | ",""))&amp;IF(J494="","No support | ","")&amp;IF(WEEKDAY(B494,2)&gt;5,"Weekend posting | ","")&amp;IF(COUNTIF(Settings!$A$14:$A$43,B494)&gt;0,"Holiday posting | ","")&amp;IF(B494&gt;Settings!$C$8,"Posted after close | ","")&amp;IF(OR(B494&lt;Settings!$C$6,B494&gt;Settings!$C$7),"Outside period | ","")&amp;IF(COUNTIF(Settings!$E$14:$E$43,C494&amp;"")&gt;0,"Sensitive account | ","")&amp;IF(AND(MAX(N(E494),N(F494))&gt;=Settings!$C$9,MOD(MAX(N(E494),N(F494)),Settings!$C$10)=0),"Round amount | ","")="","",LEFT(IF(K494="No","Does not balance | ","")&amp;IF(I494="","Not approved | ",IF(UPPER(TRIM(H494))=UPPER(TRIM(I494)),"Self-approved | ",""))&amp;IF(J494="","No support | ","")&amp;IF(WEEKDAY(B494,2)&gt;5,"Weekend posting | ","")&amp;IF(COUNTIF(Settings!$A$14:$A$43,B494)&gt;0,"Holiday posting | ","")&amp;IF(B494&gt;Settings!$C$8,"Posted after close | ","")&amp;IF(OR(B494&lt;Settings!$C$6,B494&gt;Settings!$C$7),"Outside period | ","")&amp;IF(COUNTIF(Settings!$E$14:$E$43,C494&amp;"")&gt;0,"Sensitive account | ","")&amp;IF(AND(MAX(N(E494),N(F494))&gt;=Settings!$C$9,MOD(MAX(N(E494),N(F494)),Settings!$C$10)=0),"Round amount | ",""),LEN(IF(K494="No","Does not balance | ","")&amp;IF(I494="","Not approved | ",IF(UPPER(TRIM(H494))=UPPER(TRIM(I494)),"Self-approved | ",""))&amp;IF(J494="","No support | ","")&amp;IF(WEEKDAY(B494,2)&gt;5,"Weekend posting | ","")&amp;IF(COUNTIF(Settings!$A$14:$A$43,B494)&gt;0,"Holiday posting | ","")&amp;IF(B494&gt;Settings!$C$8,"Posted after close | ","")&amp;IF(OR(B494&lt;Settings!$C$6,B494&gt;Settings!$C$7),"Outside period | ","")&amp;IF(COUNTIF(Settings!$E$14:$E$43,C494&amp;"")&gt;0,"Sensitive account | ","")&amp;IF(AND(MAX(N(E494),N(F494))&gt;=Settings!$C$9,MOD(MAX(N(E494),N(F494)),Settings!$C$10)=0),"Round amount | ",""))-3)))</f>
        <v/>
      </c>
      <c r="M494" s="21" t="str">
        <f aca="false">IF(A494="","",IF(COUNTIF($A$9:A494,A494)=1,MAX($M$8:M493)+1,""))</f>
        <v/>
      </c>
    </row>
    <row r="495" customFormat="false" ht="15" hidden="false" customHeight="false" outlineLevel="0" collapsed="false">
      <c r="A495" s="8"/>
      <c r="B495" s="17"/>
      <c r="C495" s="19"/>
      <c r="D495" s="8"/>
      <c r="E495" s="18"/>
      <c r="F495" s="18"/>
      <c r="G495" s="8"/>
      <c r="H495" s="8"/>
      <c r="I495" s="8"/>
      <c r="J495" s="8"/>
      <c r="K495" s="10" t="str">
        <f aca="false">IF(A495="","",IF(ABS(SUMIFS($E$9:$E$2008,$A$9:$A$2008,A495)-SUMIFS($F$9:$F$2008,$A$9:$A$2008,A495))&lt;0.5,"Yes","No"))</f>
        <v/>
      </c>
      <c r="L495" s="10" t="str">
        <f aca="false">IF(A495="","",IF(IF(K495="No","Does not balance | ","")&amp;IF(I495="","Not approved | ",IF(UPPER(TRIM(H495))=UPPER(TRIM(I495)),"Self-approved | ",""))&amp;IF(J495="","No support | ","")&amp;IF(WEEKDAY(B495,2)&gt;5,"Weekend posting | ","")&amp;IF(COUNTIF(Settings!$A$14:$A$43,B495)&gt;0,"Holiday posting | ","")&amp;IF(B495&gt;Settings!$C$8,"Posted after close | ","")&amp;IF(OR(B495&lt;Settings!$C$6,B495&gt;Settings!$C$7),"Outside period | ","")&amp;IF(COUNTIF(Settings!$E$14:$E$43,C495&amp;"")&gt;0,"Sensitive account | ","")&amp;IF(AND(MAX(N(E495),N(F495))&gt;=Settings!$C$9,MOD(MAX(N(E495),N(F495)),Settings!$C$10)=0),"Round amount | ","")="","",LEFT(IF(K495="No","Does not balance | ","")&amp;IF(I495="","Not approved | ",IF(UPPER(TRIM(H495))=UPPER(TRIM(I495)),"Self-approved | ",""))&amp;IF(J495="","No support | ","")&amp;IF(WEEKDAY(B495,2)&gt;5,"Weekend posting | ","")&amp;IF(COUNTIF(Settings!$A$14:$A$43,B495)&gt;0,"Holiday posting | ","")&amp;IF(B495&gt;Settings!$C$8,"Posted after close | ","")&amp;IF(OR(B495&lt;Settings!$C$6,B495&gt;Settings!$C$7),"Outside period | ","")&amp;IF(COUNTIF(Settings!$E$14:$E$43,C495&amp;"")&gt;0,"Sensitive account | ","")&amp;IF(AND(MAX(N(E495),N(F495))&gt;=Settings!$C$9,MOD(MAX(N(E495),N(F495)),Settings!$C$10)=0),"Round amount | ",""),LEN(IF(K495="No","Does not balance | ","")&amp;IF(I495="","Not approved | ",IF(UPPER(TRIM(H495))=UPPER(TRIM(I495)),"Self-approved | ",""))&amp;IF(J495="","No support | ","")&amp;IF(WEEKDAY(B495,2)&gt;5,"Weekend posting | ","")&amp;IF(COUNTIF(Settings!$A$14:$A$43,B495)&gt;0,"Holiday posting | ","")&amp;IF(B495&gt;Settings!$C$8,"Posted after close | ","")&amp;IF(OR(B495&lt;Settings!$C$6,B495&gt;Settings!$C$7),"Outside period | ","")&amp;IF(COUNTIF(Settings!$E$14:$E$43,C495&amp;"")&gt;0,"Sensitive account | ","")&amp;IF(AND(MAX(N(E495),N(F495))&gt;=Settings!$C$9,MOD(MAX(N(E495),N(F495)),Settings!$C$10)=0),"Round amount | ",""))-3)))</f>
        <v/>
      </c>
      <c r="M495" s="21" t="str">
        <f aca="false">IF(A495="","",IF(COUNTIF($A$9:A495,A495)=1,MAX($M$8:M494)+1,""))</f>
        <v/>
      </c>
    </row>
    <row r="496" customFormat="false" ht="15" hidden="false" customHeight="false" outlineLevel="0" collapsed="false">
      <c r="A496" s="8"/>
      <c r="B496" s="17"/>
      <c r="C496" s="19"/>
      <c r="D496" s="8"/>
      <c r="E496" s="18"/>
      <c r="F496" s="18"/>
      <c r="G496" s="8"/>
      <c r="H496" s="8"/>
      <c r="I496" s="8"/>
      <c r="J496" s="8"/>
      <c r="K496" s="10" t="str">
        <f aca="false">IF(A496="","",IF(ABS(SUMIFS($E$9:$E$2008,$A$9:$A$2008,A496)-SUMIFS($F$9:$F$2008,$A$9:$A$2008,A496))&lt;0.5,"Yes","No"))</f>
        <v/>
      </c>
      <c r="L496" s="10" t="str">
        <f aca="false">IF(A496="","",IF(IF(K496="No","Does not balance | ","")&amp;IF(I496="","Not approved | ",IF(UPPER(TRIM(H496))=UPPER(TRIM(I496)),"Self-approved | ",""))&amp;IF(J496="","No support | ","")&amp;IF(WEEKDAY(B496,2)&gt;5,"Weekend posting | ","")&amp;IF(COUNTIF(Settings!$A$14:$A$43,B496)&gt;0,"Holiday posting | ","")&amp;IF(B496&gt;Settings!$C$8,"Posted after close | ","")&amp;IF(OR(B496&lt;Settings!$C$6,B496&gt;Settings!$C$7),"Outside period | ","")&amp;IF(COUNTIF(Settings!$E$14:$E$43,C496&amp;"")&gt;0,"Sensitive account | ","")&amp;IF(AND(MAX(N(E496),N(F496))&gt;=Settings!$C$9,MOD(MAX(N(E496),N(F496)),Settings!$C$10)=0),"Round amount | ","")="","",LEFT(IF(K496="No","Does not balance | ","")&amp;IF(I496="","Not approved | ",IF(UPPER(TRIM(H496))=UPPER(TRIM(I496)),"Self-approved | ",""))&amp;IF(J496="","No support | ","")&amp;IF(WEEKDAY(B496,2)&gt;5,"Weekend posting | ","")&amp;IF(COUNTIF(Settings!$A$14:$A$43,B496)&gt;0,"Holiday posting | ","")&amp;IF(B496&gt;Settings!$C$8,"Posted after close | ","")&amp;IF(OR(B496&lt;Settings!$C$6,B496&gt;Settings!$C$7),"Outside period | ","")&amp;IF(COUNTIF(Settings!$E$14:$E$43,C496&amp;"")&gt;0,"Sensitive account | ","")&amp;IF(AND(MAX(N(E496),N(F496))&gt;=Settings!$C$9,MOD(MAX(N(E496),N(F496)),Settings!$C$10)=0),"Round amount | ",""),LEN(IF(K496="No","Does not balance | ","")&amp;IF(I496="","Not approved | ",IF(UPPER(TRIM(H496))=UPPER(TRIM(I496)),"Self-approved | ",""))&amp;IF(J496="","No support | ","")&amp;IF(WEEKDAY(B496,2)&gt;5,"Weekend posting | ","")&amp;IF(COUNTIF(Settings!$A$14:$A$43,B496)&gt;0,"Holiday posting | ","")&amp;IF(B496&gt;Settings!$C$8,"Posted after close | ","")&amp;IF(OR(B496&lt;Settings!$C$6,B496&gt;Settings!$C$7),"Outside period | ","")&amp;IF(COUNTIF(Settings!$E$14:$E$43,C496&amp;"")&gt;0,"Sensitive account | ","")&amp;IF(AND(MAX(N(E496),N(F496))&gt;=Settings!$C$9,MOD(MAX(N(E496),N(F496)),Settings!$C$10)=0),"Round amount | ",""))-3)))</f>
        <v/>
      </c>
      <c r="M496" s="21" t="str">
        <f aca="false">IF(A496="","",IF(COUNTIF($A$9:A496,A496)=1,MAX($M$8:M495)+1,""))</f>
        <v/>
      </c>
    </row>
    <row r="497" customFormat="false" ht="15" hidden="false" customHeight="false" outlineLevel="0" collapsed="false">
      <c r="A497" s="8"/>
      <c r="B497" s="17"/>
      <c r="C497" s="19"/>
      <c r="D497" s="8"/>
      <c r="E497" s="18"/>
      <c r="F497" s="18"/>
      <c r="G497" s="8"/>
      <c r="H497" s="8"/>
      <c r="I497" s="8"/>
      <c r="J497" s="8"/>
      <c r="K497" s="10" t="str">
        <f aca="false">IF(A497="","",IF(ABS(SUMIFS($E$9:$E$2008,$A$9:$A$2008,A497)-SUMIFS($F$9:$F$2008,$A$9:$A$2008,A497))&lt;0.5,"Yes","No"))</f>
        <v/>
      </c>
      <c r="L497" s="10" t="str">
        <f aca="false">IF(A497="","",IF(IF(K497="No","Does not balance | ","")&amp;IF(I497="","Not approved | ",IF(UPPER(TRIM(H497))=UPPER(TRIM(I497)),"Self-approved | ",""))&amp;IF(J497="","No support | ","")&amp;IF(WEEKDAY(B497,2)&gt;5,"Weekend posting | ","")&amp;IF(COUNTIF(Settings!$A$14:$A$43,B497)&gt;0,"Holiday posting | ","")&amp;IF(B497&gt;Settings!$C$8,"Posted after close | ","")&amp;IF(OR(B497&lt;Settings!$C$6,B497&gt;Settings!$C$7),"Outside period | ","")&amp;IF(COUNTIF(Settings!$E$14:$E$43,C497&amp;"")&gt;0,"Sensitive account | ","")&amp;IF(AND(MAX(N(E497),N(F497))&gt;=Settings!$C$9,MOD(MAX(N(E497),N(F497)),Settings!$C$10)=0),"Round amount | ","")="","",LEFT(IF(K497="No","Does not balance | ","")&amp;IF(I497="","Not approved | ",IF(UPPER(TRIM(H497))=UPPER(TRIM(I497)),"Self-approved | ",""))&amp;IF(J497="","No support | ","")&amp;IF(WEEKDAY(B497,2)&gt;5,"Weekend posting | ","")&amp;IF(COUNTIF(Settings!$A$14:$A$43,B497)&gt;0,"Holiday posting | ","")&amp;IF(B497&gt;Settings!$C$8,"Posted after close | ","")&amp;IF(OR(B497&lt;Settings!$C$6,B497&gt;Settings!$C$7),"Outside period | ","")&amp;IF(COUNTIF(Settings!$E$14:$E$43,C497&amp;"")&gt;0,"Sensitive account | ","")&amp;IF(AND(MAX(N(E497),N(F497))&gt;=Settings!$C$9,MOD(MAX(N(E497),N(F497)),Settings!$C$10)=0),"Round amount | ",""),LEN(IF(K497="No","Does not balance | ","")&amp;IF(I497="","Not approved | ",IF(UPPER(TRIM(H497))=UPPER(TRIM(I497)),"Self-approved | ",""))&amp;IF(J497="","No support | ","")&amp;IF(WEEKDAY(B497,2)&gt;5,"Weekend posting | ","")&amp;IF(COUNTIF(Settings!$A$14:$A$43,B497)&gt;0,"Holiday posting | ","")&amp;IF(B497&gt;Settings!$C$8,"Posted after close | ","")&amp;IF(OR(B497&lt;Settings!$C$6,B497&gt;Settings!$C$7),"Outside period | ","")&amp;IF(COUNTIF(Settings!$E$14:$E$43,C497&amp;"")&gt;0,"Sensitive account | ","")&amp;IF(AND(MAX(N(E497),N(F497))&gt;=Settings!$C$9,MOD(MAX(N(E497),N(F497)),Settings!$C$10)=0),"Round amount | ",""))-3)))</f>
        <v/>
      </c>
      <c r="M497" s="21" t="str">
        <f aca="false">IF(A497="","",IF(COUNTIF($A$9:A497,A497)=1,MAX($M$8:M496)+1,""))</f>
        <v/>
      </c>
    </row>
    <row r="498" customFormat="false" ht="15" hidden="false" customHeight="false" outlineLevel="0" collapsed="false">
      <c r="A498" s="8"/>
      <c r="B498" s="17"/>
      <c r="C498" s="19"/>
      <c r="D498" s="8"/>
      <c r="E498" s="18"/>
      <c r="F498" s="18"/>
      <c r="G498" s="8"/>
      <c r="H498" s="8"/>
      <c r="I498" s="8"/>
      <c r="J498" s="8"/>
      <c r="K498" s="10" t="str">
        <f aca="false">IF(A498="","",IF(ABS(SUMIFS($E$9:$E$2008,$A$9:$A$2008,A498)-SUMIFS($F$9:$F$2008,$A$9:$A$2008,A498))&lt;0.5,"Yes","No"))</f>
        <v/>
      </c>
      <c r="L498" s="10" t="str">
        <f aca="false">IF(A498="","",IF(IF(K498="No","Does not balance | ","")&amp;IF(I498="","Not approved | ",IF(UPPER(TRIM(H498))=UPPER(TRIM(I498)),"Self-approved | ",""))&amp;IF(J498="","No support | ","")&amp;IF(WEEKDAY(B498,2)&gt;5,"Weekend posting | ","")&amp;IF(COUNTIF(Settings!$A$14:$A$43,B498)&gt;0,"Holiday posting | ","")&amp;IF(B498&gt;Settings!$C$8,"Posted after close | ","")&amp;IF(OR(B498&lt;Settings!$C$6,B498&gt;Settings!$C$7),"Outside period | ","")&amp;IF(COUNTIF(Settings!$E$14:$E$43,C498&amp;"")&gt;0,"Sensitive account | ","")&amp;IF(AND(MAX(N(E498),N(F498))&gt;=Settings!$C$9,MOD(MAX(N(E498),N(F498)),Settings!$C$10)=0),"Round amount | ","")="","",LEFT(IF(K498="No","Does not balance | ","")&amp;IF(I498="","Not approved | ",IF(UPPER(TRIM(H498))=UPPER(TRIM(I498)),"Self-approved | ",""))&amp;IF(J498="","No support | ","")&amp;IF(WEEKDAY(B498,2)&gt;5,"Weekend posting | ","")&amp;IF(COUNTIF(Settings!$A$14:$A$43,B498)&gt;0,"Holiday posting | ","")&amp;IF(B498&gt;Settings!$C$8,"Posted after close | ","")&amp;IF(OR(B498&lt;Settings!$C$6,B498&gt;Settings!$C$7),"Outside period | ","")&amp;IF(COUNTIF(Settings!$E$14:$E$43,C498&amp;"")&gt;0,"Sensitive account | ","")&amp;IF(AND(MAX(N(E498),N(F498))&gt;=Settings!$C$9,MOD(MAX(N(E498),N(F498)),Settings!$C$10)=0),"Round amount | ",""),LEN(IF(K498="No","Does not balance | ","")&amp;IF(I498="","Not approved | ",IF(UPPER(TRIM(H498))=UPPER(TRIM(I498)),"Self-approved | ",""))&amp;IF(J498="","No support | ","")&amp;IF(WEEKDAY(B498,2)&gt;5,"Weekend posting | ","")&amp;IF(COUNTIF(Settings!$A$14:$A$43,B498)&gt;0,"Holiday posting | ","")&amp;IF(B498&gt;Settings!$C$8,"Posted after close | ","")&amp;IF(OR(B498&lt;Settings!$C$6,B498&gt;Settings!$C$7),"Outside period | ","")&amp;IF(COUNTIF(Settings!$E$14:$E$43,C498&amp;"")&gt;0,"Sensitive account | ","")&amp;IF(AND(MAX(N(E498),N(F498))&gt;=Settings!$C$9,MOD(MAX(N(E498),N(F498)),Settings!$C$10)=0),"Round amount | ",""))-3)))</f>
        <v/>
      </c>
      <c r="M498" s="21" t="str">
        <f aca="false">IF(A498="","",IF(COUNTIF($A$9:A498,A498)=1,MAX($M$8:M497)+1,""))</f>
        <v/>
      </c>
    </row>
    <row r="499" customFormat="false" ht="15" hidden="false" customHeight="false" outlineLevel="0" collapsed="false">
      <c r="A499" s="8"/>
      <c r="B499" s="17"/>
      <c r="C499" s="19"/>
      <c r="D499" s="8"/>
      <c r="E499" s="18"/>
      <c r="F499" s="18"/>
      <c r="G499" s="8"/>
      <c r="H499" s="8"/>
      <c r="I499" s="8"/>
      <c r="J499" s="8"/>
      <c r="K499" s="10" t="str">
        <f aca="false">IF(A499="","",IF(ABS(SUMIFS($E$9:$E$2008,$A$9:$A$2008,A499)-SUMIFS($F$9:$F$2008,$A$9:$A$2008,A499))&lt;0.5,"Yes","No"))</f>
        <v/>
      </c>
      <c r="L499" s="10" t="str">
        <f aca="false">IF(A499="","",IF(IF(K499="No","Does not balance | ","")&amp;IF(I499="","Not approved | ",IF(UPPER(TRIM(H499))=UPPER(TRIM(I499)),"Self-approved | ",""))&amp;IF(J499="","No support | ","")&amp;IF(WEEKDAY(B499,2)&gt;5,"Weekend posting | ","")&amp;IF(COUNTIF(Settings!$A$14:$A$43,B499)&gt;0,"Holiday posting | ","")&amp;IF(B499&gt;Settings!$C$8,"Posted after close | ","")&amp;IF(OR(B499&lt;Settings!$C$6,B499&gt;Settings!$C$7),"Outside period | ","")&amp;IF(COUNTIF(Settings!$E$14:$E$43,C499&amp;"")&gt;0,"Sensitive account | ","")&amp;IF(AND(MAX(N(E499),N(F499))&gt;=Settings!$C$9,MOD(MAX(N(E499),N(F499)),Settings!$C$10)=0),"Round amount | ","")="","",LEFT(IF(K499="No","Does not balance | ","")&amp;IF(I499="","Not approved | ",IF(UPPER(TRIM(H499))=UPPER(TRIM(I499)),"Self-approved | ",""))&amp;IF(J499="","No support | ","")&amp;IF(WEEKDAY(B499,2)&gt;5,"Weekend posting | ","")&amp;IF(COUNTIF(Settings!$A$14:$A$43,B499)&gt;0,"Holiday posting | ","")&amp;IF(B499&gt;Settings!$C$8,"Posted after close | ","")&amp;IF(OR(B499&lt;Settings!$C$6,B499&gt;Settings!$C$7),"Outside period | ","")&amp;IF(COUNTIF(Settings!$E$14:$E$43,C499&amp;"")&gt;0,"Sensitive account | ","")&amp;IF(AND(MAX(N(E499),N(F499))&gt;=Settings!$C$9,MOD(MAX(N(E499),N(F499)),Settings!$C$10)=0),"Round amount | ",""),LEN(IF(K499="No","Does not balance | ","")&amp;IF(I499="","Not approved | ",IF(UPPER(TRIM(H499))=UPPER(TRIM(I499)),"Self-approved | ",""))&amp;IF(J499="","No support | ","")&amp;IF(WEEKDAY(B499,2)&gt;5,"Weekend posting | ","")&amp;IF(COUNTIF(Settings!$A$14:$A$43,B499)&gt;0,"Holiday posting | ","")&amp;IF(B499&gt;Settings!$C$8,"Posted after close | ","")&amp;IF(OR(B499&lt;Settings!$C$6,B499&gt;Settings!$C$7),"Outside period | ","")&amp;IF(COUNTIF(Settings!$E$14:$E$43,C499&amp;"")&gt;0,"Sensitive account | ","")&amp;IF(AND(MAX(N(E499),N(F499))&gt;=Settings!$C$9,MOD(MAX(N(E499),N(F499)),Settings!$C$10)=0),"Round amount | ",""))-3)))</f>
        <v/>
      </c>
      <c r="M499" s="21" t="str">
        <f aca="false">IF(A499="","",IF(COUNTIF($A$9:A499,A499)=1,MAX($M$8:M498)+1,""))</f>
        <v/>
      </c>
    </row>
    <row r="500" customFormat="false" ht="15" hidden="false" customHeight="false" outlineLevel="0" collapsed="false">
      <c r="A500" s="8"/>
      <c r="B500" s="17"/>
      <c r="C500" s="19"/>
      <c r="D500" s="8"/>
      <c r="E500" s="18"/>
      <c r="F500" s="18"/>
      <c r="G500" s="8"/>
      <c r="H500" s="8"/>
      <c r="I500" s="8"/>
      <c r="J500" s="8"/>
      <c r="K500" s="10" t="str">
        <f aca="false">IF(A500="","",IF(ABS(SUMIFS($E$9:$E$2008,$A$9:$A$2008,A500)-SUMIFS($F$9:$F$2008,$A$9:$A$2008,A500))&lt;0.5,"Yes","No"))</f>
        <v/>
      </c>
      <c r="L500" s="10" t="str">
        <f aca="false">IF(A500="","",IF(IF(K500="No","Does not balance | ","")&amp;IF(I500="","Not approved | ",IF(UPPER(TRIM(H500))=UPPER(TRIM(I500)),"Self-approved | ",""))&amp;IF(J500="","No support | ","")&amp;IF(WEEKDAY(B500,2)&gt;5,"Weekend posting | ","")&amp;IF(COUNTIF(Settings!$A$14:$A$43,B500)&gt;0,"Holiday posting | ","")&amp;IF(B500&gt;Settings!$C$8,"Posted after close | ","")&amp;IF(OR(B500&lt;Settings!$C$6,B500&gt;Settings!$C$7),"Outside period | ","")&amp;IF(COUNTIF(Settings!$E$14:$E$43,C500&amp;"")&gt;0,"Sensitive account | ","")&amp;IF(AND(MAX(N(E500),N(F500))&gt;=Settings!$C$9,MOD(MAX(N(E500),N(F500)),Settings!$C$10)=0),"Round amount | ","")="","",LEFT(IF(K500="No","Does not balance | ","")&amp;IF(I500="","Not approved | ",IF(UPPER(TRIM(H500))=UPPER(TRIM(I500)),"Self-approved | ",""))&amp;IF(J500="","No support | ","")&amp;IF(WEEKDAY(B500,2)&gt;5,"Weekend posting | ","")&amp;IF(COUNTIF(Settings!$A$14:$A$43,B500)&gt;0,"Holiday posting | ","")&amp;IF(B500&gt;Settings!$C$8,"Posted after close | ","")&amp;IF(OR(B500&lt;Settings!$C$6,B500&gt;Settings!$C$7),"Outside period | ","")&amp;IF(COUNTIF(Settings!$E$14:$E$43,C500&amp;"")&gt;0,"Sensitive account | ","")&amp;IF(AND(MAX(N(E500),N(F500))&gt;=Settings!$C$9,MOD(MAX(N(E500),N(F500)),Settings!$C$10)=0),"Round amount | ",""),LEN(IF(K500="No","Does not balance | ","")&amp;IF(I500="","Not approved | ",IF(UPPER(TRIM(H500))=UPPER(TRIM(I500)),"Self-approved | ",""))&amp;IF(J500="","No support | ","")&amp;IF(WEEKDAY(B500,2)&gt;5,"Weekend posting | ","")&amp;IF(COUNTIF(Settings!$A$14:$A$43,B500)&gt;0,"Holiday posting | ","")&amp;IF(B500&gt;Settings!$C$8,"Posted after close | ","")&amp;IF(OR(B500&lt;Settings!$C$6,B500&gt;Settings!$C$7),"Outside period | ","")&amp;IF(COUNTIF(Settings!$E$14:$E$43,C500&amp;"")&gt;0,"Sensitive account | ","")&amp;IF(AND(MAX(N(E500),N(F500))&gt;=Settings!$C$9,MOD(MAX(N(E500),N(F500)),Settings!$C$10)=0),"Round amount | ",""))-3)))</f>
        <v/>
      </c>
      <c r="M500" s="21" t="str">
        <f aca="false">IF(A500="","",IF(COUNTIF($A$9:A500,A500)=1,MAX($M$8:M499)+1,""))</f>
        <v/>
      </c>
    </row>
    <row r="501" customFormat="false" ht="15" hidden="false" customHeight="false" outlineLevel="0" collapsed="false">
      <c r="A501" s="8"/>
      <c r="B501" s="17"/>
      <c r="C501" s="19"/>
      <c r="D501" s="8"/>
      <c r="E501" s="18"/>
      <c r="F501" s="18"/>
      <c r="G501" s="8"/>
      <c r="H501" s="8"/>
      <c r="I501" s="8"/>
      <c r="J501" s="8"/>
      <c r="K501" s="10" t="str">
        <f aca="false">IF(A501="","",IF(ABS(SUMIFS($E$9:$E$2008,$A$9:$A$2008,A501)-SUMIFS($F$9:$F$2008,$A$9:$A$2008,A501))&lt;0.5,"Yes","No"))</f>
        <v/>
      </c>
      <c r="L501" s="10" t="str">
        <f aca="false">IF(A501="","",IF(IF(K501="No","Does not balance | ","")&amp;IF(I501="","Not approved | ",IF(UPPER(TRIM(H501))=UPPER(TRIM(I501)),"Self-approved | ",""))&amp;IF(J501="","No support | ","")&amp;IF(WEEKDAY(B501,2)&gt;5,"Weekend posting | ","")&amp;IF(COUNTIF(Settings!$A$14:$A$43,B501)&gt;0,"Holiday posting | ","")&amp;IF(B501&gt;Settings!$C$8,"Posted after close | ","")&amp;IF(OR(B501&lt;Settings!$C$6,B501&gt;Settings!$C$7),"Outside period | ","")&amp;IF(COUNTIF(Settings!$E$14:$E$43,C501&amp;"")&gt;0,"Sensitive account | ","")&amp;IF(AND(MAX(N(E501),N(F501))&gt;=Settings!$C$9,MOD(MAX(N(E501),N(F501)),Settings!$C$10)=0),"Round amount | ","")="","",LEFT(IF(K501="No","Does not balance | ","")&amp;IF(I501="","Not approved | ",IF(UPPER(TRIM(H501))=UPPER(TRIM(I501)),"Self-approved | ",""))&amp;IF(J501="","No support | ","")&amp;IF(WEEKDAY(B501,2)&gt;5,"Weekend posting | ","")&amp;IF(COUNTIF(Settings!$A$14:$A$43,B501)&gt;0,"Holiday posting | ","")&amp;IF(B501&gt;Settings!$C$8,"Posted after close | ","")&amp;IF(OR(B501&lt;Settings!$C$6,B501&gt;Settings!$C$7),"Outside period | ","")&amp;IF(COUNTIF(Settings!$E$14:$E$43,C501&amp;"")&gt;0,"Sensitive account | ","")&amp;IF(AND(MAX(N(E501),N(F501))&gt;=Settings!$C$9,MOD(MAX(N(E501),N(F501)),Settings!$C$10)=0),"Round amount | ",""),LEN(IF(K501="No","Does not balance | ","")&amp;IF(I501="","Not approved | ",IF(UPPER(TRIM(H501))=UPPER(TRIM(I501)),"Self-approved | ",""))&amp;IF(J501="","No support | ","")&amp;IF(WEEKDAY(B501,2)&gt;5,"Weekend posting | ","")&amp;IF(COUNTIF(Settings!$A$14:$A$43,B501)&gt;0,"Holiday posting | ","")&amp;IF(B501&gt;Settings!$C$8,"Posted after close | ","")&amp;IF(OR(B501&lt;Settings!$C$6,B501&gt;Settings!$C$7),"Outside period | ","")&amp;IF(COUNTIF(Settings!$E$14:$E$43,C501&amp;"")&gt;0,"Sensitive account | ","")&amp;IF(AND(MAX(N(E501),N(F501))&gt;=Settings!$C$9,MOD(MAX(N(E501),N(F501)),Settings!$C$10)=0),"Round amount | ",""))-3)))</f>
        <v/>
      </c>
      <c r="M501" s="21" t="str">
        <f aca="false">IF(A501="","",IF(COUNTIF($A$9:A501,A501)=1,MAX($M$8:M500)+1,""))</f>
        <v/>
      </c>
    </row>
    <row r="502" customFormat="false" ht="15" hidden="false" customHeight="false" outlineLevel="0" collapsed="false">
      <c r="A502" s="8"/>
      <c r="B502" s="17"/>
      <c r="C502" s="19"/>
      <c r="D502" s="8"/>
      <c r="E502" s="18"/>
      <c r="F502" s="18"/>
      <c r="G502" s="8"/>
      <c r="H502" s="8"/>
      <c r="I502" s="8"/>
      <c r="J502" s="8"/>
      <c r="K502" s="10" t="str">
        <f aca="false">IF(A502="","",IF(ABS(SUMIFS($E$9:$E$2008,$A$9:$A$2008,A502)-SUMIFS($F$9:$F$2008,$A$9:$A$2008,A502))&lt;0.5,"Yes","No"))</f>
        <v/>
      </c>
      <c r="L502" s="10" t="str">
        <f aca="false">IF(A502="","",IF(IF(K502="No","Does not balance | ","")&amp;IF(I502="","Not approved | ",IF(UPPER(TRIM(H502))=UPPER(TRIM(I502)),"Self-approved | ",""))&amp;IF(J502="","No support | ","")&amp;IF(WEEKDAY(B502,2)&gt;5,"Weekend posting | ","")&amp;IF(COUNTIF(Settings!$A$14:$A$43,B502)&gt;0,"Holiday posting | ","")&amp;IF(B502&gt;Settings!$C$8,"Posted after close | ","")&amp;IF(OR(B502&lt;Settings!$C$6,B502&gt;Settings!$C$7),"Outside period | ","")&amp;IF(COUNTIF(Settings!$E$14:$E$43,C502&amp;"")&gt;0,"Sensitive account | ","")&amp;IF(AND(MAX(N(E502),N(F502))&gt;=Settings!$C$9,MOD(MAX(N(E502),N(F502)),Settings!$C$10)=0),"Round amount | ","")="","",LEFT(IF(K502="No","Does not balance | ","")&amp;IF(I502="","Not approved | ",IF(UPPER(TRIM(H502))=UPPER(TRIM(I502)),"Self-approved | ",""))&amp;IF(J502="","No support | ","")&amp;IF(WEEKDAY(B502,2)&gt;5,"Weekend posting | ","")&amp;IF(COUNTIF(Settings!$A$14:$A$43,B502)&gt;0,"Holiday posting | ","")&amp;IF(B502&gt;Settings!$C$8,"Posted after close | ","")&amp;IF(OR(B502&lt;Settings!$C$6,B502&gt;Settings!$C$7),"Outside period | ","")&amp;IF(COUNTIF(Settings!$E$14:$E$43,C502&amp;"")&gt;0,"Sensitive account | ","")&amp;IF(AND(MAX(N(E502),N(F502))&gt;=Settings!$C$9,MOD(MAX(N(E502),N(F502)),Settings!$C$10)=0),"Round amount | ",""),LEN(IF(K502="No","Does not balance | ","")&amp;IF(I502="","Not approved | ",IF(UPPER(TRIM(H502))=UPPER(TRIM(I502)),"Self-approved | ",""))&amp;IF(J502="","No support | ","")&amp;IF(WEEKDAY(B502,2)&gt;5,"Weekend posting | ","")&amp;IF(COUNTIF(Settings!$A$14:$A$43,B502)&gt;0,"Holiday posting | ","")&amp;IF(B502&gt;Settings!$C$8,"Posted after close | ","")&amp;IF(OR(B502&lt;Settings!$C$6,B502&gt;Settings!$C$7),"Outside period | ","")&amp;IF(COUNTIF(Settings!$E$14:$E$43,C502&amp;"")&gt;0,"Sensitive account | ","")&amp;IF(AND(MAX(N(E502),N(F502))&gt;=Settings!$C$9,MOD(MAX(N(E502),N(F502)),Settings!$C$10)=0),"Round amount | ",""))-3)))</f>
        <v/>
      </c>
      <c r="M502" s="21" t="str">
        <f aca="false">IF(A502="","",IF(COUNTIF($A$9:A502,A502)=1,MAX($M$8:M501)+1,""))</f>
        <v/>
      </c>
    </row>
    <row r="503" customFormat="false" ht="15" hidden="false" customHeight="false" outlineLevel="0" collapsed="false">
      <c r="A503" s="8"/>
      <c r="B503" s="17"/>
      <c r="C503" s="19"/>
      <c r="D503" s="8"/>
      <c r="E503" s="18"/>
      <c r="F503" s="18"/>
      <c r="G503" s="8"/>
      <c r="H503" s="8"/>
      <c r="I503" s="8"/>
      <c r="J503" s="8"/>
      <c r="K503" s="10" t="str">
        <f aca="false">IF(A503="","",IF(ABS(SUMIFS($E$9:$E$2008,$A$9:$A$2008,A503)-SUMIFS($F$9:$F$2008,$A$9:$A$2008,A503))&lt;0.5,"Yes","No"))</f>
        <v/>
      </c>
      <c r="L503" s="10" t="str">
        <f aca="false">IF(A503="","",IF(IF(K503="No","Does not balance | ","")&amp;IF(I503="","Not approved | ",IF(UPPER(TRIM(H503))=UPPER(TRIM(I503)),"Self-approved | ",""))&amp;IF(J503="","No support | ","")&amp;IF(WEEKDAY(B503,2)&gt;5,"Weekend posting | ","")&amp;IF(COUNTIF(Settings!$A$14:$A$43,B503)&gt;0,"Holiday posting | ","")&amp;IF(B503&gt;Settings!$C$8,"Posted after close | ","")&amp;IF(OR(B503&lt;Settings!$C$6,B503&gt;Settings!$C$7),"Outside period | ","")&amp;IF(COUNTIF(Settings!$E$14:$E$43,C503&amp;"")&gt;0,"Sensitive account | ","")&amp;IF(AND(MAX(N(E503),N(F503))&gt;=Settings!$C$9,MOD(MAX(N(E503),N(F503)),Settings!$C$10)=0),"Round amount | ","")="","",LEFT(IF(K503="No","Does not balance | ","")&amp;IF(I503="","Not approved | ",IF(UPPER(TRIM(H503))=UPPER(TRIM(I503)),"Self-approved | ",""))&amp;IF(J503="","No support | ","")&amp;IF(WEEKDAY(B503,2)&gt;5,"Weekend posting | ","")&amp;IF(COUNTIF(Settings!$A$14:$A$43,B503)&gt;0,"Holiday posting | ","")&amp;IF(B503&gt;Settings!$C$8,"Posted after close | ","")&amp;IF(OR(B503&lt;Settings!$C$6,B503&gt;Settings!$C$7),"Outside period | ","")&amp;IF(COUNTIF(Settings!$E$14:$E$43,C503&amp;"")&gt;0,"Sensitive account | ","")&amp;IF(AND(MAX(N(E503),N(F503))&gt;=Settings!$C$9,MOD(MAX(N(E503),N(F503)),Settings!$C$10)=0),"Round amount | ",""),LEN(IF(K503="No","Does not balance | ","")&amp;IF(I503="","Not approved | ",IF(UPPER(TRIM(H503))=UPPER(TRIM(I503)),"Self-approved | ",""))&amp;IF(J503="","No support | ","")&amp;IF(WEEKDAY(B503,2)&gt;5,"Weekend posting | ","")&amp;IF(COUNTIF(Settings!$A$14:$A$43,B503)&gt;0,"Holiday posting | ","")&amp;IF(B503&gt;Settings!$C$8,"Posted after close | ","")&amp;IF(OR(B503&lt;Settings!$C$6,B503&gt;Settings!$C$7),"Outside period | ","")&amp;IF(COUNTIF(Settings!$E$14:$E$43,C503&amp;"")&gt;0,"Sensitive account | ","")&amp;IF(AND(MAX(N(E503),N(F503))&gt;=Settings!$C$9,MOD(MAX(N(E503),N(F503)),Settings!$C$10)=0),"Round amount | ",""))-3)))</f>
        <v/>
      </c>
      <c r="M503" s="21" t="str">
        <f aca="false">IF(A503="","",IF(COUNTIF($A$9:A503,A503)=1,MAX($M$8:M502)+1,""))</f>
        <v/>
      </c>
    </row>
    <row r="504" customFormat="false" ht="15" hidden="false" customHeight="false" outlineLevel="0" collapsed="false">
      <c r="A504" s="8"/>
      <c r="B504" s="17"/>
      <c r="C504" s="19"/>
      <c r="D504" s="8"/>
      <c r="E504" s="18"/>
      <c r="F504" s="18"/>
      <c r="G504" s="8"/>
      <c r="H504" s="8"/>
      <c r="I504" s="8"/>
      <c r="J504" s="8"/>
      <c r="K504" s="10" t="str">
        <f aca="false">IF(A504="","",IF(ABS(SUMIFS($E$9:$E$2008,$A$9:$A$2008,A504)-SUMIFS($F$9:$F$2008,$A$9:$A$2008,A504))&lt;0.5,"Yes","No"))</f>
        <v/>
      </c>
      <c r="L504" s="10" t="str">
        <f aca="false">IF(A504="","",IF(IF(K504="No","Does not balance | ","")&amp;IF(I504="","Not approved | ",IF(UPPER(TRIM(H504))=UPPER(TRIM(I504)),"Self-approved | ",""))&amp;IF(J504="","No support | ","")&amp;IF(WEEKDAY(B504,2)&gt;5,"Weekend posting | ","")&amp;IF(COUNTIF(Settings!$A$14:$A$43,B504)&gt;0,"Holiday posting | ","")&amp;IF(B504&gt;Settings!$C$8,"Posted after close | ","")&amp;IF(OR(B504&lt;Settings!$C$6,B504&gt;Settings!$C$7),"Outside period | ","")&amp;IF(COUNTIF(Settings!$E$14:$E$43,C504&amp;"")&gt;0,"Sensitive account | ","")&amp;IF(AND(MAX(N(E504),N(F504))&gt;=Settings!$C$9,MOD(MAX(N(E504),N(F504)),Settings!$C$10)=0),"Round amount | ","")="","",LEFT(IF(K504="No","Does not balance | ","")&amp;IF(I504="","Not approved | ",IF(UPPER(TRIM(H504))=UPPER(TRIM(I504)),"Self-approved | ",""))&amp;IF(J504="","No support | ","")&amp;IF(WEEKDAY(B504,2)&gt;5,"Weekend posting | ","")&amp;IF(COUNTIF(Settings!$A$14:$A$43,B504)&gt;0,"Holiday posting | ","")&amp;IF(B504&gt;Settings!$C$8,"Posted after close | ","")&amp;IF(OR(B504&lt;Settings!$C$6,B504&gt;Settings!$C$7),"Outside period | ","")&amp;IF(COUNTIF(Settings!$E$14:$E$43,C504&amp;"")&gt;0,"Sensitive account | ","")&amp;IF(AND(MAX(N(E504),N(F504))&gt;=Settings!$C$9,MOD(MAX(N(E504),N(F504)),Settings!$C$10)=0),"Round amount | ",""),LEN(IF(K504="No","Does not balance | ","")&amp;IF(I504="","Not approved | ",IF(UPPER(TRIM(H504))=UPPER(TRIM(I504)),"Self-approved | ",""))&amp;IF(J504="","No support | ","")&amp;IF(WEEKDAY(B504,2)&gt;5,"Weekend posting | ","")&amp;IF(COUNTIF(Settings!$A$14:$A$43,B504)&gt;0,"Holiday posting | ","")&amp;IF(B504&gt;Settings!$C$8,"Posted after close | ","")&amp;IF(OR(B504&lt;Settings!$C$6,B504&gt;Settings!$C$7),"Outside period | ","")&amp;IF(COUNTIF(Settings!$E$14:$E$43,C504&amp;"")&gt;0,"Sensitive account | ","")&amp;IF(AND(MAX(N(E504),N(F504))&gt;=Settings!$C$9,MOD(MAX(N(E504),N(F504)),Settings!$C$10)=0),"Round amount | ",""))-3)))</f>
        <v/>
      </c>
      <c r="M504" s="21" t="str">
        <f aca="false">IF(A504="","",IF(COUNTIF($A$9:A504,A504)=1,MAX($M$8:M503)+1,""))</f>
        <v/>
      </c>
    </row>
    <row r="505" customFormat="false" ht="15" hidden="false" customHeight="false" outlineLevel="0" collapsed="false">
      <c r="A505" s="8"/>
      <c r="B505" s="17"/>
      <c r="C505" s="19"/>
      <c r="D505" s="8"/>
      <c r="E505" s="18"/>
      <c r="F505" s="18"/>
      <c r="G505" s="8"/>
      <c r="H505" s="8"/>
      <c r="I505" s="8"/>
      <c r="J505" s="8"/>
      <c r="K505" s="10" t="str">
        <f aca="false">IF(A505="","",IF(ABS(SUMIFS($E$9:$E$2008,$A$9:$A$2008,A505)-SUMIFS($F$9:$F$2008,$A$9:$A$2008,A505))&lt;0.5,"Yes","No"))</f>
        <v/>
      </c>
      <c r="L505" s="10" t="str">
        <f aca="false">IF(A505="","",IF(IF(K505="No","Does not balance | ","")&amp;IF(I505="","Not approved | ",IF(UPPER(TRIM(H505))=UPPER(TRIM(I505)),"Self-approved | ",""))&amp;IF(J505="","No support | ","")&amp;IF(WEEKDAY(B505,2)&gt;5,"Weekend posting | ","")&amp;IF(COUNTIF(Settings!$A$14:$A$43,B505)&gt;0,"Holiday posting | ","")&amp;IF(B505&gt;Settings!$C$8,"Posted after close | ","")&amp;IF(OR(B505&lt;Settings!$C$6,B505&gt;Settings!$C$7),"Outside period | ","")&amp;IF(COUNTIF(Settings!$E$14:$E$43,C505&amp;"")&gt;0,"Sensitive account | ","")&amp;IF(AND(MAX(N(E505),N(F505))&gt;=Settings!$C$9,MOD(MAX(N(E505),N(F505)),Settings!$C$10)=0),"Round amount | ","")="","",LEFT(IF(K505="No","Does not balance | ","")&amp;IF(I505="","Not approved | ",IF(UPPER(TRIM(H505))=UPPER(TRIM(I505)),"Self-approved | ",""))&amp;IF(J505="","No support | ","")&amp;IF(WEEKDAY(B505,2)&gt;5,"Weekend posting | ","")&amp;IF(COUNTIF(Settings!$A$14:$A$43,B505)&gt;0,"Holiday posting | ","")&amp;IF(B505&gt;Settings!$C$8,"Posted after close | ","")&amp;IF(OR(B505&lt;Settings!$C$6,B505&gt;Settings!$C$7),"Outside period | ","")&amp;IF(COUNTIF(Settings!$E$14:$E$43,C505&amp;"")&gt;0,"Sensitive account | ","")&amp;IF(AND(MAX(N(E505),N(F505))&gt;=Settings!$C$9,MOD(MAX(N(E505),N(F505)),Settings!$C$10)=0),"Round amount | ",""),LEN(IF(K505="No","Does not balance | ","")&amp;IF(I505="","Not approved | ",IF(UPPER(TRIM(H505))=UPPER(TRIM(I505)),"Self-approved | ",""))&amp;IF(J505="","No support | ","")&amp;IF(WEEKDAY(B505,2)&gt;5,"Weekend posting | ","")&amp;IF(COUNTIF(Settings!$A$14:$A$43,B505)&gt;0,"Holiday posting | ","")&amp;IF(B505&gt;Settings!$C$8,"Posted after close | ","")&amp;IF(OR(B505&lt;Settings!$C$6,B505&gt;Settings!$C$7),"Outside period | ","")&amp;IF(COUNTIF(Settings!$E$14:$E$43,C505&amp;"")&gt;0,"Sensitive account | ","")&amp;IF(AND(MAX(N(E505),N(F505))&gt;=Settings!$C$9,MOD(MAX(N(E505),N(F505)),Settings!$C$10)=0),"Round amount | ",""))-3)))</f>
        <v/>
      </c>
      <c r="M505" s="21" t="str">
        <f aca="false">IF(A505="","",IF(COUNTIF($A$9:A505,A505)=1,MAX($M$8:M504)+1,""))</f>
        <v/>
      </c>
    </row>
    <row r="506" customFormat="false" ht="15" hidden="false" customHeight="false" outlineLevel="0" collapsed="false">
      <c r="A506" s="8"/>
      <c r="B506" s="17"/>
      <c r="C506" s="19"/>
      <c r="D506" s="8"/>
      <c r="E506" s="18"/>
      <c r="F506" s="18"/>
      <c r="G506" s="8"/>
      <c r="H506" s="8"/>
      <c r="I506" s="8"/>
      <c r="J506" s="8"/>
      <c r="K506" s="10" t="str">
        <f aca="false">IF(A506="","",IF(ABS(SUMIFS($E$9:$E$2008,$A$9:$A$2008,A506)-SUMIFS($F$9:$F$2008,$A$9:$A$2008,A506))&lt;0.5,"Yes","No"))</f>
        <v/>
      </c>
      <c r="L506" s="10" t="str">
        <f aca="false">IF(A506="","",IF(IF(K506="No","Does not balance | ","")&amp;IF(I506="","Not approved | ",IF(UPPER(TRIM(H506))=UPPER(TRIM(I506)),"Self-approved | ",""))&amp;IF(J506="","No support | ","")&amp;IF(WEEKDAY(B506,2)&gt;5,"Weekend posting | ","")&amp;IF(COUNTIF(Settings!$A$14:$A$43,B506)&gt;0,"Holiday posting | ","")&amp;IF(B506&gt;Settings!$C$8,"Posted after close | ","")&amp;IF(OR(B506&lt;Settings!$C$6,B506&gt;Settings!$C$7),"Outside period | ","")&amp;IF(COUNTIF(Settings!$E$14:$E$43,C506&amp;"")&gt;0,"Sensitive account | ","")&amp;IF(AND(MAX(N(E506),N(F506))&gt;=Settings!$C$9,MOD(MAX(N(E506),N(F506)),Settings!$C$10)=0),"Round amount | ","")="","",LEFT(IF(K506="No","Does not balance | ","")&amp;IF(I506="","Not approved | ",IF(UPPER(TRIM(H506))=UPPER(TRIM(I506)),"Self-approved | ",""))&amp;IF(J506="","No support | ","")&amp;IF(WEEKDAY(B506,2)&gt;5,"Weekend posting | ","")&amp;IF(COUNTIF(Settings!$A$14:$A$43,B506)&gt;0,"Holiday posting | ","")&amp;IF(B506&gt;Settings!$C$8,"Posted after close | ","")&amp;IF(OR(B506&lt;Settings!$C$6,B506&gt;Settings!$C$7),"Outside period | ","")&amp;IF(COUNTIF(Settings!$E$14:$E$43,C506&amp;"")&gt;0,"Sensitive account | ","")&amp;IF(AND(MAX(N(E506),N(F506))&gt;=Settings!$C$9,MOD(MAX(N(E506),N(F506)),Settings!$C$10)=0),"Round amount | ",""),LEN(IF(K506="No","Does not balance | ","")&amp;IF(I506="","Not approved | ",IF(UPPER(TRIM(H506))=UPPER(TRIM(I506)),"Self-approved | ",""))&amp;IF(J506="","No support | ","")&amp;IF(WEEKDAY(B506,2)&gt;5,"Weekend posting | ","")&amp;IF(COUNTIF(Settings!$A$14:$A$43,B506)&gt;0,"Holiday posting | ","")&amp;IF(B506&gt;Settings!$C$8,"Posted after close | ","")&amp;IF(OR(B506&lt;Settings!$C$6,B506&gt;Settings!$C$7),"Outside period | ","")&amp;IF(COUNTIF(Settings!$E$14:$E$43,C506&amp;"")&gt;0,"Sensitive account | ","")&amp;IF(AND(MAX(N(E506),N(F506))&gt;=Settings!$C$9,MOD(MAX(N(E506),N(F506)),Settings!$C$10)=0),"Round amount | ",""))-3)))</f>
        <v/>
      </c>
      <c r="M506" s="21" t="str">
        <f aca="false">IF(A506="","",IF(COUNTIF($A$9:A506,A506)=1,MAX($M$8:M505)+1,""))</f>
        <v/>
      </c>
    </row>
    <row r="507" customFormat="false" ht="15" hidden="false" customHeight="false" outlineLevel="0" collapsed="false">
      <c r="A507" s="8"/>
      <c r="B507" s="17"/>
      <c r="C507" s="19"/>
      <c r="D507" s="8"/>
      <c r="E507" s="18"/>
      <c r="F507" s="18"/>
      <c r="G507" s="8"/>
      <c r="H507" s="8"/>
      <c r="I507" s="8"/>
      <c r="J507" s="8"/>
      <c r="K507" s="10" t="str">
        <f aca="false">IF(A507="","",IF(ABS(SUMIFS($E$9:$E$2008,$A$9:$A$2008,A507)-SUMIFS($F$9:$F$2008,$A$9:$A$2008,A507))&lt;0.5,"Yes","No"))</f>
        <v/>
      </c>
      <c r="L507" s="10" t="str">
        <f aca="false">IF(A507="","",IF(IF(K507="No","Does not balance | ","")&amp;IF(I507="","Not approved | ",IF(UPPER(TRIM(H507))=UPPER(TRIM(I507)),"Self-approved | ",""))&amp;IF(J507="","No support | ","")&amp;IF(WEEKDAY(B507,2)&gt;5,"Weekend posting | ","")&amp;IF(COUNTIF(Settings!$A$14:$A$43,B507)&gt;0,"Holiday posting | ","")&amp;IF(B507&gt;Settings!$C$8,"Posted after close | ","")&amp;IF(OR(B507&lt;Settings!$C$6,B507&gt;Settings!$C$7),"Outside period | ","")&amp;IF(COUNTIF(Settings!$E$14:$E$43,C507&amp;"")&gt;0,"Sensitive account | ","")&amp;IF(AND(MAX(N(E507),N(F507))&gt;=Settings!$C$9,MOD(MAX(N(E507),N(F507)),Settings!$C$10)=0),"Round amount | ","")="","",LEFT(IF(K507="No","Does not balance | ","")&amp;IF(I507="","Not approved | ",IF(UPPER(TRIM(H507))=UPPER(TRIM(I507)),"Self-approved | ",""))&amp;IF(J507="","No support | ","")&amp;IF(WEEKDAY(B507,2)&gt;5,"Weekend posting | ","")&amp;IF(COUNTIF(Settings!$A$14:$A$43,B507)&gt;0,"Holiday posting | ","")&amp;IF(B507&gt;Settings!$C$8,"Posted after close | ","")&amp;IF(OR(B507&lt;Settings!$C$6,B507&gt;Settings!$C$7),"Outside period | ","")&amp;IF(COUNTIF(Settings!$E$14:$E$43,C507&amp;"")&gt;0,"Sensitive account | ","")&amp;IF(AND(MAX(N(E507),N(F507))&gt;=Settings!$C$9,MOD(MAX(N(E507),N(F507)),Settings!$C$10)=0),"Round amount | ",""),LEN(IF(K507="No","Does not balance | ","")&amp;IF(I507="","Not approved | ",IF(UPPER(TRIM(H507))=UPPER(TRIM(I507)),"Self-approved | ",""))&amp;IF(J507="","No support | ","")&amp;IF(WEEKDAY(B507,2)&gt;5,"Weekend posting | ","")&amp;IF(COUNTIF(Settings!$A$14:$A$43,B507)&gt;0,"Holiday posting | ","")&amp;IF(B507&gt;Settings!$C$8,"Posted after close | ","")&amp;IF(OR(B507&lt;Settings!$C$6,B507&gt;Settings!$C$7),"Outside period | ","")&amp;IF(COUNTIF(Settings!$E$14:$E$43,C507&amp;"")&gt;0,"Sensitive account | ","")&amp;IF(AND(MAX(N(E507),N(F507))&gt;=Settings!$C$9,MOD(MAX(N(E507),N(F507)),Settings!$C$10)=0),"Round amount | ",""))-3)))</f>
        <v/>
      </c>
      <c r="M507" s="21" t="str">
        <f aca="false">IF(A507="","",IF(COUNTIF($A$9:A507,A507)=1,MAX($M$8:M506)+1,""))</f>
        <v/>
      </c>
    </row>
    <row r="508" customFormat="false" ht="15" hidden="false" customHeight="false" outlineLevel="0" collapsed="false">
      <c r="A508" s="8"/>
      <c r="B508" s="17"/>
      <c r="C508" s="19"/>
      <c r="D508" s="8"/>
      <c r="E508" s="18"/>
      <c r="F508" s="18"/>
      <c r="G508" s="8"/>
      <c r="H508" s="8"/>
      <c r="I508" s="8"/>
      <c r="J508" s="8"/>
      <c r="K508" s="10" t="str">
        <f aca="false">IF(A508="","",IF(ABS(SUMIFS($E$9:$E$2008,$A$9:$A$2008,A508)-SUMIFS($F$9:$F$2008,$A$9:$A$2008,A508))&lt;0.5,"Yes","No"))</f>
        <v/>
      </c>
      <c r="L508" s="10" t="str">
        <f aca="false">IF(A508="","",IF(IF(K508="No","Does not balance | ","")&amp;IF(I508="","Not approved | ",IF(UPPER(TRIM(H508))=UPPER(TRIM(I508)),"Self-approved | ",""))&amp;IF(J508="","No support | ","")&amp;IF(WEEKDAY(B508,2)&gt;5,"Weekend posting | ","")&amp;IF(COUNTIF(Settings!$A$14:$A$43,B508)&gt;0,"Holiday posting | ","")&amp;IF(B508&gt;Settings!$C$8,"Posted after close | ","")&amp;IF(OR(B508&lt;Settings!$C$6,B508&gt;Settings!$C$7),"Outside period | ","")&amp;IF(COUNTIF(Settings!$E$14:$E$43,C508&amp;"")&gt;0,"Sensitive account | ","")&amp;IF(AND(MAX(N(E508),N(F508))&gt;=Settings!$C$9,MOD(MAX(N(E508),N(F508)),Settings!$C$10)=0),"Round amount | ","")="","",LEFT(IF(K508="No","Does not balance | ","")&amp;IF(I508="","Not approved | ",IF(UPPER(TRIM(H508))=UPPER(TRIM(I508)),"Self-approved | ",""))&amp;IF(J508="","No support | ","")&amp;IF(WEEKDAY(B508,2)&gt;5,"Weekend posting | ","")&amp;IF(COUNTIF(Settings!$A$14:$A$43,B508)&gt;0,"Holiday posting | ","")&amp;IF(B508&gt;Settings!$C$8,"Posted after close | ","")&amp;IF(OR(B508&lt;Settings!$C$6,B508&gt;Settings!$C$7),"Outside period | ","")&amp;IF(COUNTIF(Settings!$E$14:$E$43,C508&amp;"")&gt;0,"Sensitive account | ","")&amp;IF(AND(MAX(N(E508),N(F508))&gt;=Settings!$C$9,MOD(MAX(N(E508),N(F508)),Settings!$C$10)=0),"Round amount | ",""),LEN(IF(K508="No","Does not balance | ","")&amp;IF(I508="","Not approved | ",IF(UPPER(TRIM(H508))=UPPER(TRIM(I508)),"Self-approved | ",""))&amp;IF(J508="","No support | ","")&amp;IF(WEEKDAY(B508,2)&gt;5,"Weekend posting | ","")&amp;IF(COUNTIF(Settings!$A$14:$A$43,B508)&gt;0,"Holiday posting | ","")&amp;IF(B508&gt;Settings!$C$8,"Posted after close | ","")&amp;IF(OR(B508&lt;Settings!$C$6,B508&gt;Settings!$C$7),"Outside period | ","")&amp;IF(COUNTIF(Settings!$E$14:$E$43,C508&amp;"")&gt;0,"Sensitive account | ","")&amp;IF(AND(MAX(N(E508),N(F508))&gt;=Settings!$C$9,MOD(MAX(N(E508),N(F508)),Settings!$C$10)=0),"Round amount | ",""))-3)))</f>
        <v/>
      </c>
      <c r="M508" s="21" t="str">
        <f aca="false">IF(A508="","",IF(COUNTIF($A$9:A508,A508)=1,MAX($M$8:M507)+1,""))</f>
        <v/>
      </c>
    </row>
    <row r="509" customFormat="false" ht="15" hidden="false" customHeight="false" outlineLevel="0" collapsed="false">
      <c r="A509" s="8"/>
      <c r="B509" s="17"/>
      <c r="C509" s="19"/>
      <c r="D509" s="8"/>
      <c r="E509" s="18"/>
      <c r="F509" s="18"/>
      <c r="G509" s="8"/>
      <c r="H509" s="8"/>
      <c r="I509" s="8"/>
      <c r="J509" s="8"/>
      <c r="K509" s="10" t="str">
        <f aca="false">IF(A509="","",IF(ABS(SUMIFS($E$9:$E$2008,$A$9:$A$2008,A509)-SUMIFS($F$9:$F$2008,$A$9:$A$2008,A509))&lt;0.5,"Yes","No"))</f>
        <v/>
      </c>
      <c r="L509" s="10" t="str">
        <f aca="false">IF(A509="","",IF(IF(K509="No","Does not balance | ","")&amp;IF(I509="","Not approved | ",IF(UPPER(TRIM(H509))=UPPER(TRIM(I509)),"Self-approved | ",""))&amp;IF(J509="","No support | ","")&amp;IF(WEEKDAY(B509,2)&gt;5,"Weekend posting | ","")&amp;IF(COUNTIF(Settings!$A$14:$A$43,B509)&gt;0,"Holiday posting | ","")&amp;IF(B509&gt;Settings!$C$8,"Posted after close | ","")&amp;IF(OR(B509&lt;Settings!$C$6,B509&gt;Settings!$C$7),"Outside period | ","")&amp;IF(COUNTIF(Settings!$E$14:$E$43,C509&amp;"")&gt;0,"Sensitive account | ","")&amp;IF(AND(MAX(N(E509),N(F509))&gt;=Settings!$C$9,MOD(MAX(N(E509),N(F509)),Settings!$C$10)=0),"Round amount | ","")="","",LEFT(IF(K509="No","Does not balance | ","")&amp;IF(I509="","Not approved | ",IF(UPPER(TRIM(H509))=UPPER(TRIM(I509)),"Self-approved | ",""))&amp;IF(J509="","No support | ","")&amp;IF(WEEKDAY(B509,2)&gt;5,"Weekend posting | ","")&amp;IF(COUNTIF(Settings!$A$14:$A$43,B509)&gt;0,"Holiday posting | ","")&amp;IF(B509&gt;Settings!$C$8,"Posted after close | ","")&amp;IF(OR(B509&lt;Settings!$C$6,B509&gt;Settings!$C$7),"Outside period | ","")&amp;IF(COUNTIF(Settings!$E$14:$E$43,C509&amp;"")&gt;0,"Sensitive account | ","")&amp;IF(AND(MAX(N(E509),N(F509))&gt;=Settings!$C$9,MOD(MAX(N(E509),N(F509)),Settings!$C$10)=0),"Round amount | ",""),LEN(IF(K509="No","Does not balance | ","")&amp;IF(I509="","Not approved | ",IF(UPPER(TRIM(H509))=UPPER(TRIM(I509)),"Self-approved | ",""))&amp;IF(J509="","No support | ","")&amp;IF(WEEKDAY(B509,2)&gt;5,"Weekend posting | ","")&amp;IF(COUNTIF(Settings!$A$14:$A$43,B509)&gt;0,"Holiday posting | ","")&amp;IF(B509&gt;Settings!$C$8,"Posted after close | ","")&amp;IF(OR(B509&lt;Settings!$C$6,B509&gt;Settings!$C$7),"Outside period | ","")&amp;IF(COUNTIF(Settings!$E$14:$E$43,C509&amp;"")&gt;0,"Sensitive account | ","")&amp;IF(AND(MAX(N(E509),N(F509))&gt;=Settings!$C$9,MOD(MAX(N(E509),N(F509)),Settings!$C$10)=0),"Round amount | ",""))-3)))</f>
        <v/>
      </c>
      <c r="M509" s="21" t="str">
        <f aca="false">IF(A509="","",IF(COUNTIF($A$9:A509,A509)=1,MAX($M$8:M508)+1,""))</f>
        <v/>
      </c>
    </row>
    <row r="510" customFormat="false" ht="15" hidden="false" customHeight="false" outlineLevel="0" collapsed="false">
      <c r="A510" s="8"/>
      <c r="B510" s="17"/>
      <c r="C510" s="19"/>
      <c r="D510" s="8"/>
      <c r="E510" s="18"/>
      <c r="F510" s="18"/>
      <c r="G510" s="8"/>
      <c r="H510" s="8"/>
      <c r="I510" s="8"/>
      <c r="J510" s="8"/>
      <c r="K510" s="10" t="str">
        <f aca="false">IF(A510="","",IF(ABS(SUMIFS($E$9:$E$2008,$A$9:$A$2008,A510)-SUMIFS($F$9:$F$2008,$A$9:$A$2008,A510))&lt;0.5,"Yes","No"))</f>
        <v/>
      </c>
      <c r="L510" s="10" t="str">
        <f aca="false">IF(A510="","",IF(IF(K510="No","Does not balance | ","")&amp;IF(I510="","Not approved | ",IF(UPPER(TRIM(H510))=UPPER(TRIM(I510)),"Self-approved | ",""))&amp;IF(J510="","No support | ","")&amp;IF(WEEKDAY(B510,2)&gt;5,"Weekend posting | ","")&amp;IF(COUNTIF(Settings!$A$14:$A$43,B510)&gt;0,"Holiday posting | ","")&amp;IF(B510&gt;Settings!$C$8,"Posted after close | ","")&amp;IF(OR(B510&lt;Settings!$C$6,B510&gt;Settings!$C$7),"Outside period | ","")&amp;IF(COUNTIF(Settings!$E$14:$E$43,C510&amp;"")&gt;0,"Sensitive account | ","")&amp;IF(AND(MAX(N(E510),N(F510))&gt;=Settings!$C$9,MOD(MAX(N(E510),N(F510)),Settings!$C$10)=0),"Round amount | ","")="","",LEFT(IF(K510="No","Does not balance | ","")&amp;IF(I510="","Not approved | ",IF(UPPER(TRIM(H510))=UPPER(TRIM(I510)),"Self-approved | ",""))&amp;IF(J510="","No support | ","")&amp;IF(WEEKDAY(B510,2)&gt;5,"Weekend posting | ","")&amp;IF(COUNTIF(Settings!$A$14:$A$43,B510)&gt;0,"Holiday posting | ","")&amp;IF(B510&gt;Settings!$C$8,"Posted after close | ","")&amp;IF(OR(B510&lt;Settings!$C$6,B510&gt;Settings!$C$7),"Outside period | ","")&amp;IF(COUNTIF(Settings!$E$14:$E$43,C510&amp;"")&gt;0,"Sensitive account | ","")&amp;IF(AND(MAX(N(E510),N(F510))&gt;=Settings!$C$9,MOD(MAX(N(E510),N(F510)),Settings!$C$10)=0),"Round amount | ",""),LEN(IF(K510="No","Does not balance | ","")&amp;IF(I510="","Not approved | ",IF(UPPER(TRIM(H510))=UPPER(TRIM(I510)),"Self-approved | ",""))&amp;IF(J510="","No support | ","")&amp;IF(WEEKDAY(B510,2)&gt;5,"Weekend posting | ","")&amp;IF(COUNTIF(Settings!$A$14:$A$43,B510)&gt;0,"Holiday posting | ","")&amp;IF(B510&gt;Settings!$C$8,"Posted after close | ","")&amp;IF(OR(B510&lt;Settings!$C$6,B510&gt;Settings!$C$7),"Outside period | ","")&amp;IF(COUNTIF(Settings!$E$14:$E$43,C510&amp;"")&gt;0,"Sensitive account | ","")&amp;IF(AND(MAX(N(E510),N(F510))&gt;=Settings!$C$9,MOD(MAX(N(E510),N(F510)),Settings!$C$10)=0),"Round amount | ",""))-3)))</f>
        <v/>
      </c>
      <c r="M510" s="21" t="str">
        <f aca="false">IF(A510="","",IF(COUNTIF($A$9:A510,A510)=1,MAX($M$8:M509)+1,""))</f>
        <v/>
      </c>
    </row>
    <row r="511" customFormat="false" ht="15" hidden="false" customHeight="false" outlineLevel="0" collapsed="false">
      <c r="A511" s="8"/>
      <c r="B511" s="17"/>
      <c r="C511" s="19"/>
      <c r="D511" s="8"/>
      <c r="E511" s="18"/>
      <c r="F511" s="18"/>
      <c r="G511" s="8"/>
      <c r="H511" s="8"/>
      <c r="I511" s="8"/>
      <c r="J511" s="8"/>
      <c r="K511" s="10" t="str">
        <f aca="false">IF(A511="","",IF(ABS(SUMIFS($E$9:$E$2008,$A$9:$A$2008,A511)-SUMIFS($F$9:$F$2008,$A$9:$A$2008,A511))&lt;0.5,"Yes","No"))</f>
        <v/>
      </c>
      <c r="L511" s="10" t="str">
        <f aca="false">IF(A511="","",IF(IF(K511="No","Does not balance | ","")&amp;IF(I511="","Not approved | ",IF(UPPER(TRIM(H511))=UPPER(TRIM(I511)),"Self-approved | ",""))&amp;IF(J511="","No support | ","")&amp;IF(WEEKDAY(B511,2)&gt;5,"Weekend posting | ","")&amp;IF(COUNTIF(Settings!$A$14:$A$43,B511)&gt;0,"Holiday posting | ","")&amp;IF(B511&gt;Settings!$C$8,"Posted after close | ","")&amp;IF(OR(B511&lt;Settings!$C$6,B511&gt;Settings!$C$7),"Outside period | ","")&amp;IF(COUNTIF(Settings!$E$14:$E$43,C511&amp;"")&gt;0,"Sensitive account | ","")&amp;IF(AND(MAX(N(E511),N(F511))&gt;=Settings!$C$9,MOD(MAX(N(E511),N(F511)),Settings!$C$10)=0),"Round amount | ","")="","",LEFT(IF(K511="No","Does not balance | ","")&amp;IF(I511="","Not approved | ",IF(UPPER(TRIM(H511))=UPPER(TRIM(I511)),"Self-approved | ",""))&amp;IF(J511="","No support | ","")&amp;IF(WEEKDAY(B511,2)&gt;5,"Weekend posting | ","")&amp;IF(COUNTIF(Settings!$A$14:$A$43,B511)&gt;0,"Holiday posting | ","")&amp;IF(B511&gt;Settings!$C$8,"Posted after close | ","")&amp;IF(OR(B511&lt;Settings!$C$6,B511&gt;Settings!$C$7),"Outside period | ","")&amp;IF(COUNTIF(Settings!$E$14:$E$43,C511&amp;"")&gt;0,"Sensitive account | ","")&amp;IF(AND(MAX(N(E511),N(F511))&gt;=Settings!$C$9,MOD(MAX(N(E511),N(F511)),Settings!$C$10)=0),"Round amount | ",""),LEN(IF(K511="No","Does not balance | ","")&amp;IF(I511="","Not approved | ",IF(UPPER(TRIM(H511))=UPPER(TRIM(I511)),"Self-approved | ",""))&amp;IF(J511="","No support | ","")&amp;IF(WEEKDAY(B511,2)&gt;5,"Weekend posting | ","")&amp;IF(COUNTIF(Settings!$A$14:$A$43,B511)&gt;0,"Holiday posting | ","")&amp;IF(B511&gt;Settings!$C$8,"Posted after close | ","")&amp;IF(OR(B511&lt;Settings!$C$6,B511&gt;Settings!$C$7),"Outside period | ","")&amp;IF(COUNTIF(Settings!$E$14:$E$43,C511&amp;"")&gt;0,"Sensitive account | ","")&amp;IF(AND(MAX(N(E511),N(F511))&gt;=Settings!$C$9,MOD(MAX(N(E511),N(F511)),Settings!$C$10)=0),"Round amount | ",""))-3)))</f>
        <v/>
      </c>
      <c r="M511" s="21" t="str">
        <f aca="false">IF(A511="","",IF(COUNTIF($A$9:A511,A511)=1,MAX($M$8:M510)+1,""))</f>
        <v/>
      </c>
    </row>
    <row r="512" customFormat="false" ht="15" hidden="false" customHeight="false" outlineLevel="0" collapsed="false">
      <c r="A512" s="8"/>
      <c r="B512" s="17"/>
      <c r="C512" s="19"/>
      <c r="D512" s="8"/>
      <c r="E512" s="18"/>
      <c r="F512" s="18"/>
      <c r="G512" s="8"/>
      <c r="H512" s="8"/>
      <c r="I512" s="8"/>
      <c r="J512" s="8"/>
      <c r="K512" s="10" t="str">
        <f aca="false">IF(A512="","",IF(ABS(SUMIFS($E$9:$E$2008,$A$9:$A$2008,A512)-SUMIFS($F$9:$F$2008,$A$9:$A$2008,A512))&lt;0.5,"Yes","No"))</f>
        <v/>
      </c>
      <c r="L512" s="10" t="str">
        <f aca="false">IF(A512="","",IF(IF(K512="No","Does not balance | ","")&amp;IF(I512="","Not approved | ",IF(UPPER(TRIM(H512))=UPPER(TRIM(I512)),"Self-approved | ",""))&amp;IF(J512="","No support | ","")&amp;IF(WEEKDAY(B512,2)&gt;5,"Weekend posting | ","")&amp;IF(COUNTIF(Settings!$A$14:$A$43,B512)&gt;0,"Holiday posting | ","")&amp;IF(B512&gt;Settings!$C$8,"Posted after close | ","")&amp;IF(OR(B512&lt;Settings!$C$6,B512&gt;Settings!$C$7),"Outside period | ","")&amp;IF(COUNTIF(Settings!$E$14:$E$43,C512&amp;"")&gt;0,"Sensitive account | ","")&amp;IF(AND(MAX(N(E512),N(F512))&gt;=Settings!$C$9,MOD(MAX(N(E512),N(F512)),Settings!$C$10)=0),"Round amount | ","")="","",LEFT(IF(K512="No","Does not balance | ","")&amp;IF(I512="","Not approved | ",IF(UPPER(TRIM(H512))=UPPER(TRIM(I512)),"Self-approved | ",""))&amp;IF(J512="","No support | ","")&amp;IF(WEEKDAY(B512,2)&gt;5,"Weekend posting | ","")&amp;IF(COUNTIF(Settings!$A$14:$A$43,B512)&gt;0,"Holiday posting | ","")&amp;IF(B512&gt;Settings!$C$8,"Posted after close | ","")&amp;IF(OR(B512&lt;Settings!$C$6,B512&gt;Settings!$C$7),"Outside period | ","")&amp;IF(COUNTIF(Settings!$E$14:$E$43,C512&amp;"")&gt;0,"Sensitive account | ","")&amp;IF(AND(MAX(N(E512),N(F512))&gt;=Settings!$C$9,MOD(MAX(N(E512),N(F512)),Settings!$C$10)=0),"Round amount | ",""),LEN(IF(K512="No","Does not balance | ","")&amp;IF(I512="","Not approved | ",IF(UPPER(TRIM(H512))=UPPER(TRIM(I512)),"Self-approved | ",""))&amp;IF(J512="","No support | ","")&amp;IF(WEEKDAY(B512,2)&gt;5,"Weekend posting | ","")&amp;IF(COUNTIF(Settings!$A$14:$A$43,B512)&gt;0,"Holiday posting | ","")&amp;IF(B512&gt;Settings!$C$8,"Posted after close | ","")&amp;IF(OR(B512&lt;Settings!$C$6,B512&gt;Settings!$C$7),"Outside period | ","")&amp;IF(COUNTIF(Settings!$E$14:$E$43,C512&amp;"")&gt;0,"Sensitive account | ","")&amp;IF(AND(MAX(N(E512),N(F512))&gt;=Settings!$C$9,MOD(MAX(N(E512),N(F512)),Settings!$C$10)=0),"Round amount | ",""))-3)))</f>
        <v/>
      </c>
      <c r="M512" s="21" t="str">
        <f aca="false">IF(A512="","",IF(COUNTIF($A$9:A512,A512)=1,MAX($M$8:M511)+1,""))</f>
        <v/>
      </c>
    </row>
    <row r="513" customFormat="false" ht="15" hidden="false" customHeight="false" outlineLevel="0" collapsed="false">
      <c r="A513" s="8"/>
      <c r="B513" s="17"/>
      <c r="C513" s="19"/>
      <c r="D513" s="8"/>
      <c r="E513" s="18"/>
      <c r="F513" s="18"/>
      <c r="G513" s="8"/>
      <c r="H513" s="8"/>
      <c r="I513" s="8"/>
      <c r="J513" s="8"/>
      <c r="K513" s="10" t="str">
        <f aca="false">IF(A513="","",IF(ABS(SUMIFS($E$9:$E$2008,$A$9:$A$2008,A513)-SUMIFS($F$9:$F$2008,$A$9:$A$2008,A513))&lt;0.5,"Yes","No"))</f>
        <v/>
      </c>
      <c r="L513" s="10" t="str">
        <f aca="false">IF(A513="","",IF(IF(K513="No","Does not balance | ","")&amp;IF(I513="","Not approved | ",IF(UPPER(TRIM(H513))=UPPER(TRIM(I513)),"Self-approved | ",""))&amp;IF(J513="","No support | ","")&amp;IF(WEEKDAY(B513,2)&gt;5,"Weekend posting | ","")&amp;IF(COUNTIF(Settings!$A$14:$A$43,B513)&gt;0,"Holiday posting | ","")&amp;IF(B513&gt;Settings!$C$8,"Posted after close | ","")&amp;IF(OR(B513&lt;Settings!$C$6,B513&gt;Settings!$C$7),"Outside period | ","")&amp;IF(COUNTIF(Settings!$E$14:$E$43,C513&amp;"")&gt;0,"Sensitive account | ","")&amp;IF(AND(MAX(N(E513),N(F513))&gt;=Settings!$C$9,MOD(MAX(N(E513),N(F513)),Settings!$C$10)=0),"Round amount | ","")="","",LEFT(IF(K513="No","Does not balance | ","")&amp;IF(I513="","Not approved | ",IF(UPPER(TRIM(H513))=UPPER(TRIM(I513)),"Self-approved | ",""))&amp;IF(J513="","No support | ","")&amp;IF(WEEKDAY(B513,2)&gt;5,"Weekend posting | ","")&amp;IF(COUNTIF(Settings!$A$14:$A$43,B513)&gt;0,"Holiday posting | ","")&amp;IF(B513&gt;Settings!$C$8,"Posted after close | ","")&amp;IF(OR(B513&lt;Settings!$C$6,B513&gt;Settings!$C$7),"Outside period | ","")&amp;IF(COUNTIF(Settings!$E$14:$E$43,C513&amp;"")&gt;0,"Sensitive account | ","")&amp;IF(AND(MAX(N(E513),N(F513))&gt;=Settings!$C$9,MOD(MAX(N(E513),N(F513)),Settings!$C$10)=0),"Round amount | ",""),LEN(IF(K513="No","Does not balance | ","")&amp;IF(I513="","Not approved | ",IF(UPPER(TRIM(H513))=UPPER(TRIM(I513)),"Self-approved | ",""))&amp;IF(J513="","No support | ","")&amp;IF(WEEKDAY(B513,2)&gt;5,"Weekend posting | ","")&amp;IF(COUNTIF(Settings!$A$14:$A$43,B513)&gt;0,"Holiday posting | ","")&amp;IF(B513&gt;Settings!$C$8,"Posted after close | ","")&amp;IF(OR(B513&lt;Settings!$C$6,B513&gt;Settings!$C$7),"Outside period | ","")&amp;IF(COUNTIF(Settings!$E$14:$E$43,C513&amp;"")&gt;0,"Sensitive account | ","")&amp;IF(AND(MAX(N(E513),N(F513))&gt;=Settings!$C$9,MOD(MAX(N(E513),N(F513)),Settings!$C$10)=0),"Round amount | ",""))-3)))</f>
        <v/>
      </c>
      <c r="M513" s="21" t="str">
        <f aca="false">IF(A513="","",IF(COUNTIF($A$9:A513,A513)=1,MAX($M$8:M512)+1,""))</f>
        <v/>
      </c>
    </row>
    <row r="514" customFormat="false" ht="15" hidden="false" customHeight="false" outlineLevel="0" collapsed="false">
      <c r="A514" s="8"/>
      <c r="B514" s="17"/>
      <c r="C514" s="19"/>
      <c r="D514" s="8"/>
      <c r="E514" s="18"/>
      <c r="F514" s="18"/>
      <c r="G514" s="8"/>
      <c r="H514" s="8"/>
      <c r="I514" s="8"/>
      <c r="J514" s="8"/>
      <c r="K514" s="10" t="str">
        <f aca="false">IF(A514="","",IF(ABS(SUMIFS($E$9:$E$2008,$A$9:$A$2008,A514)-SUMIFS($F$9:$F$2008,$A$9:$A$2008,A514))&lt;0.5,"Yes","No"))</f>
        <v/>
      </c>
      <c r="L514" s="10" t="str">
        <f aca="false">IF(A514="","",IF(IF(K514="No","Does not balance | ","")&amp;IF(I514="","Not approved | ",IF(UPPER(TRIM(H514))=UPPER(TRIM(I514)),"Self-approved | ",""))&amp;IF(J514="","No support | ","")&amp;IF(WEEKDAY(B514,2)&gt;5,"Weekend posting | ","")&amp;IF(COUNTIF(Settings!$A$14:$A$43,B514)&gt;0,"Holiday posting | ","")&amp;IF(B514&gt;Settings!$C$8,"Posted after close | ","")&amp;IF(OR(B514&lt;Settings!$C$6,B514&gt;Settings!$C$7),"Outside period | ","")&amp;IF(COUNTIF(Settings!$E$14:$E$43,C514&amp;"")&gt;0,"Sensitive account | ","")&amp;IF(AND(MAX(N(E514),N(F514))&gt;=Settings!$C$9,MOD(MAX(N(E514),N(F514)),Settings!$C$10)=0),"Round amount | ","")="","",LEFT(IF(K514="No","Does not balance | ","")&amp;IF(I514="","Not approved | ",IF(UPPER(TRIM(H514))=UPPER(TRIM(I514)),"Self-approved | ",""))&amp;IF(J514="","No support | ","")&amp;IF(WEEKDAY(B514,2)&gt;5,"Weekend posting | ","")&amp;IF(COUNTIF(Settings!$A$14:$A$43,B514)&gt;0,"Holiday posting | ","")&amp;IF(B514&gt;Settings!$C$8,"Posted after close | ","")&amp;IF(OR(B514&lt;Settings!$C$6,B514&gt;Settings!$C$7),"Outside period | ","")&amp;IF(COUNTIF(Settings!$E$14:$E$43,C514&amp;"")&gt;0,"Sensitive account | ","")&amp;IF(AND(MAX(N(E514),N(F514))&gt;=Settings!$C$9,MOD(MAX(N(E514),N(F514)),Settings!$C$10)=0),"Round amount | ",""),LEN(IF(K514="No","Does not balance | ","")&amp;IF(I514="","Not approved | ",IF(UPPER(TRIM(H514))=UPPER(TRIM(I514)),"Self-approved | ",""))&amp;IF(J514="","No support | ","")&amp;IF(WEEKDAY(B514,2)&gt;5,"Weekend posting | ","")&amp;IF(COUNTIF(Settings!$A$14:$A$43,B514)&gt;0,"Holiday posting | ","")&amp;IF(B514&gt;Settings!$C$8,"Posted after close | ","")&amp;IF(OR(B514&lt;Settings!$C$6,B514&gt;Settings!$C$7),"Outside period | ","")&amp;IF(COUNTIF(Settings!$E$14:$E$43,C514&amp;"")&gt;0,"Sensitive account | ","")&amp;IF(AND(MAX(N(E514),N(F514))&gt;=Settings!$C$9,MOD(MAX(N(E514),N(F514)),Settings!$C$10)=0),"Round amount | ",""))-3)))</f>
        <v/>
      </c>
      <c r="M514" s="21" t="str">
        <f aca="false">IF(A514="","",IF(COUNTIF($A$9:A514,A514)=1,MAX($M$8:M513)+1,""))</f>
        <v/>
      </c>
    </row>
    <row r="515" customFormat="false" ht="15" hidden="false" customHeight="false" outlineLevel="0" collapsed="false">
      <c r="A515" s="8"/>
      <c r="B515" s="17"/>
      <c r="C515" s="19"/>
      <c r="D515" s="8"/>
      <c r="E515" s="18"/>
      <c r="F515" s="18"/>
      <c r="G515" s="8"/>
      <c r="H515" s="8"/>
      <c r="I515" s="8"/>
      <c r="J515" s="8"/>
      <c r="K515" s="10" t="str">
        <f aca="false">IF(A515="","",IF(ABS(SUMIFS($E$9:$E$2008,$A$9:$A$2008,A515)-SUMIFS($F$9:$F$2008,$A$9:$A$2008,A515))&lt;0.5,"Yes","No"))</f>
        <v/>
      </c>
      <c r="L515" s="10" t="str">
        <f aca="false">IF(A515="","",IF(IF(K515="No","Does not balance | ","")&amp;IF(I515="","Not approved | ",IF(UPPER(TRIM(H515))=UPPER(TRIM(I515)),"Self-approved | ",""))&amp;IF(J515="","No support | ","")&amp;IF(WEEKDAY(B515,2)&gt;5,"Weekend posting | ","")&amp;IF(COUNTIF(Settings!$A$14:$A$43,B515)&gt;0,"Holiday posting | ","")&amp;IF(B515&gt;Settings!$C$8,"Posted after close | ","")&amp;IF(OR(B515&lt;Settings!$C$6,B515&gt;Settings!$C$7),"Outside period | ","")&amp;IF(COUNTIF(Settings!$E$14:$E$43,C515&amp;"")&gt;0,"Sensitive account | ","")&amp;IF(AND(MAX(N(E515),N(F515))&gt;=Settings!$C$9,MOD(MAX(N(E515),N(F515)),Settings!$C$10)=0),"Round amount | ","")="","",LEFT(IF(K515="No","Does not balance | ","")&amp;IF(I515="","Not approved | ",IF(UPPER(TRIM(H515))=UPPER(TRIM(I515)),"Self-approved | ",""))&amp;IF(J515="","No support | ","")&amp;IF(WEEKDAY(B515,2)&gt;5,"Weekend posting | ","")&amp;IF(COUNTIF(Settings!$A$14:$A$43,B515)&gt;0,"Holiday posting | ","")&amp;IF(B515&gt;Settings!$C$8,"Posted after close | ","")&amp;IF(OR(B515&lt;Settings!$C$6,B515&gt;Settings!$C$7),"Outside period | ","")&amp;IF(COUNTIF(Settings!$E$14:$E$43,C515&amp;"")&gt;0,"Sensitive account | ","")&amp;IF(AND(MAX(N(E515),N(F515))&gt;=Settings!$C$9,MOD(MAX(N(E515),N(F515)),Settings!$C$10)=0),"Round amount | ",""),LEN(IF(K515="No","Does not balance | ","")&amp;IF(I515="","Not approved | ",IF(UPPER(TRIM(H515))=UPPER(TRIM(I515)),"Self-approved | ",""))&amp;IF(J515="","No support | ","")&amp;IF(WEEKDAY(B515,2)&gt;5,"Weekend posting | ","")&amp;IF(COUNTIF(Settings!$A$14:$A$43,B515)&gt;0,"Holiday posting | ","")&amp;IF(B515&gt;Settings!$C$8,"Posted after close | ","")&amp;IF(OR(B515&lt;Settings!$C$6,B515&gt;Settings!$C$7),"Outside period | ","")&amp;IF(COUNTIF(Settings!$E$14:$E$43,C515&amp;"")&gt;0,"Sensitive account | ","")&amp;IF(AND(MAX(N(E515),N(F515))&gt;=Settings!$C$9,MOD(MAX(N(E515),N(F515)),Settings!$C$10)=0),"Round amount | ",""))-3)))</f>
        <v/>
      </c>
      <c r="M515" s="21" t="str">
        <f aca="false">IF(A515="","",IF(COUNTIF($A$9:A515,A515)=1,MAX($M$8:M514)+1,""))</f>
        <v/>
      </c>
    </row>
    <row r="516" customFormat="false" ht="15" hidden="false" customHeight="false" outlineLevel="0" collapsed="false">
      <c r="A516" s="8"/>
      <c r="B516" s="17"/>
      <c r="C516" s="19"/>
      <c r="D516" s="8"/>
      <c r="E516" s="18"/>
      <c r="F516" s="18"/>
      <c r="G516" s="8"/>
      <c r="H516" s="8"/>
      <c r="I516" s="8"/>
      <c r="J516" s="8"/>
      <c r="K516" s="10" t="str">
        <f aca="false">IF(A516="","",IF(ABS(SUMIFS($E$9:$E$2008,$A$9:$A$2008,A516)-SUMIFS($F$9:$F$2008,$A$9:$A$2008,A516))&lt;0.5,"Yes","No"))</f>
        <v/>
      </c>
      <c r="L516" s="10" t="str">
        <f aca="false">IF(A516="","",IF(IF(K516="No","Does not balance | ","")&amp;IF(I516="","Not approved | ",IF(UPPER(TRIM(H516))=UPPER(TRIM(I516)),"Self-approved | ",""))&amp;IF(J516="","No support | ","")&amp;IF(WEEKDAY(B516,2)&gt;5,"Weekend posting | ","")&amp;IF(COUNTIF(Settings!$A$14:$A$43,B516)&gt;0,"Holiday posting | ","")&amp;IF(B516&gt;Settings!$C$8,"Posted after close | ","")&amp;IF(OR(B516&lt;Settings!$C$6,B516&gt;Settings!$C$7),"Outside period | ","")&amp;IF(COUNTIF(Settings!$E$14:$E$43,C516&amp;"")&gt;0,"Sensitive account | ","")&amp;IF(AND(MAX(N(E516),N(F516))&gt;=Settings!$C$9,MOD(MAX(N(E516),N(F516)),Settings!$C$10)=0),"Round amount | ","")="","",LEFT(IF(K516="No","Does not balance | ","")&amp;IF(I516="","Not approved | ",IF(UPPER(TRIM(H516))=UPPER(TRIM(I516)),"Self-approved | ",""))&amp;IF(J516="","No support | ","")&amp;IF(WEEKDAY(B516,2)&gt;5,"Weekend posting | ","")&amp;IF(COUNTIF(Settings!$A$14:$A$43,B516)&gt;0,"Holiday posting | ","")&amp;IF(B516&gt;Settings!$C$8,"Posted after close | ","")&amp;IF(OR(B516&lt;Settings!$C$6,B516&gt;Settings!$C$7),"Outside period | ","")&amp;IF(COUNTIF(Settings!$E$14:$E$43,C516&amp;"")&gt;0,"Sensitive account | ","")&amp;IF(AND(MAX(N(E516),N(F516))&gt;=Settings!$C$9,MOD(MAX(N(E516),N(F516)),Settings!$C$10)=0),"Round amount | ",""),LEN(IF(K516="No","Does not balance | ","")&amp;IF(I516="","Not approved | ",IF(UPPER(TRIM(H516))=UPPER(TRIM(I516)),"Self-approved | ",""))&amp;IF(J516="","No support | ","")&amp;IF(WEEKDAY(B516,2)&gt;5,"Weekend posting | ","")&amp;IF(COUNTIF(Settings!$A$14:$A$43,B516)&gt;0,"Holiday posting | ","")&amp;IF(B516&gt;Settings!$C$8,"Posted after close | ","")&amp;IF(OR(B516&lt;Settings!$C$6,B516&gt;Settings!$C$7),"Outside period | ","")&amp;IF(COUNTIF(Settings!$E$14:$E$43,C516&amp;"")&gt;0,"Sensitive account | ","")&amp;IF(AND(MAX(N(E516),N(F516))&gt;=Settings!$C$9,MOD(MAX(N(E516),N(F516)),Settings!$C$10)=0),"Round amount | ",""))-3)))</f>
        <v/>
      </c>
      <c r="M516" s="21" t="str">
        <f aca="false">IF(A516="","",IF(COUNTIF($A$9:A516,A516)=1,MAX($M$8:M515)+1,""))</f>
        <v/>
      </c>
    </row>
    <row r="517" customFormat="false" ht="15" hidden="false" customHeight="false" outlineLevel="0" collapsed="false">
      <c r="A517" s="8"/>
      <c r="B517" s="17"/>
      <c r="C517" s="19"/>
      <c r="D517" s="8"/>
      <c r="E517" s="18"/>
      <c r="F517" s="18"/>
      <c r="G517" s="8"/>
      <c r="H517" s="8"/>
      <c r="I517" s="8"/>
      <c r="J517" s="8"/>
      <c r="K517" s="10" t="str">
        <f aca="false">IF(A517="","",IF(ABS(SUMIFS($E$9:$E$2008,$A$9:$A$2008,A517)-SUMIFS($F$9:$F$2008,$A$9:$A$2008,A517))&lt;0.5,"Yes","No"))</f>
        <v/>
      </c>
      <c r="L517" s="10" t="str">
        <f aca="false">IF(A517="","",IF(IF(K517="No","Does not balance | ","")&amp;IF(I517="","Not approved | ",IF(UPPER(TRIM(H517))=UPPER(TRIM(I517)),"Self-approved | ",""))&amp;IF(J517="","No support | ","")&amp;IF(WEEKDAY(B517,2)&gt;5,"Weekend posting | ","")&amp;IF(COUNTIF(Settings!$A$14:$A$43,B517)&gt;0,"Holiday posting | ","")&amp;IF(B517&gt;Settings!$C$8,"Posted after close | ","")&amp;IF(OR(B517&lt;Settings!$C$6,B517&gt;Settings!$C$7),"Outside period | ","")&amp;IF(COUNTIF(Settings!$E$14:$E$43,C517&amp;"")&gt;0,"Sensitive account | ","")&amp;IF(AND(MAX(N(E517),N(F517))&gt;=Settings!$C$9,MOD(MAX(N(E517),N(F517)),Settings!$C$10)=0),"Round amount | ","")="","",LEFT(IF(K517="No","Does not balance | ","")&amp;IF(I517="","Not approved | ",IF(UPPER(TRIM(H517))=UPPER(TRIM(I517)),"Self-approved | ",""))&amp;IF(J517="","No support | ","")&amp;IF(WEEKDAY(B517,2)&gt;5,"Weekend posting | ","")&amp;IF(COUNTIF(Settings!$A$14:$A$43,B517)&gt;0,"Holiday posting | ","")&amp;IF(B517&gt;Settings!$C$8,"Posted after close | ","")&amp;IF(OR(B517&lt;Settings!$C$6,B517&gt;Settings!$C$7),"Outside period | ","")&amp;IF(COUNTIF(Settings!$E$14:$E$43,C517&amp;"")&gt;0,"Sensitive account | ","")&amp;IF(AND(MAX(N(E517),N(F517))&gt;=Settings!$C$9,MOD(MAX(N(E517),N(F517)),Settings!$C$10)=0),"Round amount | ",""),LEN(IF(K517="No","Does not balance | ","")&amp;IF(I517="","Not approved | ",IF(UPPER(TRIM(H517))=UPPER(TRIM(I517)),"Self-approved | ",""))&amp;IF(J517="","No support | ","")&amp;IF(WEEKDAY(B517,2)&gt;5,"Weekend posting | ","")&amp;IF(COUNTIF(Settings!$A$14:$A$43,B517)&gt;0,"Holiday posting | ","")&amp;IF(B517&gt;Settings!$C$8,"Posted after close | ","")&amp;IF(OR(B517&lt;Settings!$C$6,B517&gt;Settings!$C$7),"Outside period | ","")&amp;IF(COUNTIF(Settings!$E$14:$E$43,C517&amp;"")&gt;0,"Sensitive account | ","")&amp;IF(AND(MAX(N(E517),N(F517))&gt;=Settings!$C$9,MOD(MAX(N(E517),N(F517)),Settings!$C$10)=0),"Round amount | ",""))-3)))</f>
        <v/>
      </c>
      <c r="M517" s="21" t="str">
        <f aca="false">IF(A517="","",IF(COUNTIF($A$9:A517,A517)=1,MAX($M$8:M516)+1,""))</f>
        <v/>
      </c>
    </row>
    <row r="518" customFormat="false" ht="15" hidden="false" customHeight="false" outlineLevel="0" collapsed="false">
      <c r="A518" s="8"/>
      <c r="B518" s="17"/>
      <c r="C518" s="19"/>
      <c r="D518" s="8"/>
      <c r="E518" s="18"/>
      <c r="F518" s="18"/>
      <c r="G518" s="8"/>
      <c r="H518" s="8"/>
      <c r="I518" s="8"/>
      <c r="J518" s="8"/>
      <c r="K518" s="10" t="str">
        <f aca="false">IF(A518="","",IF(ABS(SUMIFS($E$9:$E$2008,$A$9:$A$2008,A518)-SUMIFS($F$9:$F$2008,$A$9:$A$2008,A518))&lt;0.5,"Yes","No"))</f>
        <v/>
      </c>
      <c r="L518" s="10" t="str">
        <f aca="false">IF(A518="","",IF(IF(K518="No","Does not balance | ","")&amp;IF(I518="","Not approved | ",IF(UPPER(TRIM(H518))=UPPER(TRIM(I518)),"Self-approved | ",""))&amp;IF(J518="","No support | ","")&amp;IF(WEEKDAY(B518,2)&gt;5,"Weekend posting | ","")&amp;IF(COUNTIF(Settings!$A$14:$A$43,B518)&gt;0,"Holiday posting | ","")&amp;IF(B518&gt;Settings!$C$8,"Posted after close | ","")&amp;IF(OR(B518&lt;Settings!$C$6,B518&gt;Settings!$C$7),"Outside period | ","")&amp;IF(COUNTIF(Settings!$E$14:$E$43,C518&amp;"")&gt;0,"Sensitive account | ","")&amp;IF(AND(MAX(N(E518),N(F518))&gt;=Settings!$C$9,MOD(MAX(N(E518),N(F518)),Settings!$C$10)=0),"Round amount | ","")="","",LEFT(IF(K518="No","Does not balance | ","")&amp;IF(I518="","Not approved | ",IF(UPPER(TRIM(H518))=UPPER(TRIM(I518)),"Self-approved | ",""))&amp;IF(J518="","No support | ","")&amp;IF(WEEKDAY(B518,2)&gt;5,"Weekend posting | ","")&amp;IF(COUNTIF(Settings!$A$14:$A$43,B518)&gt;0,"Holiday posting | ","")&amp;IF(B518&gt;Settings!$C$8,"Posted after close | ","")&amp;IF(OR(B518&lt;Settings!$C$6,B518&gt;Settings!$C$7),"Outside period | ","")&amp;IF(COUNTIF(Settings!$E$14:$E$43,C518&amp;"")&gt;0,"Sensitive account | ","")&amp;IF(AND(MAX(N(E518),N(F518))&gt;=Settings!$C$9,MOD(MAX(N(E518),N(F518)),Settings!$C$10)=0),"Round amount | ",""),LEN(IF(K518="No","Does not balance | ","")&amp;IF(I518="","Not approved | ",IF(UPPER(TRIM(H518))=UPPER(TRIM(I518)),"Self-approved | ",""))&amp;IF(J518="","No support | ","")&amp;IF(WEEKDAY(B518,2)&gt;5,"Weekend posting | ","")&amp;IF(COUNTIF(Settings!$A$14:$A$43,B518)&gt;0,"Holiday posting | ","")&amp;IF(B518&gt;Settings!$C$8,"Posted after close | ","")&amp;IF(OR(B518&lt;Settings!$C$6,B518&gt;Settings!$C$7),"Outside period | ","")&amp;IF(COUNTIF(Settings!$E$14:$E$43,C518&amp;"")&gt;0,"Sensitive account | ","")&amp;IF(AND(MAX(N(E518),N(F518))&gt;=Settings!$C$9,MOD(MAX(N(E518),N(F518)),Settings!$C$10)=0),"Round amount | ",""))-3)))</f>
        <v/>
      </c>
      <c r="M518" s="21" t="str">
        <f aca="false">IF(A518="","",IF(COUNTIF($A$9:A518,A518)=1,MAX($M$8:M517)+1,""))</f>
        <v/>
      </c>
    </row>
    <row r="519" customFormat="false" ht="15" hidden="false" customHeight="false" outlineLevel="0" collapsed="false">
      <c r="A519" s="8"/>
      <c r="B519" s="17"/>
      <c r="C519" s="19"/>
      <c r="D519" s="8"/>
      <c r="E519" s="18"/>
      <c r="F519" s="18"/>
      <c r="G519" s="8"/>
      <c r="H519" s="8"/>
      <c r="I519" s="8"/>
      <c r="J519" s="8"/>
      <c r="K519" s="10" t="str">
        <f aca="false">IF(A519="","",IF(ABS(SUMIFS($E$9:$E$2008,$A$9:$A$2008,A519)-SUMIFS($F$9:$F$2008,$A$9:$A$2008,A519))&lt;0.5,"Yes","No"))</f>
        <v/>
      </c>
      <c r="L519" s="10" t="str">
        <f aca="false">IF(A519="","",IF(IF(K519="No","Does not balance | ","")&amp;IF(I519="","Not approved | ",IF(UPPER(TRIM(H519))=UPPER(TRIM(I519)),"Self-approved | ",""))&amp;IF(J519="","No support | ","")&amp;IF(WEEKDAY(B519,2)&gt;5,"Weekend posting | ","")&amp;IF(COUNTIF(Settings!$A$14:$A$43,B519)&gt;0,"Holiday posting | ","")&amp;IF(B519&gt;Settings!$C$8,"Posted after close | ","")&amp;IF(OR(B519&lt;Settings!$C$6,B519&gt;Settings!$C$7),"Outside period | ","")&amp;IF(COUNTIF(Settings!$E$14:$E$43,C519&amp;"")&gt;0,"Sensitive account | ","")&amp;IF(AND(MAX(N(E519),N(F519))&gt;=Settings!$C$9,MOD(MAX(N(E519),N(F519)),Settings!$C$10)=0),"Round amount | ","")="","",LEFT(IF(K519="No","Does not balance | ","")&amp;IF(I519="","Not approved | ",IF(UPPER(TRIM(H519))=UPPER(TRIM(I519)),"Self-approved | ",""))&amp;IF(J519="","No support | ","")&amp;IF(WEEKDAY(B519,2)&gt;5,"Weekend posting | ","")&amp;IF(COUNTIF(Settings!$A$14:$A$43,B519)&gt;0,"Holiday posting | ","")&amp;IF(B519&gt;Settings!$C$8,"Posted after close | ","")&amp;IF(OR(B519&lt;Settings!$C$6,B519&gt;Settings!$C$7),"Outside period | ","")&amp;IF(COUNTIF(Settings!$E$14:$E$43,C519&amp;"")&gt;0,"Sensitive account | ","")&amp;IF(AND(MAX(N(E519),N(F519))&gt;=Settings!$C$9,MOD(MAX(N(E519),N(F519)),Settings!$C$10)=0),"Round amount | ",""),LEN(IF(K519="No","Does not balance | ","")&amp;IF(I519="","Not approved | ",IF(UPPER(TRIM(H519))=UPPER(TRIM(I519)),"Self-approved | ",""))&amp;IF(J519="","No support | ","")&amp;IF(WEEKDAY(B519,2)&gt;5,"Weekend posting | ","")&amp;IF(COUNTIF(Settings!$A$14:$A$43,B519)&gt;0,"Holiday posting | ","")&amp;IF(B519&gt;Settings!$C$8,"Posted after close | ","")&amp;IF(OR(B519&lt;Settings!$C$6,B519&gt;Settings!$C$7),"Outside period | ","")&amp;IF(COUNTIF(Settings!$E$14:$E$43,C519&amp;"")&gt;0,"Sensitive account | ","")&amp;IF(AND(MAX(N(E519),N(F519))&gt;=Settings!$C$9,MOD(MAX(N(E519),N(F519)),Settings!$C$10)=0),"Round amount | ",""))-3)))</f>
        <v/>
      </c>
      <c r="M519" s="21" t="str">
        <f aca="false">IF(A519="","",IF(COUNTIF($A$9:A519,A519)=1,MAX($M$8:M518)+1,""))</f>
        <v/>
      </c>
    </row>
    <row r="520" customFormat="false" ht="15" hidden="false" customHeight="false" outlineLevel="0" collapsed="false">
      <c r="A520" s="8"/>
      <c r="B520" s="17"/>
      <c r="C520" s="19"/>
      <c r="D520" s="8"/>
      <c r="E520" s="18"/>
      <c r="F520" s="18"/>
      <c r="G520" s="8"/>
      <c r="H520" s="8"/>
      <c r="I520" s="8"/>
      <c r="J520" s="8"/>
      <c r="K520" s="10" t="str">
        <f aca="false">IF(A520="","",IF(ABS(SUMIFS($E$9:$E$2008,$A$9:$A$2008,A520)-SUMIFS($F$9:$F$2008,$A$9:$A$2008,A520))&lt;0.5,"Yes","No"))</f>
        <v/>
      </c>
      <c r="L520" s="10" t="str">
        <f aca="false">IF(A520="","",IF(IF(K520="No","Does not balance | ","")&amp;IF(I520="","Not approved | ",IF(UPPER(TRIM(H520))=UPPER(TRIM(I520)),"Self-approved | ",""))&amp;IF(J520="","No support | ","")&amp;IF(WEEKDAY(B520,2)&gt;5,"Weekend posting | ","")&amp;IF(COUNTIF(Settings!$A$14:$A$43,B520)&gt;0,"Holiday posting | ","")&amp;IF(B520&gt;Settings!$C$8,"Posted after close | ","")&amp;IF(OR(B520&lt;Settings!$C$6,B520&gt;Settings!$C$7),"Outside period | ","")&amp;IF(COUNTIF(Settings!$E$14:$E$43,C520&amp;"")&gt;0,"Sensitive account | ","")&amp;IF(AND(MAX(N(E520),N(F520))&gt;=Settings!$C$9,MOD(MAX(N(E520),N(F520)),Settings!$C$10)=0),"Round amount | ","")="","",LEFT(IF(K520="No","Does not balance | ","")&amp;IF(I520="","Not approved | ",IF(UPPER(TRIM(H520))=UPPER(TRIM(I520)),"Self-approved | ",""))&amp;IF(J520="","No support | ","")&amp;IF(WEEKDAY(B520,2)&gt;5,"Weekend posting | ","")&amp;IF(COUNTIF(Settings!$A$14:$A$43,B520)&gt;0,"Holiday posting | ","")&amp;IF(B520&gt;Settings!$C$8,"Posted after close | ","")&amp;IF(OR(B520&lt;Settings!$C$6,B520&gt;Settings!$C$7),"Outside period | ","")&amp;IF(COUNTIF(Settings!$E$14:$E$43,C520&amp;"")&gt;0,"Sensitive account | ","")&amp;IF(AND(MAX(N(E520),N(F520))&gt;=Settings!$C$9,MOD(MAX(N(E520),N(F520)),Settings!$C$10)=0),"Round amount | ",""),LEN(IF(K520="No","Does not balance | ","")&amp;IF(I520="","Not approved | ",IF(UPPER(TRIM(H520))=UPPER(TRIM(I520)),"Self-approved | ",""))&amp;IF(J520="","No support | ","")&amp;IF(WEEKDAY(B520,2)&gt;5,"Weekend posting | ","")&amp;IF(COUNTIF(Settings!$A$14:$A$43,B520)&gt;0,"Holiday posting | ","")&amp;IF(B520&gt;Settings!$C$8,"Posted after close | ","")&amp;IF(OR(B520&lt;Settings!$C$6,B520&gt;Settings!$C$7),"Outside period | ","")&amp;IF(COUNTIF(Settings!$E$14:$E$43,C520&amp;"")&gt;0,"Sensitive account | ","")&amp;IF(AND(MAX(N(E520),N(F520))&gt;=Settings!$C$9,MOD(MAX(N(E520),N(F520)),Settings!$C$10)=0),"Round amount | ",""))-3)))</f>
        <v/>
      </c>
      <c r="M520" s="21" t="str">
        <f aca="false">IF(A520="","",IF(COUNTIF($A$9:A520,A520)=1,MAX($M$8:M519)+1,""))</f>
        <v/>
      </c>
    </row>
    <row r="521" customFormat="false" ht="15" hidden="false" customHeight="false" outlineLevel="0" collapsed="false">
      <c r="A521" s="8"/>
      <c r="B521" s="17"/>
      <c r="C521" s="19"/>
      <c r="D521" s="8"/>
      <c r="E521" s="18"/>
      <c r="F521" s="18"/>
      <c r="G521" s="8"/>
      <c r="H521" s="8"/>
      <c r="I521" s="8"/>
      <c r="J521" s="8"/>
      <c r="K521" s="10" t="str">
        <f aca="false">IF(A521="","",IF(ABS(SUMIFS($E$9:$E$2008,$A$9:$A$2008,A521)-SUMIFS($F$9:$F$2008,$A$9:$A$2008,A521))&lt;0.5,"Yes","No"))</f>
        <v/>
      </c>
      <c r="L521" s="10" t="str">
        <f aca="false">IF(A521="","",IF(IF(K521="No","Does not balance | ","")&amp;IF(I521="","Not approved | ",IF(UPPER(TRIM(H521))=UPPER(TRIM(I521)),"Self-approved | ",""))&amp;IF(J521="","No support | ","")&amp;IF(WEEKDAY(B521,2)&gt;5,"Weekend posting | ","")&amp;IF(COUNTIF(Settings!$A$14:$A$43,B521)&gt;0,"Holiday posting | ","")&amp;IF(B521&gt;Settings!$C$8,"Posted after close | ","")&amp;IF(OR(B521&lt;Settings!$C$6,B521&gt;Settings!$C$7),"Outside period | ","")&amp;IF(COUNTIF(Settings!$E$14:$E$43,C521&amp;"")&gt;0,"Sensitive account | ","")&amp;IF(AND(MAX(N(E521),N(F521))&gt;=Settings!$C$9,MOD(MAX(N(E521),N(F521)),Settings!$C$10)=0),"Round amount | ","")="","",LEFT(IF(K521="No","Does not balance | ","")&amp;IF(I521="","Not approved | ",IF(UPPER(TRIM(H521))=UPPER(TRIM(I521)),"Self-approved | ",""))&amp;IF(J521="","No support | ","")&amp;IF(WEEKDAY(B521,2)&gt;5,"Weekend posting | ","")&amp;IF(COUNTIF(Settings!$A$14:$A$43,B521)&gt;0,"Holiday posting | ","")&amp;IF(B521&gt;Settings!$C$8,"Posted after close | ","")&amp;IF(OR(B521&lt;Settings!$C$6,B521&gt;Settings!$C$7),"Outside period | ","")&amp;IF(COUNTIF(Settings!$E$14:$E$43,C521&amp;"")&gt;0,"Sensitive account | ","")&amp;IF(AND(MAX(N(E521),N(F521))&gt;=Settings!$C$9,MOD(MAX(N(E521),N(F521)),Settings!$C$10)=0),"Round amount | ",""),LEN(IF(K521="No","Does not balance | ","")&amp;IF(I521="","Not approved | ",IF(UPPER(TRIM(H521))=UPPER(TRIM(I521)),"Self-approved | ",""))&amp;IF(J521="","No support | ","")&amp;IF(WEEKDAY(B521,2)&gt;5,"Weekend posting | ","")&amp;IF(COUNTIF(Settings!$A$14:$A$43,B521)&gt;0,"Holiday posting | ","")&amp;IF(B521&gt;Settings!$C$8,"Posted after close | ","")&amp;IF(OR(B521&lt;Settings!$C$6,B521&gt;Settings!$C$7),"Outside period | ","")&amp;IF(COUNTIF(Settings!$E$14:$E$43,C521&amp;"")&gt;0,"Sensitive account | ","")&amp;IF(AND(MAX(N(E521),N(F521))&gt;=Settings!$C$9,MOD(MAX(N(E521),N(F521)),Settings!$C$10)=0),"Round amount | ",""))-3)))</f>
        <v/>
      </c>
      <c r="M521" s="21" t="str">
        <f aca="false">IF(A521="","",IF(COUNTIF($A$9:A521,A521)=1,MAX($M$8:M520)+1,""))</f>
        <v/>
      </c>
    </row>
    <row r="522" customFormat="false" ht="15" hidden="false" customHeight="false" outlineLevel="0" collapsed="false">
      <c r="A522" s="8"/>
      <c r="B522" s="17"/>
      <c r="C522" s="19"/>
      <c r="D522" s="8"/>
      <c r="E522" s="18"/>
      <c r="F522" s="18"/>
      <c r="G522" s="8"/>
      <c r="H522" s="8"/>
      <c r="I522" s="8"/>
      <c r="J522" s="8"/>
      <c r="K522" s="10" t="str">
        <f aca="false">IF(A522="","",IF(ABS(SUMIFS($E$9:$E$2008,$A$9:$A$2008,A522)-SUMIFS($F$9:$F$2008,$A$9:$A$2008,A522))&lt;0.5,"Yes","No"))</f>
        <v/>
      </c>
      <c r="L522" s="10" t="str">
        <f aca="false">IF(A522="","",IF(IF(K522="No","Does not balance | ","")&amp;IF(I522="","Not approved | ",IF(UPPER(TRIM(H522))=UPPER(TRIM(I522)),"Self-approved | ",""))&amp;IF(J522="","No support | ","")&amp;IF(WEEKDAY(B522,2)&gt;5,"Weekend posting | ","")&amp;IF(COUNTIF(Settings!$A$14:$A$43,B522)&gt;0,"Holiday posting | ","")&amp;IF(B522&gt;Settings!$C$8,"Posted after close | ","")&amp;IF(OR(B522&lt;Settings!$C$6,B522&gt;Settings!$C$7),"Outside period | ","")&amp;IF(COUNTIF(Settings!$E$14:$E$43,C522&amp;"")&gt;0,"Sensitive account | ","")&amp;IF(AND(MAX(N(E522),N(F522))&gt;=Settings!$C$9,MOD(MAX(N(E522),N(F522)),Settings!$C$10)=0),"Round amount | ","")="","",LEFT(IF(K522="No","Does not balance | ","")&amp;IF(I522="","Not approved | ",IF(UPPER(TRIM(H522))=UPPER(TRIM(I522)),"Self-approved | ",""))&amp;IF(J522="","No support | ","")&amp;IF(WEEKDAY(B522,2)&gt;5,"Weekend posting | ","")&amp;IF(COUNTIF(Settings!$A$14:$A$43,B522)&gt;0,"Holiday posting | ","")&amp;IF(B522&gt;Settings!$C$8,"Posted after close | ","")&amp;IF(OR(B522&lt;Settings!$C$6,B522&gt;Settings!$C$7),"Outside period | ","")&amp;IF(COUNTIF(Settings!$E$14:$E$43,C522&amp;"")&gt;0,"Sensitive account | ","")&amp;IF(AND(MAX(N(E522),N(F522))&gt;=Settings!$C$9,MOD(MAX(N(E522),N(F522)),Settings!$C$10)=0),"Round amount | ",""),LEN(IF(K522="No","Does not balance | ","")&amp;IF(I522="","Not approved | ",IF(UPPER(TRIM(H522))=UPPER(TRIM(I522)),"Self-approved | ",""))&amp;IF(J522="","No support | ","")&amp;IF(WEEKDAY(B522,2)&gt;5,"Weekend posting | ","")&amp;IF(COUNTIF(Settings!$A$14:$A$43,B522)&gt;0,"Holiday posting | ","")&amp;IF(B522&gt;Settings!$C$8,"Posted after close | ","")&amp;IF(OR(B522&lt;Settings!$C$6,B522&gt;Settings!$C$7),"Outside period | ","")&amp;IF(COUNTIF(Settings!$E$14:$E$43,C522&amp;"")&gt;0,"Sensitive account | ","")&amp;IF(AND(MAX(N(E522),N(F522))&gt;=Settings!$C$9,MOD(MAX(N(E522),N(F522)),Settings!$C$10)=0),"Round amount | ",""))-3)))</f>
        <v/>
      </c>
      <c r="M522" s="21" t="str">
        <f aca="false">IF(A522="","",IF(COUNTIF($A$9:A522,A522)=1,MAX($M$8:M521)+1,""))</f>
        <v/>
      </c>
    </row>
    <row r="523" customFormat="false" ht="15" hidden="false" customHeight="false" outlineLevel="0" collapsed="false">
      <c r="A523" s="8"/>
      <c r="B523" s="17"/>
      <c r="C523" s="19"/>
      <c r="D523" s="8"/>
      <c r="E523" s="18"/>
      <c r="F523" s="18"/>
      <c r="G523" s="8"/>
      <c r="H523" s="8"/>
      <c r="I523" s="8"/>
      <c r="J523" s="8"/>
      <c r="K523" s="10" t="str">
        <f aca="false">IF(A523="","",IF(ABS(SUMIFS($E$9:$E$2008,$A$9:$A$2008,A523)-SUMIFS($F$9:$F$2008,$A$9:$A$2008,A523))&lt;0.5,"Yes","No"))</f>
        <v/>
      </c>
      <c r="L523" s="10" t="str">
        <f aca="false">IF(A523="","",IF(IF(K523="No","Does not balance | ","")&amp;IF(I523="","Not approved | ",IF(UPPER(TRIM(H523))=UPPER(TRIM(I523)),"Self-approved | ",""))&amp;IF(J523="","No support | ","")&amp;IF(WEEKDAY(B523,2)&gt;5,"Weekend posting | ","")&amp;IF(COUNTIF(Settings!$A$14:$A$43,B523)&gt;0,"Holiday posting | ","")&amp;IF(B523&gt;Settings!$C$8,"Posted after close | ","")&amp;IF(OR(B523&lt;Settings!$C$6,B523&gt;Settings!$C$7),"Outside period | ","")&amp;IF(COUNTIF(Settings!$E$14:$E$43,C523&amp;"")&gt;0,"Sensitive account | ","")&amp;IF(AND(MAX(N(E523),N(F523))&gt;=Settings!$C$9,MOD(MAX(N(E523),N(F523)),Settings!$C$10)=0),"Round amount | ","")="","",LEFT(IF(K523="No","Does not balance | ","")&amp;IF(I523="","Not approved | ",IF(UPPER(TRIM(H523))=UPPER(TRIM(I523)),"Self-approved | ",""))&amp;IF(J523="","No support | ","")&amp;IF(WEEKDAY(B523,2)&gt;5,"Weekend posting | ","")&amp;IF(COUNTIF(Settings!$A$14:$A$43,B523)&gt;0,"Holiday posting | ","")&amp;IF(B523&gt;Settings!$C$8,"Posted after close | ","")&amp;IF(OR(B523&lt;Settings!$C$6,B523&gt;Settings!$C$7),"Outside period | ","")&amp;IF(COUNTIF(Settings!$E$14:$E$43,C523&amp;"")&gt;0,"Sensitive account | ","")&amp;IF(AND(MAX(N(E523),N(F523))&gt;=Settings!$C$9,MOD(MAX(N(E523),N(F523)),Settings!$C$10)=0),"Round amount | ",""),LEN(IF(K523="No","Does not balance | ","")&amp;IF(I523="","Not approved | ",IF(UPPER(TRIM(H523))=UPPER(TRIM(I523)),"Self-approved | ",""))&amp;IF(J523="","No support | ","")&amp;IF(WEEKDAY(B523,2)&gt;5,"Weekend posting | ","")&amp;IF(COUNTIF(Settings!$A$14:$A$43,B523)&gt;0,"Holiday posting | ","")&amp;IF(B523&gt;Settings!$C$8,"Posted after close | ","")&amp;IF(OR(B523&lt;Settings!$C$6,B523&gt;Settings!$C$7),"Outside period | ","")&amp;IF(COUNTIF(Settings!$E$14:$E$43,C523&amp;"")&gt;0,"Sensitive account | ","")&amp;IF(AND(MAX(N(E523),N(F523))&gt;=Settings!$C$9,MOD(MAX(N(E523),N(F523)),Settings!$C$10)=0),"Round amount | ",""))-3)))</f>
        <v/>
      </c>
      <c r="M523" s="21" t="str">
        <f aca="false">IF(A523="","",IF(COUNTIF($A$9:A523,A523)=1,MAX($M$8:M522)+1,""))</f>
        <v/>
      </c>
    </row>
    <row r="524" customFormat="false" ht="15" hidden="false" customHeight="false" outlineLevel="0" collapsed="false">
      <c r="A524" s="8"/>
      <c r="B524" s="17"/>
      <c r="C524" s="19"/>
      <c r="D524" s="8"/>
      <c r="E524" s="18"/>
      <c r="F524" s="18"/>
      <c r="G524" s="8"/>
      <c r="H524" s="8"/>
      <c r="I524" s="8"/>
      <c r="J524" s="8"/>
      <c r="K524" s="10" t="str">
        <f aca="false">IF(A524="","",IF(ABS(SUMIFS($E$9:$E$2008,$A$9:$A$2008,A524)-SUMIFS($F$9:$F$2008,$A$9:$A$2008,A524))&lt;0.5,"Yes","No"))</f>
        <v/>
      </c>
      <c r="L524" s="10" t="str">
        <f aca="false">IF(A524="","",IF(IF(K524="No","Does not balance | ","")&amp;IF(I524="","Not approved | ",IF(UPPER(TRIM(H524))=UPPER(TRIM(I524)),"Self-approved | ",""))&amp;IF(J524="","No support | ","")&amp;IF(WEEKDAY(B524,2)&gt;5,"Weekend posting | ","")&amp;IF(COUNTIF(Settings!$A$14:$A$43,B524)&gt;0,"Holiday posting | ","")&amp;IF(B524&gt;Settings!$C$8,"Posted after close | ","")&amp;IF(OR(B524&lt;Settings!$C$6,B524&gt;Settings!$C$7),"Outside period | ","")&amp;IF(COUNTIF(Settings!$E$14:$E$43,C524&amp;"")&gt;0,"Sensitive account | ","")&amp;IF(AND(MAX(N(E524),N(F524))&gt;=Settings!$C$9,MOD(MAX(N(E524),N(F524)),Settings!$C$10)=0),"Round amount | ","")="","",LEFT(IF(K524="No","Does not balance | ","")&amp;IF(I524="","Not approved | ",IF(UPPER(TRIM(H524))=UPPER(TRIM(I524)),"Self-approved | ",""))&amp;IF(J524="","No support | ","")&amp;IF(WEEKDAY(B524,2)&gt;5,"Weekend posting | ","")&amp;IF(COUNTIF(Settings!$A$14:$A$43,B524)&gt;0,"Holiday posting | ","")&amp;IF(B524&gt;Settings!$C$8,"Posted after close | ","")&amp;IF(OR(B524&lt;Settings!$C$6,B524&gt;Settings!$C$7),"Outside period | ","")&amp;IF(COUNTIF(Settings!$E$14:$E$43,C524&amp;"")&gt;0,"Sensitive account | ","")&amp;IF(AND(MAX(N(E524),N(F524))&gt;=Settings!$C$9,MOD(MAX(N(E524),N(F524)),Settings!$C$10)=0),"Round amount | ",""),LEN(IF(K524="No","Does not balance | ","")&amp;IF(I524="","Not approved | ",IF(UPPER(TRIM(H524))=UPPER(TRIM(I524)),"Self-approved | ",""))&amp;IF(J524="","No support | ","")&amp;IF(WEEKDAY(B524,2)&gt;5,"Weekend posting | ","")&amp;IF(COUNTIF(Settings!$A$14:$A$43,B524)&gt;0,"Holiday posting | ","")&amp;IF(B524&gt;Settings!$C$8,"Posted after close | ","")&amp;IF(OR(B524&lt;Settings!$C$6,B524&gt;Settings!$C$7),"Outside period | ","")&amp;IF(COUNTIF(Settings!$E$14:$E$43,C524&amp;"")&gt;0,"Sensitive account | ","")&amp;IF(AND(MAX(N(E524),N(F524))&gt;=Settings!$C$9,MOD(MAX(N(E524),N(F524)),Settings!$C$10)=0),"Round amount | ",""))-3)))</f>
        <v/>
      </c>
      <c r="M524" s="21" t="str">
        <f aca="false">IF(A524="","",IF(COUNTIF($A$9:A524,A524)=1,MAX($M$8:M523)+1,""))</f>
        <v/>
      </c>
    </row>
    <row r="525" customFormat="false" ht="15" hidden="false" customHeight="false" outlineLevel="0" collapsed="false">
      <c r="A525" s="8"/>
      <c r="B525" s="17"/>
      <c r="C525" s="19"/>
      <c r="D525" s="8"/>
      <c r="E525" s="18"/>
      <c r="F525" s="18"/>
      <c r="G525" s="8"/>
      <c r="H525" s="8"/>
      <c r="I525" s="8"/>
      <c r="J525" s="8"/>
      <c r="K525" s="10" t="str">
        <f aca="false">IF(A525="","",IF(ABS(SUMIFS($E$9:$E$2008,$A$9:$A$2008,A525)-SUMIFS($F$9:$F$2008,$A$9:$A$2008,A525))&lt;0.5,"Yes","No"))</f>
        <v/>
      </c>
      <c r="L525" s="10" t="str">
        <f aca="false">IF(A525="","",IF(IF(K525="No","Does not balance | ","")&amp;IF(I525="","Not approved | ",IF(UPPER(TRIM(H525))=UPPER(TRIM(I525)),"Self-approved | ",""))&amp;IF(J525="","No support | ","")&amp;IF(WEEKDAY(B525,2)&gt;5,"Weekend posting | ","")&amp;IF(COUNTIF(Settings!$A$14:$A$43,B525)&gt;0,"Holiday posting | ","")&amp;IF(B525&gt;Settings!$C$8,"Posted after close | ","")&amp;IF(OR(B525&lt;Settings!$C$6,B525&gt;Settings!$C$7),"Outside period | ","")&amp;IF(COUNTIF(Settings!$E$14:$E$43,C525&amp;"")&gt;0,"Sensitive account | ","")&amp;IF(AND(MAX(N(E525),N(F525))&gt;=Settings!$C$9,MOD(MAX(N(E525),N(F525)),Settings!$C$10)=0),"Round amount | ","")="","",LEFT(IF(K525="No","Does not balance | ","")&amp;IF(I525="","Not approved | ",IF(UPPER(TRIM(H525))=UPPER(TRIM(I525)),"Self-approved | ",""))&amp;IF(J525="","No support | ","")&amp;IF(WEEKDAY(B525,2)&gt;5,"Weekend posting | ","")&amp;IF(COUNTIF(Settings!$A$14:$A$43,B525)&gt;0,"Holiday posting | ","")&amp;IF(B525&gt;Settings!$C$8,"Posted after close | ","")&amp;IF(OR(B525&lt;Settings!$C$6,B525&gt;Settings!$C$7),"Outside period | ","")&amp;IF(COUNTIF(Settings!$E$14:$E$43,C525&amp;"")&gt;0,"Sensitive account | ","")&amp;IF(AND(MAX(N(E525),N(F525))&gt;=Settings!$C$9,MOD(MAX(N(E525),N(F525)),Settings!$C$10)=0),"Round amount | ",""),LEN(IF(K525="No","Does not balance | ","")&amp;IF(I525="","Not approved | ",IF(UPPER(TRIM(H525))=UPPER(TRIM(I525)),"Self-approved | ",""))&amp;IF(J525="","No support | ","")&amp;IF(WEEKDAY(B525,2)&gt;5,"Weekend posting | ","")&amp;IF(COUNTIF(Settings!$A$14:$A$43,B525)&gt;0,"Holiday posting | ","")&amp;IF(B525&gt;Settings!$C$8,"Posted after close | ","")&amp;IF(OR(B525&lt;Settings!$C$6,B525&gt;Settings!$C$7),"Outside period | ","")&amp;IF(COUNTIF(Settings!$E$14:$E$43,C525&amp;"")&gt;0,"Sensitive account | ","")&amp;IF(AND(MAX(N(E525),N(F525))&gt;=Settings!$C$9,MOD(MAX(N(E525),N(F525)),Settings!$C$10)=0),"Round amount | ",""))-3)))</f>
        <v/>
      </c>
      <c r="M525" s="21" t="str">
        <f aca="false">IF(A525="","",IF(COUNTIF($A$9:A525,A525)=1,MAX($M$8:M524)+1,""))</f>
        <v/>
      </c>
    </row>
    <row r="526" customFormat="false" ht="15" hidden="false" customHeight="false" outlineLevel="0" collapsed="false">
      <c r="A526" s="8"/>
      <c r="B526" s="17"/>
      <c r="C526" s="19"/>
      <c r="D526" s="8"/>
      <c r="E526" s="18"/>
      <c r="F526" s="18"/>
      <c r="G526" s="8"/>
      <c r="H526" s="8"/>
      <c r="I526" s="8"/>
      <c r="J526" s="8"/>
      <c r="K526" s="10" t="str">
        <f aca="false">IF(A526="","",IF(ABS(SUMIFS($E$9:$E$2008,$A$9:$A$2008,A526)-SUMIFS($F$9:$F$2008,$A$9:$A$2008,A526))&lt;0.5,"Yes","No"))</f>
        <v/>
      </c>
      <c r="L526" s="10" t="str">
        <f aca="false">IF(A526="","",IF(IF(K526="No","Does not balance | ","")&amp;IF(I526="","Not approved | ",IF(UPPER(TRIM(H526))=UPPER(TRIM(I526)),"Self-approved | ",""))&amp;IF(J526="","No support | ","")&amp;IF(WEEKDAY(B526,2)&gt;5,"Weekend posting | ","")&amp;IF(COUNTIF(Settings!$A$14:$A$43,B526)&gt;0,"Holiday posting | ","")&amp;IF(B526&gt;Settings!$C$8,"Posted after close | ","")&amp;IF(OR(B526&lt;Settings!$C$6,B526&gt;Settings!$C$7),"Outside period | ","")&amp;IF(COUNTIF(Settings!$E$14:$E$43,C526&amp;"")&gt;0,"Sensitive account | ","")&amp;IF(AND(MAX(N(E526),N(F526))&gt;=Settings!$C$9,MOD(MAX(N(E526),N(F526)),Settings!$C$10)=0),"Round amount | ","")="","",LEFT(IF(K526="No","Does not balance | ","")&amp;IF(I526="","Not approved | ",IF(UPPER(TRIM(H526))=UPPER(TRIM(I526)),"Self-approved | ",""))&amp;IF(J526="","No support | ","")&amp;IF(WEEKDAY(B526,2)&gt;5,"Weekend posting | ","")&amp;IF(COUNTIF(Settings!$A$14:$A$43,B526)&gt;0,"Holiday posting | ","")&amp;IF(B526&gt;Settings!$C$8,"Posted after close | ","")&amp;IF(OR(B526&lt;Settings!$C$6,B526&gt;Settings!$C$7),"Outside period | ","")&amp;IF(COUNTIF(Settings!$E$14:$E$43,C526&amp;"")&gt;0,"Sensitive account | ","")&amp;IF(AND(MAX(N(E526),N(F526))&gt;=Settings!$C$9,MOD(MAX(N(E526),N(F526)),Settings!$C$10)=0),"Round amount | ",""),LEN(IF(K526="No","Does not balance | ","")&amp;IF(I526="","Not approved | ",IF(UPPER(TRIM(H526))=UPPER(TRIM(I526)),"Self-approved | ",""))&amp;IF(J526="","No support | ","")&amp;IF(WEEKDAY(B526,2)&gt;5,"Weekend posting | ","")&amp;IF(COUNTIF(Settings!$A$14:$A$43,B526)&gt;0,"Holiday posting | ","")&amp;IF(B526&gt;Settings!$C$8,"Posted after close | ","")&amp;IF(OR(B526&lt;Settings!$C$6,B526&gt;Settings!$C$7),"Outside period | ","")&amp;IF(COUNTIF(Settings!$E$14:$E$43,C526&amp;"")&gt;0,"Sensitive account | ","")&amp;IF(AND(MAX(N(E526),N(F526))&gt;=Settings!$C$9,MOD(MAX(N(E526),N(F526)),Settings!$C$10)=0),"Round amount | ",""))-3)))</f>
        <v/>
      </c>
      <c r="M526" s="21" t="str">
        <f aca="false">IF(A526="","",IF(COUNTIF($A$9:A526,A526)=1,MAX($M$8:M525)+1,""))</f>
        <v/>
      </c>
    </row>
    <row r="527" customFormat="false" ht="15" hidden="false" customHeight="false" outlineLevel="0" collapsed="false">
      <c r="A527" s="8"/>
      <c r="B527" s="17"/>
      <c r="C527" s="19"/>
      <c r="D527" s="8"/>
      <c r="E527" s="18"/>
      <c r="F527" s="18"/>
      <c r="G527" s="8"/>
      <c r="H527" s="8"/>
      <c r="I527" s="8"/>
      <c r="J527" s="8"/>
      <c r="K527" s="10" t="str">
        <f aca="false">IF(A527="","",IF(ABS(SUMIFS($E$9:$E$2008,$A$9:$A$2008,A527)-SUMIFS($F$9:$F$2008,$A$9:$A$2008,A527))&lt;0.5,"Yes","No"))</f>
        <v/>
      </c>
      <c r="L527" s="10" t="str">
        <f aca="false">IF(A527="","",IF(IF(K527="No","Does not balance | ","")&amp;IF(I527="","Not approved | ",IF(UPPER(TRIM(H527))=UPPER(TRIM(I527)),"Self-approved | ",""))&amp;IF(J527="","No support | ","")&amp;IF(WEEKDAY(B527,2)&gt;5,"Weekend posting | ","")&amp;IF(COUNTIF(Settings!$A$14:$A$43,B527)&gt;0,"Holiday posting | ","")&amp;IF(B527&gt;Settings!$C$8,"Posted after close | ","")&amp;IF(OR(B527&lt;Settings!$C$6,B527&gt;Settings!$C$7),"Outside period | ","")&amp;IF(COUNTIF(Settings!$E$14:$E$43,C527&amp;"")&gt;0,"Sensitive account | ","")&amp;IF(AND(MAX(N(E527),N(F527))&gt;=Settings!$C$9,MOD(MAX(N(E527),N(F527)),Settings!$C$10)=0),"Round amount | ","")="","",LEFT(IF(K527="No","Does not balance | ","")&amp;IF(I527="","Not approved | ",IF(UPPER(TRIM(H527))=UPPER(TRIM(I527)),"Self-approved | ",""))&amp;IF(J527="","No support | ","")&amp;IF(WEEKDAY(B527,2)&gt;5,"Weekend posting | ","")&amp;IF(COUNTIF(Settings!$A$14:$A$43,B527)&gt;0,"Holiday posting | ","")&amp;IF(B527&gt;Settings!$C$8,"Posted after close | ","")&amp;IF(OR(B527&lt;Settings!$C$6,B527&gt;Settings!$C$7),"Outside period | ","")&amp;IF(COUNTIF(Settings!$E$14:$E$43,C527&amp;"")&gt;0,"Sensitive account | ","")&amp;IF(AND(MAX(N(E527),N(F527))&gt;=Settings!$C$9,MOD(MAX(N(E527),N(F527)),Settings!$C$10)=0),"Round amount | ",""),LEN(IF(K527="No","Does not balance | ","")&amp;IF(I527="","Not approved | ",IF(UPPER(TRIM(H527))=UPPER(TRIM(I527)),"Self-approved | ",""))&amp;IF(J527="","No support | ","")&amp;IF(WEEKDAY(B527,2)&gt;5,"Weekend posting | ","")&amp;IF(COUNTIF(Settings!$A$14:$A$43,B527)&gt;0,"Holiday posting | ","")&amp;IF(B527&gt;Settings!$C$8,"Posted after close | ","")&amp;IF(OR(B527&lt;Settings!$C$6,B527&gt;Settings!$C$7),"Outside period | ","")&amp;IF(COUNTIF(Settings!$E$14:$E$43,C527&amp;"")&gt;0,"Sensitive account | ","")&amp;IF(AND(MAX(N(E527),N(F527))&gt;=Settings!$C$9,MOD(MAX(N(E527),N(F527)),Settings!$C$10)=0),"Round amount | ",""))-3)))</f>
        <v/>
      </c>
      <c r="M527" s="21" t="str">
        <f aca="false">IF(A527="","",IF(COUNTIF($A$9:A527,A527)=1,MAX($M$8:M526)+1,""))</f>
        <v/>
      </c>
    </row>
    <row r="528" customFormat="false" ht="15" hidden="false" customHeight="false" outlineLevel="0" collapsed="false">
      <c r="A528" s="8"/>
      <c r="B528" s="17"/>
      <c r="C528" s="19"/>
      <c r="D528" s="8"/>
      <c r="E528" s="18"/>
      <c r="F528" s="18"/>
      <c r="G528" s="8"/>
      <c r="H528" s="8"/>
      <c r="I528" s="8"/>
      <c r="J528" s="8"/>
      <c r="K528" s="10" t="str">
        <f aca="false">IF(A528="","",IF(ABS(SUMIFS($E$9:$E$2008,$A$9:$A$2008,A528)-SUMIFS($F$9:$F$2008,$A$9:$A$2008,A528))&lt;0.5,"Yes","No"))</f>
        <v/>
      </c>
      <c r="L528" s="10" t="str">
        <f aca="false">IF(A528="","",IF(IF(K528="No","Does not balance | ","")&amp;IF(I528="","Not approved | ",IF(UPPER(TRIM(H528))=UPPER(TRIM(I528)),"Self-approved | ",""))&amp;IF(J528="","No support | ","")&amp;IF(WEEKDAY(B528,2)&gt;5,"Weekend posting | ","")&amp;IF(COUNTIF(Settings!$A$14:$A$43,B528)&gt;0,"Holiday posting | ","")&amp;IF(B528&gt;Settings!$C$8,"Posted after close | ","")&amp;IF(OR(B528&lt;Settings!$C$6,B528&gt;Settings!$C$7),"Outside period | ","")&amp;IF(COUNTIF(Settings!$E$14:$E$43,C528&amp;"")&gt;0,"Sensitive account | ","")&amp;IF(AND(MAX(N(E528),N(F528))&gt;=Settings!$C$9,MOD(MAX(N(E528),N(F528)),Settings!$C$10)=0),"Round amount | ","")="","",LEFT(IF(K528="No","Does not balance | ","")&amp;IF(I528="","Not approved | ",IF(UPPER(TRIM(H528))=UPPER(TRIM(I528)),"Self-approved | ",""))&amp;IF(J528="","No support | ","")&amp;IF(WEEKDAY(B528,2)&gt;5,"Weekend posting | ","")&amp;IF(COUNTIF(Settings!$A$14:$A$43,B528)&gt;0,"Holiday posting | ","")&amp;IF(B528&gt;Settings!$C$8,"Posted after close | ","")&amp;IF(OR(B528&lt;Settings!$C$6,B528&gt;Settings!$C$7),"Outside period | ","")&amp;IF(COUNTIF(Settings!$E$14:$E$43,C528&amp;"")&gt;0,"Sensitive account | ","")&amp;IF(AND(MAX(N(E528),N(F528))&gt;=Settings!$C$9,MOD(MAX(N(E528),N(F528)),Settings!$C$10)=0),"Round amount | ",""),LEN(IF(K528="No","Does not balance | ","")&amp;IF(I528="","Not approved | ",IF(UPPER(TRIM(H528))=UPPER(TRIM(I528)),"Self-approved | ",""))&amp;IF(J528="","No support | ","")&amp;IF(WEEKDAY(B528,2)&gt;5,"Weekend posting | ","")&amp;IF(COUNTIF(Settings!$A$14:$A$43,B528)&gt;0,"Holiday posting | ","")&amp;IF(B528&gt;Settings!$C$8,"Posted after close | ","")&amp;IF(OR(B528&lt;Settings!$C$6,B528&gt;Settings!$C$7),"Outside period | ","")&amp;IF(COUNTIF(Settings!$E$14:$E$43,C528&amp;"")&gt;0,"Sensitive account | ","")&amp;IF(AND(MAX(N(E528),N(F528))&gt;=Settings!$C$9,MOD(MAX(N(E528),N(F528)),Settings!$C$10)=0),"Round amount | ",""))-3)))</f>
        <v/>
      </c>
      <c r="M528" s="21" t="str">
        <f aca="false">IF(A528="","",IF(COUNTIF($A$9:A528,A528)=1,MAX($M$8:M527)+1,""))</f>
        <v/>
      </c>
    </row>
    <row r="529" customFormat="false" ht="15" hidden="false" customHeight="false" outlineLevel="0" collapsed="false">
      <c r="A529" s="8"/>
      <c r="B529" s="17"/>
      <c r="C529" s="19"/>
      <c r="D529" s="8"/>
      <c r="E529" s="18"/>
      <c r="F529" s="18"/>
      <c r="G529" s="8"/>
      <c r="H529" s="8"/>
      <c r="I529" s="8"/>
      <c r="J529" s="8"/>
      <c r="K529" s="10" t="str">
        <f aca="false">IF(A529="","",IF(ABS(SUMIFS($E$9:$E$2008,$A$9:$A$2008,A529)-SUMIFS($F$9:$F$2008,$A$9:$A$2008,A529))&lt;0.5,"Yes","No"))</f>
        <v/>
      </c>
      <c r="L529" s="10" t="str">
        <f aca="false">IF(A529="","",IF(IF(K529="No","Does not balance | ","")&amp;IF(I529="","Not approved | ",IF(UPPER(TRIM(H529))=UPPER(TRIM(I529)),"Self-approved | ",""))&amp;IF(J529="","No support | ","")&amp;IF(WEEKDAY(B529,2)&gt;5,"Weekend posting | ","")&amp;IF(COUNTIF(Settings!$A$14:$A$43,B529)&gt;0,"Holiday posting | ","")&amp;IF(B529&gt;Settings!$C$8,"Posted after close | ","")&amp;IF(OR(B529&lt;Settings!$C$6,B529&gt;Settings!$C$7),"Outside period | ","")&amp;IF(COUNTIF(Settings!$E$14:$E$43,C529&amp;"")&gt;0,"Sensitive account | ","")&amp;IF(AND(MAX(N(E529),N(F529))&gt;=Settings!$C$9,MOD(MAX(N(E529),N(F529)),Settings!$C$10)=0),"Round amount | ","")="","",LEFT(IF(K529="No","Does not balance | ","")&amp;IF(I529="","Not approved | ",IF(UPPER(TRIM(H529))=UPPER(TRIM(I529)),"Self-approved | ",""))&amp;IF(J529="","No support | ","")&amp;IF(WEEKDAY(B529,2)&gt;5,"Weekend posting | ","")&amp;IF(COUNTIF(Settings!$A$14:$A$43,B529)&gt;0,"Holiday posting | ","")&amp;IF(B529&gt;Settings!$C$8,"Posted after close | ","")&amp;IF(OR(B529&lt;Settings!$C$6,B529&gt;Settings!$C$7),"Outside period | ","")&amp;IF(COUNTIF(Settings!$E$14:$E$43,C529&amp;"")&gt;0,"Sensitive account | ","")&amp;IF(AND(MAX(N(E529),N(F529))&gt;=Settings!$C$9,MOD(MAX(N(E529),N(F529)),Settings!$C$10)=0),"Round amount | ",""),LEN(IF(K529="No","Does not balance | ","")&amp;IF(I529="","Not approved | ",IF(UPPER(TRIM(H529))=UPPER(TRIM(I529)),"Self-approved | ",""))&amp;IF(J529="","No support | ","")&amp;IF(WEEKDAY(B529,2)&gt;5,"Weekend posting | ","")&amp;IF(COUNTIF(Settings!$A$14:$A$43,B529)&gt;0,"Holiday posting | ","")&amp;IF(B529&gt;Settings!$C$8,"Posted after close | ","")&amp;IF(OR(B529&lt;Settings!$C$6,B529&gt;Settings!$C$7),"Outside period | ","")&amp;IF(COUNTIF(Settings!$E$14:$E$43,C529&amp;"")&gt;0,"Sensitive account | ","")&amp;IF(AND(MAX(N(E529),N(F529))&gt;=Settings!$C$9,MOD(MAX(N(E529),N(F529)),Settings!$C$10)=0),"Round amount | ",""))-3)))</f>
        <v/>
      </c>
      <c r="M529" s="21" t="str">
        <f aca="false">IF(A529="","",IF(COUNTIF($A$9:A529,A529)=1,MAX($M$8:M528)+1,""))</f>
        <v/>
      </c>
    </row>
    <row r="530" customFormat="false" ht="15" hidden="false" customHeight="false" outlineLevel="0" collapsed="false">
      <c r="A530" s="8"/>
      <c r="B530" s="17"/>
      <c r="C530" s="19"/>
      <c r="D530" s="8"/>
      <c r="E530" s="18"/>
      <c r="F530" s="18"/>
      <c r="G530" s="8"/>
      <c r="H530" s="8"/>
      <c r="I530" s="8"/>
      <c r="J530" s="8"/>
      <c r="K530" s="10" t="str">
        <f aca="false">IF(A530="","",IF(ABS(SUMIFS($E$9:$E$2008,$A$9:$A$2008,A530)-SUMIFS($F$9:$F$2008,$A$9:$A$2008,A530))&lt;0.5,"Yes","No"))</f>
        <v/>
      </c>
      <c r="L530" s="10" t="str">
        <f aca="false">IF(A530="","",IF(IF(K530="No","Does not balance | ","")&amp;IF(I530="","Not approved | ",IF(UPPER(TRIM(H530))=UPPER(TRIM(I530)),"Self-approved | ",""))&amp;IF(J530="","No support | ","")&amp;IF(WEEKDAY(B530,2)&gt;5,"Weekend posting | ","")&amp;IF(COUNTIF(Settings!$A$14:$A$43,B530)&gt;0,"Holiday posting | ","")&amp;IF(B530&gt;Settings!$C$8,"Posted after close | ","")&amp;IF(OR(B530&lt;Settings!$C$6,B530&gt;Settings!$C$7),"Outside period | ","")&amp;IF(COUNTIF(Settings!$E$14:$E$43,C530&amp;"")&gt;0,"Sensitive account | ","")&amp;IF(AND(MAX(N(E530),N(F530))&gt;=Settings!$C$9,MOD(MAX(N(E530),N(F530)),Settings!$C$10)=0),"Round amount | ","")="","",LEFT(IF(K530="No","Does not balance | ","")&amp;IF(I530="","Not approved | ",IF(UPPER(TRIM(H530))=UPPER(TRIM(I530)),"Self-approved | ",""))&amp;IF(J530="","No support | ","")&amp;IF(WEEKDAY(B530,2)&gt;5,"Weekend posting | ","")&amp;IF(COUNTIF(Settings!$A$14:$A$43,B530)&gt;0,"Holiday posting | ","")&amp;IF(B530&gt;Settings!$C$8,"Posted after close | ","")&amp;IF(OR(B530&lt;Settings!$C$6,B530&gt;Settings!$C$7),"Outside period | ","")&amp;IF(COUNTIF(Settings!$E$14:$E$43,C530&amp;"")&gt;0,"Sensitive account | ","")&amp;IF(AND(MAX(N(E530),N(F530))&gt;=Settings!$C$9,MOD(MAX(N(E530),N(F530)),Settings!$C$10)=0),"Round amount | ",""),LEN(IF(K530="No","Does not balance | ","")&amp;IF(I530="","Not approved | ",IF(UPPER(TRIM(H530))=UPPER(TRIM(I530)),"Self-approved | ",""))&amp;IF(J530="","No support | ","")&amp;IF(WEEKDAY(B530,2)&gt;5,"Weekend posting | ","")&amp;IF(COUNTIF(Settings!$A$14:$A$43,B530)&gt;0,"Holiday posting | ","")&amp;IF(B530&gt;Settings!$C$8,"Posted after close | ","")&amp;IF(OR(B530&lt;Settings!$C$6,B530&gt;Settings!$C$7),"Outside period | ","")&amp;IF(COUNTIF(Settings!$E$14:$E$43,C530&amp;"")&gt;0,"Sensitive account | ","")&amp;IF(AND(MAX(N(E530),N(F530))&gt;=Settings!$C$9,MOD(MAX(N(E530),N(F530)),Settings!$C$10)=0),"Round amount | ",""))-3)))</f>
        <v/>
      </c>
      <c r="M530" s="21" t="str">
        <f aca="false">IF(A530="","",IF(COUNTIF($A$9:A530,A530)=1,MAX($M$8:M529)+1,""))</f>
        <v/>
      </c>
    </row>
    <row r="531" customFormat="false" ht="15" hidden="false" customHeight="false" outlineLevel="0" collapsed="false">
      <c r="A531" s="8"/>
      <c r="B531" s="17"/>
      <c r="C531" s="19"/>
      <c r="D531" s="8"/>
      <c r="E531" s="18"/>
      <c r="F531" s="18"/>
      <c r="G531" s="8"/>
      <c r="H531" s="8"/>
      <c r="I531" s="8"/>
      <c r="J531" s="8"/>
      <c r="K531" s="10" t="str">
        <f aca="false">IF(A531="","",IF(ABS(SUMIFS($E$9:$E$2008,$A$9:$A$2008,A531)-SUMIFS($F$9:$F$2008,$A$9:$A$2008,A531))&lt;0.5,"Yes","No"))</f>
        <v/>
      </c>
      <c r="L531" s="10" t="str">
        <f aca="false">IF(A531="","",IF(IF(K531="No","Does not balance | ","")&amp;IF(I531="","Not approved | ",IF(UPPER(TRIM(H531))=UPPER(TRIM(I531)),"Self-approved | ",""))&amp;IF(J531="","No support | ","")&amp;IF(WEEKDAY(B531,2)&gt;5,"Weekend posting | ","")&amp;IF(COUNTIF(Settings!$A$14:$A$43,B531)&gt;0,"Holiday posting | ","")&amp;IF(B531&gt;Settings!$C$8,"Posted after close | ","")&amp;IF(OR(B531&lt;Settings!$C$6,B531&gt;Settings!$C$7),"Outside period | ","")&amp;IF(COUNTIF(Settings!$E$14:$E$43,C531&amp;"")&gt;0,"Sensitive account | ","")&amp;IF(AND(MAX(N(E531),N(F531))&gt;=Settings!$C$9,MOD(MAX(N(E531),N(F531)),Settings!$C$10)=0),"Round amount | ","")="","",LEFT(IF(K531="No","Does not balance | ","")&amp;IF(I531="","Not approved | ",IF(UPPER(TRIM(H531))=UPPER(TRIM(I531)),"Self-approved | ",""))&amp;IF(J531="","No support | ","")&amp;IF(WEEKDAY(B531,2)&gt;5,"Weekend posting | ","")&amp;IF(COUNTIF(Settings!$A$14:$A$43,B531)&gt;0,"Holiday posting | ","")&amp;IF(B531&gt;Settings!$C$8,"Posted after close | ","")&amp;IF(OR(B531&lt;Settings!$C$6,B531&gt;Settings!$C$7),"Outside period | ","")&amp;IF(COUNTIF(Settings!$E$14:$E$43,C531&amp;"")&gt;0,"Sensitive account | ","")&amp;IF(AND(MAX(N(E531),N(F531))&gt;=Settings!$C$9,MOD(MAX(N(E531),N(F531)),Settings!$C$10)=0),"Round amount | ",""),LEN(IF(K531="No","Does not balance | ","")&amp;IF(I531="","Not approved | ",IF(UPPER(TRIM(H531))=UPPER(TRIM(I531)),"Self-approved | ",""))&amp;IF(J531="","No support | ","")&amp;IF(WEEKDAY(B531,2)&gt;5,"Weekend posting | ","")&amp;IF(COUNTIF(Settings!$A$14:$A$43,B531)&gt;0,"Holiday posting | ","")&amp;IF(B531&gt;Settings!$C$8,"Posted after close | ","")&amp;IF(OR(B531&lt;Settings!$C$6,B531&gt;Settings!$C$7),"Outside period | ","")&amp;IF(COUNTIF(Settings!$E$14:$E$43,C531&amp;"")&gt;0,"Sensitive account | ","")&amp;IF(AND(MAX(N(E531),N(F531))&gt;=Settings!$C$9,MOD(MAX(N(E531),N(F531)),Settings!$C$10)=0),"Round amount | ",""))-3)))</f>
        <v/>
      </c>
      <c r="M531" s="21" t="str">
        <f aca="false">IF(A531="","",IF(COUNTIF($A$9:A531,A531)=1,MAX($M$8:M530)+1,""))</f>
        <v/>
      </c>
    </row>
    <row r="532" customFormat="false" ht="15" hidden="false" customHeight="false" outlineLevel="0" collapsed="false">
      <c r="A532" s="8"/>
      <c r="B532" s="17"/>
      <c r="C532" s="19"/>
      <c r="D532" s="8"/>
      <c r="E532" s="18"/>
      <c r="F532" s="18"/>
      <c r="G532" s="8"/>
      <c r="H532" s="8"/>
      <c r="I532" s="8"/>
      <c r="J532" s="8"/>
      <c r="K532" s="10" t="str">
        <f aca="false">IF(A532="","",IF(ABS(SUMIFS($E$9:$E$2008,$A$9:$A$2008,A532)-SUMIFS($F$9:$F$2008,$A$9:$A$2008,A532))&lt;0.5,"Yes","No"))</f>
        <v/>
      </c>
      <c r="L532" s="10" t="str">
        <f aca="false">IF(A532="","",IF(IF(K532="No","Does not balance | ","")&amp;IF(I532="","Not approved | ",IF(UPPER(TRIM(H532))=UPPER(TRIM(I532)),"Self-approved | ",""))&amp;IF(J532="","No support | ","")&amp;IF(WEEKDAY(B532,2)&gt;5,"Weekend posting | ","")&amp;IF(COUNTIF(Settings!$A$14:$A$43,B532)&gt;0,"Holiday posting | ","")&amp;IF(B532&gt;Settings!$C$8,"Posted after close | ","")&amp;IF(OR(B532&lt;Settings!$C$6,B532&gt;Settings!$C$7),"Outside period | ","")&amp;IF(COUNTIF(Settings!$E$14:$E$43,C532&amp;"")&gt;0,"Sensitive account | ","")&amp;IF(AND(MAX(N(E532),N(F532))&gt;=Settings!$C$9,MOD(MAX(N(E532),N(F532)),Settings!$C$10)=0),"Round amount | ","")="","",LEFT(IF(K532="No","Does not balance | ","")&amp;IF(I532="","Not approved | ",IF(UPPER(TRIM(H532))=UPPER(TRIM(I532)),"Self-approved | ",""))&amp;IF(J532="","No support | ","")&amp;IF(WEEKDAY(B532,2)&gt;5,"Weekend posting | ","")&amp;IF(COUNTIF(Settings!$A$14:$A$43,B532)&gt;0,"Holiday posting | ","")&amp;IF(B532&gt;Settings!$C$8,"Posted after close | ","")&amp;IF(OR(B532&lt;Settings!$C$6,B532&gt;Settings!$C$7),"Outside period | ","")&amp;IF(COUNTIF(Settings!$E$14:$E$43,C532&amp;"")&gt;0,"Sensitive account | ","")&amp;IF(AND(MAX(N(E532),N(F532))&gt;=Settings!$C$9,MOD(MAX(N(E532),N(F532)),Settings!$C$10)=0),"Round amount | ",""),LEN(IF(K532="No","Does not balance | ","")&amp;IF(I532="","Not approved | ",IF(UPPER(TRIM(H532))=UPPER(TRIM(I532)),"Self-approved | ",""))&amp;IF(J532="","No support | ","")&amp;IF(WEEKDAY(B532,2)&gt;5,"Weekend posting | ","")&amp;IF(COUNTIF(Settings!$A$14:$A$43,B532)&gt;0,"Holiday posting | ","")&amp;IF(B532&gt;Settings!$C$8,"Posted after close | ","")&amp;IF(OR(B532&lt;Settings!$C$6,B532&gt;Settings!$C$7),"Outside period | ","")&amp;IF(COUNTIF(Settings!$E$14:$E$43,C532&amp;"")&gt;0,"Sensitive account | ","")&amp;IF(AND(MAX(N(E532),N(F532))&gt;=Settings!$C$9,MOD(MAX(N(E532),N(F532)),Settings!$C$10)=0),"Round amount | ",""))-3)))</f>
        <v/>
      </c>
      <c r="M532" s="21" t="str">
        <f aca="false">IF(A532="","",IF(COUNTIF($A$9:A532,A532)=1,MAX($M$8:M531)+1,""))</f>
        <v/>
      </c>
    </row>
    <row r="533" customFormat="false" ht="15" hidden="false" customHeight="false" outlineLevel="0" collapsed="false">
      <c r="A533" s="8"/>
      <c r="B533" s="17"/>
      <c r="C533" s="19"/>
      <c r="D533" s="8"/>
      <c r="E533" s="18"/>
      <c r="F533" s="18"/>
      <c r="G533" s="8"/>
      <c r="H533" s="8"/>
      <c r="I533" s="8"/>
      <c r="J533" s="8"/>
      <c r="K533" s="10" t="str">
        <f aca="false">IF(A533="","",IF(ABS(SUMIFS($E$9:$E$2008,$A$9:$A$2008,A533)-SUMIFS($F$9:$F$2008,$A$9:$A$2008,A533))&lt;0.5,"Yes","No"))</f>
        <v/>
      </c>
      <c r="L533" s="10" t="str">
        <f aca="false">IF(A533="","",IF(IF(K533="No","Does not balance | ","")&amp;IF(I533="","Not approved | ",IF(UPPER(TRIM(H533))=UPPER(TRIM(I533)),"Self-approved | ",""))&amp;IF(J533="","No support | ","")&amp;IF(WEEKDAY(B533,2)&gt;5,"Weekend posting | ","")&amp;IF(COUNTIF(Settings!$A$14:$A$43,B533)&gt;0,"Holiday posting | ","")&amp;IF(B533&gt;Settings!$C$8,"Posted after close | ","")&amp;IF(OR(B533&lt;Settings!$C$6,B533&gt;Settings!$C$7),"Outside period | ","")&amp;IF(COUNTIF(Settings!$E$14:$E$43,C533&amp;"")&gt;0,"Sensitive account | ","")&amp;IF(AND(MAX(N(E533),N(F533))&gt;=Settings!$C$9,MOD(MAX(N(E533),N(F533)),Settings!$C$10)=0),"Round amount | ","")="","",LEFT(IF(K533="No","Does not balance | ","")&amp;IF(I533="","Not approved | ",IF(UPPER(TRIM(H533))=UPPER(TRIM(I533)),"Self-approved | ",""))&amp;IF(J533="","No support | ","")&amp;IF(WEEKDAY(B533,2)&gt;5,"Weekend posting | ","")&amp;IF(COUNTIF(Settings!$A$14:$A$43,B533)&gt;0,"Holiday posting | ","")&amp;IF(B533&gt;Settings!$C$8,"Posted after close | ","")&amp;IF(OR(B533&lt;Settings!$C$6,B533&gt;Settings!$C$7),"Outside period | ","")&amp;IF(COUNTIF(Settings!$E$14:$E$43,C533&amp;"")&gt;0,"Sensitive account | ","")&amp;IF(AND(MAX(N(E533),N(F533))&gt;=Settings!$C$9,MOD(MAX(N(E533),N(F533)),Settings!$C$10)=0),"Round amount | ",""),LEN(IF(K533="No","Does not balance | ","")&amp;IF(I533="","Not approved | ",IF(UPPER(TRIM(H533))=UPPER(TRIM(I533)),"Self-approved | ",""))&amp;IF(J533="","No support | ","")&amp;IF(WEEKDAY(B533,2)&gt;5,"Weekend posting | ","")&amp;IF(COUNTIF(Settings!$A$14:$A$43,B533)&gt;0,"Holiday posting | ","")&amp;IF(B533&gt;Settings!$C$8,"Posted after close | ","")&amp;IF(OR(B533&lt;Settings!$C$6,B533&gt;Settings!$C$7),"Outside period | ","")&amp;IF(COUNTIF(Settings!$E$14:$E$43,C533&amp;"")&gt;0,"Sensitive account | ","")&amp;IF(AND(MAX(N(E533),N(F533))&gt;=Settings!$C$9,MOD(MAX(N(E533),N(F533)),Settings!$C$10)=0),"Round amount | ",""))-3)))</f>
        <v/>
      </c>
      <c r="M533" s="21" t="str">
        <f aca="false">IF(A533="","",IF(COUNTIF($A$9:A533,A533)=1,MAX($M$8:M532)+1,""))</f>
        <v/>
      </c>
    </row>
    <row r="534" customFormat="false" ht="15" hidden="false" customHeight="false" outlineLevel="0" collapsed="false">
      <c r="A534" s="8"/>
      <c r="B534" s="17"/>
      <c r="C534" s="19"/>
      <c r="D534" s="8"/>
      <c r="E534" s="18"/>
      <c r="F534" s="18"/>
      <c r="G534" s="8"/>
      <c r="H534" s="8"/>
      <c r="I534" s="8"/>
      <c r="J534" s="8"/>
      <c r="K534" s="10" t="str">
        <f aca="false">IF(A534="","",IF(ABS(SUMIFS($E$9:$E$2008,$A$9:$A$2008,A534)-SUMIFS($F$9:$F$2008,$A$9:$A$2008,A534))&lt;0.5,"Yes","No"))</f>
        <v/>
      </c>
      <c r="L534" s="10" t="str">
        <f aca="false">IF(A534="","",IF(IF(K534="No","Does not balance | ","")&amp;IF(I534="","Not approved | ",IF(UPPER(TRIM(H534))=UPPER(TRIM(I534)),"Self-approved | ",""))&amp;IF(J534="","No support | ","")&amp;IF(WEEKDAY(B534,2)&gt;5,"Weekend posting | ","")&amp;IF(COUNTIF(Settings!$A$14:$A$43,B534)&gt;0,"Holiday posting | ","")&amp;IF(B534&gt;Settings!$C$8,"Posted after close | ","")&amp;IF(OR(B534&lt;Settings!$C$6,B534&gt;Settings!$C$7),"Outside period | ","")&amp;IF(COUNTIF(Settings!$E$14:$E$43,C534&amp;"")&gt;0,"Sensitive account | ","")&amp;IF(AND(MAX(N(E534),N(F534))&gt;=Settings!$C$9,MOD(MAX(N(E534),N(F534)),Settings!$C$10)=0),"Round amount | ","")="","",LEFT(IF(K534="No","Does not balance | ","")&amp;IF(I534="","Not approved | ",IF(UPPER(TRIM(H534))=UPPER(TRIM(I534)),"Self-approved | ",""))&amp;IF(J534="","No support | ","")&amp;IF(WEEKDAY(B534,2)&gt;5,"Weekend posting | ","")&amp;IF(COUNTIF(Settings!$A$14:$A$43,B534)&gt;0,"Holiday posting | ","")&amp;IF(B534&gt;Settings!$C$8,"Posted after close | ","")&amp;IF(OR(B534&lt;Settings!$C$6,B534&gt;Settings!$C$7),"Outside period | ","")&amp;IF(COUNTIF(Settings!$E$14:$E$43,C534&amp;"")&gt;0,"Sensitive account | ","")&amp;IF(AND(MAX(N(E534),N(F534))&gt;=Settings!$C$9,MOD(MAX(N(E534),N(F534)),Settings!$C$10)=0),"Round amount | ",""),LEN(IF(K534="No","Does not balance | ","")&amp;IF(I534="","Not approved | ",IF(UPPER(TRIM(H534))=UPPER(TRIM(I534)),"Self-approved | ",""))&amp;IF(J534="","No support | ","")&amp;IF(WEEKDAY(B534,2)&gt;5,"Weekend posting | ","")&amp;IF(COUNTIF(Settings!$A$14:$A$43,B534)&gt;0,"Holiday posting | ","")&amp;IF(B534&gt;Settings!$C$8,"Posted after close | ","")&amp;IF(OR(B534&lt;Settings!$C$6,B534&gt;Settings!$C$7),"Outside period | ","")&amp;IF(COUNTIF(Settings!$E$14:$E$43,C534&amp;"")&gt;0,"Sensitive account | ","")&amp;IF(AND(MAX(N(E534),N(F534))&gt;=Settings!$C$9,MOD(MAX(N(E534),N(F534)),Settings!$C$10)=0),"Round amount | ",""))-3)))</f>
        <v/>
      </c>
      <c r="M534" s="21" t="str">
        <f aca="false">IF(A534="","",IF(COUNTIF($A$9:A534,A534)=1,MAX($M$8:M533)+1,""))</f>
        <v/>
      </c>
    </row>
    <row r="535" customFormat="false" ht="15" hidden="false" customHeight="false" outlineLevel="0" collapsed="false">
      <c r="A535" s="8"/>
      <c r="B535" s="17"/>
      <c r="C535" s="19"/>
      <c r="D535" s="8"/>
      <c r="E535" s="18"/>
      <c r="F535" s="18"/>
      <c r="G535" s="8"/>
      <c r="H535" s="8"/>
      <c r="I535" s="8"/>
      <c r="J535" s="8"/>
      <c r="K535" s="10" t="str">
        <f aca="false">IF(A535="","",IF(ABS(SUMIFS($E$9:$E$2008,$A$9:$A$2008,A535)-SUMIFS($F$9:$F$2008,$A$9:$A$2008,A535))&lt;0.5,"Yes","No"))</f>
        <v/>
      </c>
      <c r="L535" s="10" t="str">
        <f aca="false">IF(A535="","",IF(IF(K535="No","Does not balance | ","")&amp;IF(I535="","Not approved | ",IF(UPPER(TRIM(H535))=UPPER(TRIM(I535)),"Self-approved | ",""))&amp;IF(J535="","No support | ","")&amp;IF(WEEKDAY(B535,2)&gt;5,"Weekend posting | ","")&amp;IF(COUNTIF(Settings!$A$14:$A$43,B535)&gt;0,"Holiday posting | ","")&amp;IF(B535&gt;Settings!$C$8,"Posted after close | ","")&amp;IF(OR(B535&lt;Settings!$C$6,B535&gt;Settings!$C$7),"Outside period | ","")&amp;IF(COUNTIF(Settings!$E$14:$E$43,C535&amp;"")&gt;0,"Sensitive account | ","")&amp;IF(AND(MAX(N(E535),N(F535))&gt;=Settings!$C$9,MOD(MAX(N(E535),N(F535)),Settings!$C$10)=0),"Round amount | ","")="","",LEFT(IF(K535="No","Does not balance | ","")&amp;IF(I535="","Not approved | ",IF(UPPER(TRIM(H535))=UPPER(TRIM(I535)),"Self-approved | ",""))&amp;IF(J535="","No support | ","")&amp;IF(WEEKDAY(B535,2)&gt;5,"Weekend posting | ","")&amp;IF(COUNTIF(Settings!$A$14:$A$43,B535)&gt;0,"Holiday posting | ","")&amp;IF(B535&gt;Settings!$C$8,"Posted after close | ","")&amp;IF(OR(B535&lt;Settings!$C$6,B535&gt;Settings!$C$7),"Outside period | ","")&amp;IF(COUNTIF(Settings!$E$14:$E$43,C535&amp;"")&gt;0,"Sensitive account | ","")&amp;IF(AND(MAX(N(E535),N(F535))&gt;=Settings!$C$9,MOD(MAX(N(E535),N(F535)),Settings!$C$10)=0),"Round amount | ",""),LEN(IF(K535="No","Does not balance | ","")&amp;IF(I535="","Not approved | ",IF(UPPER(TRIM(H535))=UPPER(TRIM(I535)),"Self-approved | ",""))&amp;IF(J535="","No support | ","")&amp;IF(WEEKDAY(B535,2)&gt;5,"Weekend posting | ","")&amp;IF(COUNTIF(Settings!$A$14:$A$43,B535)&gt;0,"Holiday posting | ","")&amp;IF(B535&gt;Settings!$C$8,"Posted after close | ","")&amp;IF(OR(B535&lt;Settings!$C$6,B535&gt;Settings!$C$7),"Outside period | ","")&amp;IF(COUNTIF(Settings!$E$14:$E$43,C535&amp;"")&gt;0,"Sensitive account | ","")&amp;IF(AND(MAX(N(E535),N(F535))&gt;=Settings!$C$9,MOD(MAX(N(E535),N(F535)),Settings!$C$10)=0),"Round amount | ",""))-3)))</f>
        <v/>
      </c>
      <c r="M535" s="21" t="str">
        <f aca="false">IF(A535="","",IF(COUNTIF($A$9:A535,A535)=1,MAX($M$8:M534)+1,""))</f>
        <v/>
      </c>
    </row>
    <row r="536" customFormat="false" ht="15" hidden="false" customHeight="false" outlineLevel="0" collapsed="false">
      <c r="A536" s="8"/>
      <c r="B536" s="17"/>
      <c r="C536" s="19"/>
      <c r="D536" s="8"/>
      <c r="E536" s="18"/>
      <c r="F536" s="18"/>
      <c r="G536" s="8"/>
      <c r="H536" s="8"/>
      <c r="I536" s="8"/>
      <c r="J536" s="8"/>
      <c r="K536" s="10" t="str">
        <f aca="false">IF(A536="","",IF(ABS(SUMIFS($E$9:$E$2008,$A$9:$A$2008,A536)-SUMIFS($F$9:$F$2008,$A$9:$A$2008,A536))&lt;0.5,"Yes","No"))</f>
        <v/>
      </c>
      <c r="L536" s="10" t="str">
        <f aca="false">IF(A536="","",IF(IF(K536="No","Does not balance | ","")&amp;IF(I536="","Not approved | ",IF(UPPER(TRIM(H536))=UPPER(TRIM(I536)),"Self-approved | ",""))&amp;IF(J536="","No support | ","")&amp;IF(WEEKDAY(B536,2)&gt;5,"Weekend posting | ","")&amp;IF(COUNTIF(Settings!$A$14:$A$43,B536)&gt;0,"Holiday posting | ","")&amp;IF(B536&gt;Settings!$C$8,"Posted after close | ","")&amp;IF(OR(B536&lt;Settings!$C$6,B536&gt;Settings!$C$7),"Outside period | ","")&amp;IF(COUNTIF(Settings!$E$14:$E$43,C536&amp;"")&gt;0,"Sensitive account | ","")&amp;IF(AND(MAX(N(E536),N(F536))&gt;=Settings!$C$9,MOD(MAX(N(E536),N(F536)),Settings!$C$10)=0),"Round amount | ","")="","",LEFT(IF(K536="No","Does not balance | ","")&amp;IF(I536="","Not approved | ",IF(UPPER(TRIM(H536))=UPPER(TRIM(I536)),"Self-approved | ",""))&amp;IF(J536="","No support | ","")&amp;IF(WEEKDAY(B536,2)&gt;5,"Weekend posting | ","")&amp;IF(COUNTIF(Settings!$A$14:$A$43,B536)&gt;0,"Holiday posting | ","")&amp;IF(B536&gt;Settings!$C$8,"Posted after close | ","")&amp;IF(OR(B536&lt;Settings!$C$6,B536&gt;Settings!$C$7),"Outside period | ","")&amp;IF(COUNTIF(Settings!$E$14:$E$43,C536&amp;"")&gt;0,"Sensitive account | ","")&amp;IF(AND(MAX(N(E536),N(F536))&gt;=Settings!$C$9,MOD(MAX(N(E536),N(F536)),Settings!$C$10)=0),"Round amount | ",""),LEN(IF(K536="No","Does not balance | ","")&amp;IF(I536="","Not approved | ",IF(UPPER(TRIM(H536))=UPPER(TRIM(I536)),"Self-approved | ",""))&amp;IF(J536="","No support | ","")&amp;IF(WEEKDAY(B536,2)&gt;5,"Weekend posting | ","")&amp;IF(COUNTIF(Settings!$A$14:$A$43,B536)&gt;0,"Holiday posting | ","")&amp;IF(B536&gt;Settings!$C$8,"Posted after close | ","")&amp;IF(OR(B536&lt;Settings!$C$6,B536&gt;Settings!$C$7),"Outside period | ","")&amp;IF(COUNTIF(Settings!$E$14:$E$43,C536&amp;"")&gt;0,"Sensitive account | ","")&amp;IF(AND(MAX(N(E536),N(F536))&gt;=Settings!$C$9,MOD(MAX(N(E536),N(F536)),Settings!$C$10)=0),"Round amount | ",""))-3)))</f>
        <v/>
      </c>
      <c r="M536" s="21" t="str">
        <f aca="false">IF(A536="","",IF(COUNTIF($A$9:A536,A536)=1,MAX($M$8:M535)+1,""))</f>
        <v/>
      </c>
    </row>
    <row r="537" customFormat="false" ht="15" hidden="false" customHeight="false" outlineLevel="0" collapsed="false">
      <c r="A537" s="8"/>
      <c r="B537" s="17"/>
      <c r="C537" s="19"/>
      <c r="D537" s="8"/>
      <c r="E537" s="18"/>
      <c r="F537" s="18"/>
      <c r="G537" s="8"/>
      <c r="H537" s="8"/>
      <c r="I537" s="8"/>
      <c r="J537" s="8"/>
      <c r="K537" s="10" t="str">
        <f aca="false">IF(A537="","",IF(ABS(SUMIFS($E$9:$E$2008,$A$9:$A$2008,A537)-SUMIFS($F$9:$F$2008,$A$9:$A$2008,A537))&lt;0.5,"Yes","No"))</f>
        <v/>
      </c>
      <c r="L537" s="10" t="str">
        <f aca="false">IF(A537="","",IF(IF(K537="No","Does not balance | ","")&amp;IF(I537="","Not approved | ",IF(UPPER(TRIM(H537))=UPPER(TRIM(I537)),"Self-approved | ",""))&amp;IF(J537="","No support | ","")&amp;IF(WEEKDAY(B537,2)&gt;5,"Weekend posting | ","")&amp;IF(COUNTIF(Settings!$A$14:$A$43,B537)&gt;0,"Holiday posting | ","")&amp;IF(B537&gt;Settings!$C$8,"Posted after close | ","")&amp;IF(OR(B537&lt;Settings!$C$6,B537&gt;Settings!$C$7),"Outside period | ","")&amp;IF(COUNTIF(Settings!$E$14:$E$43,C537&amp;"")&gt;0,"Sensitive account | ","")&amp;IF(AND(MAX(N(E537),N(F537))&gt;=Settings!$C$9,MOD(MAX(N(E537),N(F537)),Settings!$C$10)=0),"Round amount | ","")="","",LEFT(IF(K537="No","Does not balance | ","")&amp;IF(I537="","Not approved | ",IF(UPPER(TRIM(H537))=UPPER(TRIM(I537)),"Self-approved | ",""))&amp;IF(J537="","No support | ","")&amp;IF(WEEKDAY(B537,2)&gt;5,"Weekend posting | ","")&amp;IF(COUNTIF(Settings!$A$14:$A$43,B537)&gt;0,"Holiday posting | ","")&amp;IF(B537&gt;Settings!$C$8,"Posted after close | ","")&amp;IF(OR(B537&lt;Settings!$C$6,B537&gt;Settings!$C$7),"Outside period | ","")&amp;IF(COUNTIF(Settings!$E$14:$E$43,C537&amp;"")&gt;0,"Sensitive account | ","")&amp;IF(AND(MAX(N(E537),N(F537))&gt;=Settings!$C$9,MOD(MAX(N(E537),N(F537)),Settings!$C$10)=0),"Round amount | ",""),LEN(IF(K537="No","Does not balance | ","")&amp;IF(I537="","Not approved | ",IF(UPPER(TRIM(H537))=UPPER(TRIM(I537)),"Self-approved | ",""))&amp;IF(J537="","No support | ","")&amp;IF(WEEKDAY(B537,2)&gt;5,"Weekend posting | ","")&amp;IF(COUNTIF(Settings!$A$14:$A$43,B537)&gt;0,"Holiday posting | ","")&amp;IF(B537&gt;Settings!$C$8,"Posted after close | ","")&amp;IF(OR(B537&lt;Settings!$C$6,B537&gt;Settings!$C$7),"Outside period | ","")&amp;IF(COUNTIF(Settings!$E$14:$E$43,C537&amp;"")&gt;0,"Sensitive account | ","")&amp;IF(AND(MAX(N(E537),N(F537))&gt;=Settings!$C$9,MOD(MAX(N(E537),N(F537)),Settings!$C$10)=0),"Round amount | ",""))-3)))</f>
        <v/>
      </c>
      <c r="M537" s="21" t="str">
        <f aca="false">IF(A537="","",IF(COUNTIF($A$9:A537,A537)=1,MAX($M$8:M536)+1,""))</f>
        <v/>
      </c>
    </row>
    <row r="538" customFormat="false" ht="15" hidden="false" customHeight="false" outlineLevel="0" collapsed="false">
      <c r="A538" s="8"/>
      <c r="B538" s="17"/>
      <c r="C538" s="19"/>
      <c r="D538" s="8"/>
      <c r="E538" s="18"/>
      <c r="F538" s="18"/>
      <c r="G538" s="8"/>
      <c r="H538" s="8"/>
      <c r="I538" s="8"/>
      <c r="J538" s="8"/>
      <c r="K538" s="10" t="str">
        <f aca="false">IF(A538="","",IF(ABS(SUMIFS($E$9:$E$2008,$A$9:$A$2008,A538)-SUMIFS($F$9:$F$2008,$A$9:$A$2008,A538))&lt;0.5,"Yes","No"))</f>
        <v/>
      </c>
      <c r="L538" s="10" t="str">
        <f aca="false">IF(A538="","",IF(IF(K538="No","Does not balance | ","")&amp;IF(I538="","Not approved | ",IF(UPPER(TRIM(H538))=UPPER(TRIM(I538)),"Self-approved | ",""))&amp;IF(J538="","No support | ","")&amp;IF(WEEKDAY(B538,2)&gt;5,"Weekend posting | ","")&amp;IF(COUNTIF(Settings!$A$14:$A$43,B538)&gt;0,"Holiday posting | ","")&amp;IF(B538&gt;Settings!$C$8,"Posted after close | ","")&amp;IF(OR(B538&lt;Settings!$C$6,B538&gt;Settings!$C$7),"Outside period | ","")&amp;IF(COUNTIF(Settings!$E$14:$E$43,C538&amp;"")&gt;0,"Sensitive account | ","")&amp;IF(AND(MAX(N(E538),N(F538))&gt;=Settings!$C$9,MOD(MAX(N(E538),N(F538)),Settings!$C$10)=0),"Round amount | ","")="","",LEFT(IF(K538="No","Does not balance | ","")&amp;IF(I538="","Not approved | ",IF(UPPER(TRIM(H538))=UPPER(TRIM(I538)),"Self-approved | ",""))&amp;IF(J538="","No support | ","")&amp;IF(WEEKDAY(B538,2)&gt;5,"Weekend posting | ","")&amp;IF(COUNTIF(Settings!$A$14:$A$43,B538)&gt;0,"Holiday posting | ","")&amp;IF(B538&gt;Settings!$C$8,"Posted after close | ","")&amp;IF(OR(B538&lt;Settings!$C$6,B538&gt;Settings!$C$7),"Outside period | ","")&amp;IF(COUNTIF(Settings!$E$14:$E$43,C538&amp;"")&gt;0,"Sensitive account | ","")&amp;IF(AND(MAX(N(E538),N(F538))&gt;=Settings!$C$9,MOD(MAX(N(E538),N(F538)),Settings!$C$10)=0),"Round amount | ",""),LEN(IF(K538="No","Does not balance | ","")&amp;IF(I538="","Not approved | ",IF(UPPER(TRIM(H538))=UPPER(TRIM(I538)),"Self-approved | ",""))&amp;IF(J538="","No support | ","")&amp;IF(WEEKDAY(B538,2)&gt;5,"Weekend posting | ","")&amp;IF(COUNTIF(Settings!$A$14:$A$43,B538)&gt;0,"Holiday posting | ","")&amp;IF(B538&gt;Settings!$C$8,"Posted after close | ","")&amp;IF(OR(B538&lt;Settings!$C$6,B538&gt;Settings!$C$7),"Outside period | ","")&amp;IF(COUNTIF(Settings!$E$14:$E$43,C538&amp;"")&gt;0,"Sensitive account | ","")&amp;IF(AND(MAX(N(E538),N(F538))&gt;=Settings!$C$9,MOD(MAX(N(E538),N(F538)),Settings!$C$10)=0),"Round amount | ",""))-3)))</f>
        <v/>
      </c>
      <c r="M538" s="21" t="str">
        <f aca="false">IF(A538="","",IF(COUNTIF($A$9:A538,A538)=1,MAX($M$8:M537)+1,""))</f>
        <v/>
      </c>
    </row>
    <row r="539" customFormat="false" ht="15" hidden="false" customHeight="false" outlineLevel="0" collapsed="false">
      <c r="A539" s="8"/>
      <c r="B539" s="17"/>
      <c r="C539" s="19"/>
      <c r="D539" s="8"/>
      <c r="E539" s="18"/>
      <c r="F539" s="18"/>
      <c r="G539" s="8"/>
      <c r="H539" s="8"/>
      <c r="I539" s="8"/>
      <c r="J539" s="8"/>
      <c r="K539" s="10" t="str">
        <f aca="false">IF(A539="","",IF(ABS(SUMIFS($E$9:$E$2008,$A$9:$A$2008,A539)-SUMIFS($F$9:$F$2008,$A$9:$A$2008,A539))&lt;0.5,"Yes","No"))</f>
        <v/>
      </c>
      <c r="L539" s="10" t="str">
        <f aca="false">IF(A539="","",IF(IF(K539="No","Does not balance | ","")&amp;IF(I539="","Not approved | ",IF(UPPER(TRIM(H539))=UPPER(TRIM(I539)),"Self-approved | ",""))&amp;IF(J539="","No support | ","")&amp;IF(WEEKDAY(B539,2)&gt;5,"Weekend posting | ","")&amp;IF(COUNTIF(Settings!$A$14:$A$43,B539)&gt;0,"Holiday posting | ","")&amp;IF(B539&gt;Settings!$C$8,"Posted after close | ","")&amp;IF(OR(B539&lt;Settings!$C$6,B539&gt;Settings!$C$7),"Outside period | ","")&amp;IF(COUNTIF(Settings!$E$14:$E$43,C539&amp;"")&gt;0,"Sensitive account | ","")&amp;IF(AND(MAX(N(E539),N(F539))&gt;=Settings!$C$9,MOD(MAX(N(E539),N(F539)),Settings!$C$10)=0),"Round amount | ","")="","",LEFT(IF(K539="No","Does not balance | ","")&amp;IF(I539="","Not approved | ",IF(UPPER(TRIM(H539))=UPPER(TRIM(I539)),"Self-approved | ",""))&amp;IF(J539="","No support | ","")&amp;IF(WEEKDAY(B539,2)&gt;5,"Weekend posting | ","")&amp;IF(COUNTIF(Settings!$A$14:$A$43,B539)&gt;0,"Holiday posting | ","")&amp;IF(B539&gt;Settings!$C$8,"Posted after close | ","")&amp;IF(OR(B539&lt;Settings!$C$6,B539&gt;Settings!$C$7),"Outside period | ","")&amp;IF(COUNTIF(Settings!$E$14:$E$43,C539&amp;"")&gt;0,"Sensitive account | ","")&amp;IF(AND(MAX(N(E539),N(F539))&gt;=Settings!$C$9,MOD(MAX(N(E539),N(F539)),Settings!$C$10)=0),"Round amount | ",""),LEN(IF(K539="No","Does not balance | ","")&amp;IF(I539="","Not approved | ",IF(UPPER(TRIM(H539))=UPPER(TRIM(I539)),"Self-approved | ",""))&amp;IF(J539="","No support | ","")&amp;IF(WEEKDAY(B539,2)&gt;5,"Weekend posting | ","")&amp;IF(COUNTIF(Settings!$A$14:$A$43,B539)&gt;0,"Holiday posting | ","")&amp;IF(B539&gt;Settings!$C$8,"Posted after close | ","")&amp;IF(OR(B539&lt;Settings!$C$6,B539&gt;Settings!$C$7),"Outside period | ","")&amp;IF(COUNTIF(Settings!$E$14:$E$43,C539&amp;"")&gt;0,"Sensitive account | ","")&amp;IF(AND(MAX(N(E539),N(F539))&gt;=Settings!$C$9,MOD(MAX(N(E539),N(F539)),Settings!$C$10)=0),"Round amount | ",""))-3)))</f>
        <v/>
      </c>
      <c r="M539" s="21" t="str">
        <f aca="false">IF(A539="","",IF(COUNTIF($A$9:A539,A539)=1,MAX($M$8:M538)+1,""))</f>
        <v/>
      </c>
    </row>
    <row r="540" customFormat="false" ht="15" hidden="false" customHeight="false" outlineLevel="0" collapsed="false">
      <c r="A540" s="8"/>
      <c r="B540" s="17"/>
      <c r="C540" s="19"/>
      <c r="D540" s="8"/>
      <c r="E540" s="18"/>
      <c r="F540" s="18"/>
      <c r="G540" s="8"/>
      <c r="H540" s="8"/>
      <c r="I540" s="8"/>
      <c r="J540" s="8"/>
      <c r="K540" s="10" t="str">
        <f aca="false">IF(A540="","",IF(ABS(SUMIFS($E$9:$E$2008,$A$9:$A$2008,A540)-SUMIFS($F$9:$F$2008,$A$9:$A$2008,A540))&lt;0.5,"Yes","No"))</f>
        <v/>
      </c>
      <c r="L540" s="10" t="str">
        <f aca="false">IF(A540="","",IF(IF(K540="No","Does not balance | ","")&amp;IF(I540="","Not approved | ",IF(UPPER(TRIM(H540))=UPPER(TRIM(I540)),"Self-approved | ",""))&amp;IF(J540="","No support | ","")&amp;IF(WEEKDAY(B540,2)&gt;5,"Weekend posting | ","")&amp;IF(COUNTIF(Settings!$A$14:$A$43,B540)&gt;0,"Holiday posting | ","")&amp;IF(B540&gt;Settings!$C$8,"Posted after close | ","")&amp;IF(OR(B540&lt;Settings!$C$6,B540&gt;Settings!$C$7),"Outside period | ","")&amp;IF(COUNTIF(Settings!$E$14:$E$43,C540&amp;"")&gt;0,"Sensitive account | ","")&amp;IF(AND(MAX(N(E540),N(F540))&gt;=Settings!$C$9,MOD(MAX(N(E540),N(F540)),Settings!$C$10)=0),"Round amount | ","")="","",LEFT(IF(K540="No","Does not balance | ","")&amp;IF(I540="","Not approved | ",IF(UPPER(TRIM(H540))=UPPER(TRIM(I540)),"Self-approved | ",""))&amp;IF(J540="","No support | ","")&amp;IF(WEEKDAY(B540,2)&gt;5,"Weekend posting | ","")&amp;IF(COUNTIF(Settings!$A$14:$A$43,B540)&gt;0,"Holiday posting | ","")&amp;IF(B540&gt;Settings!$C$8,"Posted after close | ","")&amp;IF(OR(B540&lt;Settings!$C$6,B540&gt;Settings!$C$7),"Outside period | ","")&amp;IF(COUNTIF(Settings!$E$14:$E$43,C540&amp;"")&gt;0,"Sensitive account | ","")&amp;IF(AND(MAX(N(E540),N(F540))&gt;=Settings!$C$9,MOD(MAX(N(E540),N(F540)),Settings!$C$10)=0),"Round amount | ",""),LEN(IF(K540="No","Does not balance | ","")&amp;IF(I540="","Not approved | ",IF(UPPER(TRIM(H540))=UPPER(TRIM(I540)),"Self-approved | ",""))&amp;IF(J540="","No support | ","")&amp;IF(WEEKDAY(B540,2)&gt;5,"Weekend posting | ","")&amp;IF(COUNTIF(Settings!$A$14:$A$43,B540)&gt;0,"Holiday posting | ","")&amp;IF(B540&gt;Settings!$C$8,"Posted after close | ","")&amp;IF(OR(B540&lt;Settings!$C$6,B540&gt;Settings!$C$7),"Outside period | ","")&amp;IF(COUNTIF(Settings!$E$14:$E$43,C540&amp;"")&gt;0,"Sensitive account | ","")&amp;IF(AND(MAX(N(E540),N(F540))&gt;=Settings!$C$9,MOD(MAX(N(E540),N(F540)),Settings!$C$10)=0),"Round amount | ",""))-3)))</f>
        <v/>
      </c>
      <c r="M540" s="21" t="str">
        <f aca="false">IF(A540="","",IF(COUNTIF($A$9:A540,A540)=1,MAX($M$8:M539)+1,""))</f>
        <v/>
      </c>
    </row>
    <row r="541" customFormat="false" ht="15" hidden="false" customHeight="false" outlineLevel="0" collapsed="false">
      <c r="A541" s="8"/>
      <c r="B541" s="17"/>
      <c r="C541" s="19"/>
      <c r="D541" s="8"/>
      <c r="E541" s="18"/>
      <c r="F541" s="18"/>
      <c r="G541" s="8"/>
      <c r="H541" s="8"/>
      <c r="I541" s="8"/>
      <c r="J541" s="8"/>
      <c r="K541" s="10" t="str">
        <f aca="false">IF(A541="","",IF(ABS(SUMIFS($E$9:$E$2008,$A$9:$A$2008,A541)-SUMIFS($F$9:$F$2008,$A$9:$A$2008,A541))&lt;0.5,"Yes","No"))</f>
        <v/>
      </c>
      <c r="L541" s="10" t="str">
        <f aca="false">IF(A541="","",IF(IF(K541="No","Does not balance | ","")&amp;IF(I541="","Not approved | ",IF(UPPER(TRIM(H541))=UPPER(TRIM(I541)),"Self-approved | ",""))&amp;IF(J541="","No support | ","")&amp;IF(WEEKDAY(B541,2)&gt;5,"Weekend posting | ","")&amp;IF(COUNTIF(Settings!$A$14:$A$43,B541)&gt;0,"Holiday posting | ","")&amp;IF(B541&gt;Settings!$C$8,"Posted after close | ","")&amp;IF(OR(B541&lt;Settings!$C$6,B541&gt;Settings!$C$7),"Outside period | ","")&amp;IF(COUNTIF(Settings!$E$14:$E$43,C541&amp;"")&gt;0,"Sensitive account | ","")&amp;IF(AND(MAX(N(E541),N(F541))&gt;=Settings!$C$9,MOD(MAX(N(E541),N(F541)),Settings!$C$10)=0),"Round amount | ","")="","",LEFT(IF(K541="No","Does not balance | ","")&amp;IF(I541="","Not approved | ",IF(UPPER(TRIM(H541))=UPPER(TRIM(I541)),"Self-approved | ",""))&amp;IF(J541="","No support | ","")&amp;IF(WEEKDAY(B541,2)&gt;5,"Weekend posting | ","")&amp;IF(COUNTIF(Settings!$A$14:$A$43,B541)&gt;0,"Holiday posting | ","")&amp;IF(B541&gt;Settings!$C$8,"Posted after close | ","")&amp;IF(OR(B541&lt;Settings!$C$6,B541&gt;Settings!$C$7),"Outside period | ","")&amp;IF(COUNTIF(Settings!$E$14:$E$43,C541&amp;"")&gt;0,"Sensitive account | ","")&amp;IF(AND(MAX(N(E541),N(F541))&gt;=Settings!$C$9,MOD(MAX(N(E541),N(F541)),Settings!$C$10)=0),"Round amount | ",""),LEN(IF(K541="No","Does not balance | ","")&amp;IF(I541="","Not approved | ",IF(UPPER(TRIM(H541))=UPPER(TRIM(I541)),"Self-approved | ",""))&amp;IF(J541="","No support | ","")&amp;IF(WEEKDAY(B541,2)&gt;5,"Weekend posting | ","")&amp;IF(COUNTIF(Settings!$A$14:$A$43,B541)&gt;0,"Holiday posting | ","")&amp;IF(B541&gt;Settings!$C$8,"Posted after close | ","")&amp;IF(OR(B541&lt;Settings!$C$6,B541&gt;Settings!$C$7),"Outside period | ","")&amp;IF(COUNTIF(Settings!$E$14:$E$43,C541&amp;"")&gt;0,"Sensitive account | ","")&amp;IF(AND(MAX(N(E541),N(F541))&gt;=Settings!$C$9,MOD(MAX(N(E541),N(F541)),Settings!$C$10)=0),"Round amount | ",""))-3)))</f>
        <v/>
      </c>
      <c r="M541" s="21" t="str">
        <f aca="false">IF(A541="","",IF(COUNTIF($A$9:A541,A541)=1,MAX($M$8:M540)+1,""))</f>
        <v/>
      </c>
    </row>
    <row r="542" customFormat="false" ht="15" hidden="false" customHeight="false" outlineLevel="0" collapsed="false">
      <c r="A542" s="8"/>
      <c r="B542" s="17"/>
      <c r="C542" s="19"/>
      <c r="D542" s="8"/>
      <c r="E542" s="18"/>
      <c r="F542" s="18"/>
      <c r="G542" s="8"/>
      <c r="H542" s="8"/>
      <c r="I542" s="8"/>
      <c r="J542" s="8"/>
      <c r="K542" s="10" t="str">
        <f aca="false">IF(A542="","",IF(ABS(SUMIFS($E$9:$E$2008,$A$9:$A$2008,A542)-SUMIFS($F$9:$F$2008,$A$9:$A$2008,A542))&lt;0.5,"Yes","No"))</f>
        <v/>
      </c>
      <c r="L542" s="10" t="str">
        <f aca="false">IF(A542="","",IF(IF(K542="No","Does not balance | ","")&amp;IF(I542="","Not approved | ",IF(UPPER(TRIM(H542))=UPPER(TRIM(I542)),"Self-approved | ",""))&amp;IF(J542="","No support | ","")&amp;IF(WEEKDAY(B542,2)&gt;5,"Weekend posting | ","")&amp;IF(COUNTIF(Settings!$A$14:$A$43,B542)&gt;0,"Holiday posting | ","")&amp;IF(B542&gt;Settings!$C$8,"Posted after close | ","")&amp;IF(OR(B542&lt;Settings!$C$6,B542&gt;Settings!$C$7),"Outside period | ","")&amp;IF(COUNTIF(Settings!$E$14:$E$43,C542&amp;"")&gt;0,"Sensitive account | ","")&amp;IF(AND(MAX(N(E542),N(F542))&gt;=Settings!$C$9,MOD(MAX(N(E542),N(F542)),Settings!$C$10)=0),"Round amount | ","")="","",LEFT(IF(K542="No","Does not balance | ","")&amp;IF(I542="","Not approved | ",IF(UPPER(TRIM(H542))=UPPER(TRIM(I542)),"Self-approved | ",""))&amp;IF(J542="","No support | ","")&amp;IF(WEEKDAY(B542,2)&gt;5,"Weekend posting | ","")&amp;IF(COUNTIF(Settings!$A$14:$A$43,B542)&gt;0,"Holiday posting | ","")&amp;IF(B542&gt;Settings!$C$8,"Posted after close | ","")&amp;IF(OR(B542&lt;Settings!$C$6,B542&gt;Settings!$C$7),"Outside period | ","")&amp;IF(COUNTIF(Settings!$E$14:$E$43,C542&amp;"")&gt;0,"Sensitive account | ","")&amp;IF(AND(MAX(N(E542),N(F542))&gt;=Settings!$C$9,MOD(MAX(N(E542),N(F542)),Settings!$C$10)=0),"Round amount | ",""),LEN(IF(K542="No","Does not balance | ","")&amp;IF(I542="","Not approved | ",IF(UPPER(TRIM(H542))=UPPER(TRIM(I542)),"Self-approved | ",""))&amp;IF(J542="","No support | ","")&amp;IF(WEEKDAY(B542,2)&gt;5,"Weekend posting | ","")&amp;IF(COUNTIF(Settings!$A$14:$A$43,B542)&gt;0,"Holiday posting | ","")&amp;IF(B542&gt;Settings!$C$8,"Posted after close | ","")&amp;IF(OR(B542&lt;Settings!$C$6,B542&gt;Settings!$C$7),"Outside period | ","")&amp;IF(COUNTIF(Settings!$E$14:$E$43,C542&amp;"")&gt;0,"Sensitive account | ","")&amp;IF(AND(MAX(N(E542),N(F542))&gt;=Settings!$C$9,MOD(MAX(N(E542),N(F542)),Settings!$C$10)=0),"Round amount | ",""))-3)))</f>
        <v/>
      </c>
      <c r="M542" s="21" t="str">
        <f aca="false">IF(A542="","",IF(COUNTIF($A$9:A542,A542)=1,MAX($M$8:M541)+1,""))</f>
        <v/>
      </c>
    </row>
    <row r="543" customFormat="false" ht="15" hidden="false" customHeight="false" outlineLevel="0" collapsed="false">
      <c r="A543" s="8"/>
      <c r="B543" s="17"/>
      <c r="C543" s="19"/>
      <c r="D543" s="8"/>
      <c r="E543" s="18"/>
      <c r="F543" s="18"/>
      <c r="G543" s="8"/>
      <c r="H543" s="8"/>
      <c r="I543" s="8"/>
      <c r="J543" s="8"/>
      <c r="K543" s="10" t="str">
        <f aca="false">IF(A543="","",IF(ABS(SUMIFS($E$9:$E$2008,$A$9:$A$2008,A543)-SUMIFS($F$9:$F$2008,$A$9:$A$2008,A543))&lt;0.5,"Yes","No"))</f>
        <v/>
      </c>
      <c r="L543" s="10" t="str">
        <f aca="false">IF(A543="","",IF(IF(K543="No","Does not balance | ","")&amp;IF(I543="","Not approved | ",IF(UPPER(TRIM(H543))=UPPER(TRIM(I543)),"Self-approved | ",""))&amp;IF(J543="","No support | ","")&amp;IF(WEEKDAY(B543,2)&gt;5,"Weekend posting | ","")&amp;IF(COUNTIF(Settings!$A$14:$A$43,B543)&gt;0,"Holiday posting | ","")&amp;IF(B543&gt;Settings!$C$8,"Posted after close | ","")&amp;IF(OR(B543&lt;Settings!$C$6,B543&gt;Settings!$C$7),"Outside period | ","")&amp;IF(COUNTIF(Settings!$E$14:$E$43,C543&amp;"")&gt;0,"Sensitive account | ","")&amp;IF(AND(MAX(N(E543),N(F543))&gt;=Settings!$C$9,MOD(MAX(N(E543),N(F543)),Settings!$C$10)=0),"Round amount | ","")="","",LEFT(IF(K543="No","Does not balance | ","")&amp;IF(I543="","Not approved | ",IF(UPPER(TRIM(H543))=UPPER(TRIM(I543)),"Self-approved | ",""))&amp;IF(J543="","No support | ","")&amp;IF(WEEKDAY(B543,2)&gt;5,"Weekend posting | ","")&amp;IF(COUNTIF(Settings!$A$14:$A$43,B543)&gt;0,"Holiday posting | ","")&amp;IF(B543&gt;Settings!$C$8,"Posted after close | ","")&amp;IF(OR(B543&lt;Settings!$C$6,B543&gt;Settings!$C$7),"Outside period | ","")&amp;IF(COUNTIF(Settings!$E$14:$E$43,C543&amp;"")&gt;0,"Sensitive account | ","")&amp;IF(AND(MAX(N(E543),N(F543))&gt;=Settings!$C$9,MOD(MAX(N(E543),N(F543)),Settings!$C$10)=0),"Round amount | ",""),LEN(IF(K543="No","Does not balance | ","")&amp;IF(I543="","Not approved | ",IF(UPPER(TRIM(H543))=UPPER(TRIM(I543)),"Self-approved | ",""))&amp;IF(J543="","No support | ","")&amp;IF(WEEKDAY(B543,2)&gt;5,"Weekend posting | ","")&amp;IF(COUNTIF(Settings!$A$14:$A$43,B543)&gt;0,"Holiday posting | ","")&amp;IF(B543&gt;Settings!$C$8,"Posted after close | ","")&amp;IF(OR(B543&lt;Settings!$C$6,B543&gt;Settings!$C$7),"Outside period | ","")&amp;IF(COUNTIF(Settings!$E$14:$E$43,C543&amp;"")&gt;0,"Sensitive account | ","")&amp;IF(AND(MAX(N(E543),N(F543))&gt;=Settings!$C$9,MOD(MAX(N(E543),N(F543)),Settings!$C$10)=0),"Round amount | ",""))-3)))</f>
        <v/>
      </c>
      <c r="M543" s="21" t="str">
        <f aca="false">IF(A543="","",IF(COUNTIF($A$9:A543,A543)=1,MAX($M$8:M542)+1,""))</f>
        <v/>
      </c>
    </row>
    <row r="544" customFormat="false" ht="15" hidden="false" customHeight="false" outlineLevel="0" collapsed="false">
      <c r="A544" s="8"/>
      <c r="B544" s="17"/>
      <c r="C544" s="19"/>
      <c r="D544" s="8"/>
      <c r="E544" s="18"/>
      <c r="F544" s="18"/>
      <c r="G544" s="8"/>
      <c r="H544" s="8"/>
      <c r="I544" s="8"/>
      <c r="J544" s="8"/>
      <c r="K544" s="10" t="str">
        <f aca="false">IF(A544="","",IF(ABS(SUMIFS($E$9:$E$2008,$A$9:$A$2008,A544)-SUMIFS($F$9:$F$2008,$A$9:$A$2008,A544))&lt;0.5,"Yes","No"))</f>
        <v/>
      </c>
      <c r="L544" s="10" t="str">
        <f aca="false">IF(A544="","",IF(IF(K544="No","Does not balance | ","")&amp;IF(I544="","Not approved | ",IF(UPPER(TRIM(H544))=UPPER(TRIM(I544)),"Self-approved | ",""))&amp;IF(J544="","No support | ","")&amp;IF(WEEKDAY(B544,2)&gt;5,"Weekend posting | ","")&amp;IF(COUNTIF(Settings!$A$14:$A$43,B544)&gt;0,"Holiday posting | ","")&amp;IF(B544&gt;Settings!$C$8,"Posted after close | ","")&amp;IF(OR(B544&lt;Settings!$C$6,B544&gt;Settings!$C$7),"Outside period | ","")&amp;IF(COUNTIF(Settings!$E$14:$E$43,C544&amp;"")&gt;0,"Sensitive account | ","")&amp;IF(AND(MAX(N(E544),N(F544))&gt;=Settings!$C$9,MOD(MAX(N(E544),N(F544)),Settings!$C$10)=0),"Round amount | ","")="","",LEFT(IF(K544="No","Does not balance | ","")&amp;IF(I544="","Not approved | ",IF(UPPER(TRIM(H544))=UPPER(TRIM(I544)),"Self-approved | ",""))&amp;IF(J544="","No support | ","")&amp;IF(WEEKDAY(B544,2)&gt;5,"Weekend posting | ","")&amp;IF(COUNTIF(Settings!$A$14:$A$43,B544)&gt;0,"Holiday posting | ","")&amp;IF(B544&gt;Settings!$C$8,"Posted after close | ","")&amp;IF(OR(B544&lt;Settings!$C$6,B544&gt;Settings!$C$7),"Outside period | ","")&amp;IF(COUNTIF(Settings!$E$14:$E$43,C544&amp;"")&gt;0,"Sensitive account | ","")&amp;IF(AND(MAX(N(E544),N(F544))&gt;=Settings!$C$9,MOD(MAX(N(E544),N(F544)),Settings!$C$10)=0),"Round amount | ",""),LEN(IF(K544="No","Does not balance | ","")&amp;IF(I544="","Not approved | ",IF(UPPER(TRIM(H544))=UPPER(TRIM(I544)),"Self-approved | ",""))&amp;IF(J544="","No support | ","")&amp;IF(WEEKDAY(B544,2)&gt;5,"Weekend posting | ","")&amp;IF(COUNTIF(Settings!$A$14:$A$43,B544)&gt;0,"Holiday posting | ","")&amp;IF(B544&gt;Settings!$C$8,"Posted after close | ","")&amp;IF(OR(B544&lt;Settings!$C$6,B544&gt;Settings!$C$7),"Outside period | ","")&amp;IF(COUNTIF(Settings!$E$14:$E$43,C544&amp;"")&gt;0,"Sensitive account | ","")&amp;IF(AND(MAX(N(E544),N(F544))&gt;=Settings!$C$9,MOD(MAX(N(E544),N(F544)),Settings!$C$10)=0),"Round amount | ",""))-3)))</f>
        <v/>
      </c>
      <c r="M544" s="21" t="str">
        <f aca="false">IF(A544="","",IF(COUNTIF($A$9:A544,A544)=1,MAX($M$8:M543)+1,""))</f>
        <v/>
      </c>
    </row>
    <row r="545" customFormat="false" ht="15" hidden="false" customHeight="false" outlineLevel="0" collapsed="false">
      <c r="A545" s="8"/>
      <c r="B545" s="17"/>
      <c r="C545" s="19"/>
      <c r="D545" s="8"/>
      <c r="E545" s="18"/>
      <c r="F545" s="18"/>
      <c r="G545" s="8"/>
      <c r="H545" s="8"/>
      <c r="I545" s="8"/>
      <c r="J545" s="8"/>
      <c r="K545" s="10" t="str">
        <f aca="false">IF(A545="","",IF(ABS(SUMIFS($E$9:$E$2008,$A$9:$A$2008,A545)-SUMIFS($F$9:$F$2008,$A$9:$A$2008,A545))&lt;0.5,"Yes","No"))</f>
        <v/>
      </c>
      <c r="L545" s="10" t="str">
        <f aca="false">IF(A545="","",IF(IF(K545="No","Does not balance | ","")&amp;IF(I545="","Not approved | ",IF(UPPER(TRIM(H545))=UPPER(TRIM(I545)),"Self-approved | ",""))&amp;IF(J545="","No support | ","")&amp;IF(WEEKDAY(B545,2)&gt;5,"Weekend posting | ","")&amp;IF(COUNTIF(Settings!$A$14:$A$43,B545)&gt;0,"Holiday posting | ","")&amp;IF(B545&gt;Settings!$C$8,"Posted after close | ","")&amp;IF(OR(B545&lt;Settings!$C$6,B545&gt;Settings!$C$7),"Outside period | ","")&amp;IF(COUNTIF(Settings!$E$14:$E$43,C545&amp;"")&gt;0,"Sensitive account | ","")&amp;IF(AND(MAX(N(E545),N(F545))&gt;=Settings!$C$9,MOD(MAX(N(E545),N(F545)),Settings!$C$10)=0),"Round amount | ","")="","",LEFT(IF(K545="No","Does not balance | ","")&amp;IF(I545="","Not approved | ",IF(UPPER(TRIM(H545))=UPPER(TRIM(I545)),"Self-approved | ",""))&amp;IF(J545="","No support | ","")&amp;IF(WEEKDAY(B545,2)&gt;5,"Weekend posting | ","")&amp;IF(COUNTIF(Settings!$A$14:$A$43,B545)&gt;0,"Holiday posting | ","")&amp;IF(B545&gt;Settings!$C$8,"Posted after close | ","")&amp;IF(OR(B545&lt;Settings!$C$6,B545&gt;Settings!$C$7),"Outside period | ","")&amp;IF(COUNTIF(Settings!$E$14:$E$43,C545&amp;"")&gt;0,"Sensitive account | ","")&amp;IF(AND(MAX(N(E545),N(F545))&gt;=Settings!$C$9,MOD(MAX(N(E545),N(F545)),Settings!$C$10)=0),"Round amount | ",""),LEN(IF(K545="No","Does not balance | ","")&amp;IF(I545="","Not approved | ",IF(UPPER(TRIM(H545))=UPPER(TRIM(I545)),"Self-approved | ",""))&amp;IF(J545="","No support | ","")&amp;IF(WEEKDAY(B545,2)&gt;5,"Weekend posting | ","")&amp;IF(COUNTIF(Settings!$A$14:$A$43,B545)&gt;0,"Holiday posting | ","")&amp;IF(B545&gt;Settings!$C$8,"Posted after close | ","")&amp;IF(OR(B545&lt;Settings!$C$6,B545&gt;Settings!$C$7),"Outside period | ","")&amp;IF(COUNTIF(Settings!$E$14:$E$43,C545&amp;"")&gt;0,"Sensitive account | ","")&amp;IF(AND(MAX(N(E545),N(F545))&gt;=Settings!$C$9,MOD(MAX(N(E545),N(F545)),Settings!$C$10)=0),"Round amount | ",""))-3)))</f>
        <v/>
      </c>
      <c r="M545" s="21" t="str">
        <f aca="false">IF(A545="","",IF(COUNTIF($A$9:A545,A545)=1,MAX($M$8:M544)+1,""))</f>
        <v/>
      </c>
    </row>
    <row r="546" customFormat="false" ht="15" hidden="false" customHeight="false" outlineLevel="0" collapsed="false">
      <c r="A546" s="8"/>
      <c r="B546" s="17"/>
      <c r="C546" s="19"/>
      <c r="D546" s="8"/>
      <c r="E546" s="18"/>
      <c r="F546" s="18"/>
      <c r="G546" s="8"/>
      <c r="H546" s="8"/>
      <c r="I546" s="8"/>
      <c r="J546" s="8"/>
      <c r="K546" s="10" t="str">
        <f aca="false">IF(A546="","",IF(ABS(SUMIFS($E$9:$E$2008,$A$9:$A$2008,A546)-SUMIFS($F$9:$F$2008,$A$9:$A$2008,A546))&lt;0.5,"Yes","No"))</f>
        <v/>
      </c>
      <c r="L546" s="10" t="str">
        <f aca="false">IF(A546="","",IF(IF(K546="No","Does not balance | ","")&amp;IF(I546="","Not approved | ",IF(UPPER(TRIM(H546))=UPPER(TRIM(I546)),"Self-approved | ",""))&amp;IF(J546="","No support | ","")&amp;IF(WEEKDAY(B546,2)&gt;5,"Weekend posting | ","")&amp;IF(COUNTIF(Settings!$A$14:$A$43,B546)&gt;0,"Holiday posting | ","")&amp;IF(B546&gt;Settings!$C$8,"Posted after close | ","")&amp;IF(OR(B546&lt;Settings!$C$6,B546&gt;Settings!$C$7),"Outside period | ","")&amp;IF(COUNTIF(Settings!$E$14:$E$43,C546&amp;"")&gt;0,"Sensitive account | ","")&amp;IF(AND(MAX(N(E546),N(F546))&gt;=Settings!$C$9,MOD(MAX(N(E546),N(F546)),Settings!$C$10)=0),"Round amount | ","")="","",LEFT(IF(K546="No","Does not balance | ","")&amp;IF(I546="","Not approved | ",IF(UPPER(TRIM(H546))=UPPER(TRIM(I546)),"Self-approved | ",""))&amp;IF(J546="","No support | ","")&amp;IF(WEEKDAY(B546,2)&gt;5,"Weekend posting | ","")&amp;IF(COUNTIF(Settings!$A$14:$A$43,B546)&gt;0,"Holiday posting | ","")&amp;IF(B546&gt;Settings!$C$8,"Posted after close | ","")&amp;IF(OR(B546&lt;Settings!$C$6,B546&gt;Settings!$C$7),"Outside period | ","")&amp;IF(COUNTIF(Settings!$E$14:$E$43,C546&amp;"")&gt;0,"Sensitive account | ","")&amp;IF(AND(MAX(N(E546),N(F546))&gt;=Settings!$C$9,MOD(MAX(N(E546),N(F546)),Settings!$C$10)=0),"Round amount | ",""),LEN(IF(K546="No","Does not balance | ","")&amp;IF(I546="","Not approved | ",IF(UPPER(TRIM(H546))=UPPER(TRIM(I546)),"Self-approved | ",""))&amp;IF(J546="","No support | ","")&amp;IF(WEEKDAY(B546,2)&gt;5,"Weekend posting | ","")&amp;IF(COUNTIF(Settings!$A$14:$A$43,B546)&gt;0,"Holiday posting | ","")&amp;IF(B546&gt;Settings!$C$8,"Posted after close | ","")&amp;IF(OR(B546&lt;Settings!$C$6,B546&gt;Settings!$C$7),"Outside period | ","")&amp;IF(COUNTIF(Settings!$E$14:$E$43,C546&amp;"")&gt;0,"Sensitive account | ","")&amp;IF(AND(MAX(N(E546),N(F546))&gt;=Settings!$C$9,MOD(MAX(N(E546),N(F546)),Settings!$C$10)=0),"Round amount | ",""))-3)))</f>
        <v/>
      </c>
      <c r="M546" s="21" t="str">
        <f aca="false">IF(A546="","",IF(COUNTIF($A$9:A546,A546)=1,MAX($M$8:M545)+1,""))</f>
        <v/>
      </c>
    </row>
    <row r="547" customFormat="false" ht="15" hidden="false" customHeight="false" outlineLevel="0" collapsed="false">
      <c r="A547" s="8"/>
      <c r="B547" s="17"/>
      <c r="C547" s="19"/>
      <c r="D547" s="8"/>
      <c r="E547" s="18"/>
      <c r="F547" s="18"/>
      <c r="G547" s="8"/>
      <c r="H547" s="8"/>
      <c r="I547" s="8"/>
      <c r="J547" s="8"/>
      <c r="K547" s="10" t="str">
        <f aca="false">IF(A547="","",IF(ABS(SUMIFS($E$9:$E$2008,$A$9:$A$2008,A547)-SUMIFS($F$9:$F$2008,$A$9:$A$2008,A547))&lt;0.5,"Yes","No"))</f>
        <v/>
      </c>
      <c r="L547" s="10" t="str">
        <f aca="false">IF(A547="","",IF(IF(K547="No","Does not balance | ","")&amp;IF(I547="","Not approved | ",IF(UPPER(TRIM(H547))=UPPER(TRIM(I547)),"Self-approved | ",""))&amp;IF(J547="","No support | ","")&amp;IF(WEEKDAY(B547,2)&gt;5,"Weekend posting | ","")&amp;IF(COUNTIF(Settings!$A$14:$A$43,B547)&gt;0,"Holiday posting | ","")&amp;IF(B547&gt;Settings!$C$8,"Posted after close | ","")&amp;IF(OR(B547&lt;Settings!$C$6,B547&gt;Settings!$C$7),"Outside period | ","")&amp;IF(COUNTIF(Settings!$E$14:$E$43,C547&amp;"")&gt;0,"Sensitive account | ","")&amp;IF(AND(MAX(N(E547),N(F547))&gt;=Settings!$C$9,MOD(MAX(N(E547),N(F547)),Settings!$C$10)=0),"Round amount | ","")="","",LEFT(IF(K547="No","Does not balance | ","")&amp;IF(I547="","Not approved | ",IF(UPPER(TRIM(H547))=UPPER(TRIM(I547)),"Self-approved | ",""))&amp;IF(J547="","No support | ","")&amp;IF(WEEKDAY(B547,2)&gt;5,"Weekend posting | ","")&amp;IF(COUNTIF(Settings!$A$14:$A$43,B547)&gt;0,"Holiday posting | ","")&amp;IF(B547&gt;Settings!$C$8,"Posted after close | ","")&amp;IF(OR(B547&lt;Settings!$C$6,B547&gt;Settings!$C$7),"Outside period | ","")&amp;IF(COUNTIF(Settings!$E$14:$E$43,C547&amp;"")&gt;0,"Sensitive account | ","")&amp;IF(AND(MAX(N(E547),N(F547))&gt;=Settings!$C$9,MOD(MAX(N(E547),N(F547)),Settings!$C$10)=0),"Round amount | ",""),LEN(IF(K547="No","Does not balance | ","")&amp;IF(I547="","Not approved | ",IF(UPPER(TRIM(H547))=UPPER(TRIM(I547)),"Self-approved | ",""))&amp;IF(J547="","No support | ","")&amp;IF(WEEKDAY(B547,2)&gt;5,"Weekend posting | ","")&amp;IF(COUNTIF(Settings!$A$14:$A$43,B547)&gt;0,"Holiday posting | ","")&amp;IF(B547&gt;Settings!$C$8,"Posted after close | ","")&amp;IF(OR(B547&lt;Settings!$C$6,B547&gt;Settings!$C$7),"Outside period | ","")&amp;IF(COUNTIF(Settings!$E$14:$E$43,C547&amp;"")&gt;0,"Sensitive account | ","")&amp;IF(AND(MAX(N(E547),N(F547))&gt;=Settings!$C$9,MOD(MAX(N(E547),N(F547)),Settings!$C$10)=0),"Round amount | ",""))-3)))</f>
        <v/>
      </c>
      <c r="M547" s="21" t="str">
        <f aca="false">IF(A547="","",IF(COUNTIF($A$9:A547,A547)=1,MAX($M$8:M546)+1,""))</f>
        <v/>
      </c>
    </row>
    <row r="548" customFormat="false" ht="15" hidden="false" customHeight="false" outlineLevel="0" collapsed="false">
      <c r="A548" s="8"/>
      <c r="B548" s="17"/>
      <c r="C548" s="19"/>
      <c r="D548" s="8"/>
      <c r="E548" s="18"/>
      <c r="F548" s="18"/>
      <c r="G548" s="8"/>
      <c r="H548" s="8"/>
      <c r="I548" s="8"/>
      <c r="J548" s="8"/>
      <c r="K548" s="10" t="str">
        <f aca="false">IF(A548="","",IF(ABS(SUMIFS($E$9:$E$2008,$A$9:$A$2008,A548)-SUMIFS($F$9:$F$2008,$A$9:$A$2008,A548))&lt;0.5,"Yes","No"))</f>
        <v/>
      </c>
      <c r="L548" s="10" t="str">
        <f aca="false">IF(A548="","",IF(IF(K548="No","Does not balance | ","")&amp;IF(I548="","Not approved | ",IF(UPPER(TRIM(H548))=UPPER(TRIM(I548)),"Self-approved | ",""))&amp;IF(J548="","No support | ","")&amp;IF(WEEKDAY(B548,2)&gt;5,"Weekend posting | ","")&amp;IF(COUNTIF(Settings!$A$14:$A$43,B548)&gt;0,"Holiday posting | ","")&amp;IF(B548&gt;Settings!$C$8,"Posted after close | ","")&amp;IF(OR(B548&lt;Settings!$C$6,B548&gt;Settings!$C$7),"Outside period | ","")&amp;IF(COUNTIF(Settings!$E$14:$E$43,C548&amp;"")&gt;0,"Sensitive account | ","")&amp;IF(AND(MAX(N(E548),N(F548))&gt;=Settings!$C$9,MOD(MAX(N(E548),N(F548)),Settings!$C$10)=0),"Round amount | ","")="","",LEFT(IF(K548="No","Does not balance | ","")&amp;IF(I548="","Not approved | ",IF(UPPER(TRIM(H548))=UPPER(TRIM(I548)),"Self-approved | ",""))&amp;IF(J548="","No support | ","")&amp;IF(WEEKDAY(B548,2)&gt;5,"Weekend posting | ","")&amp;IF(COUNTIF(Settings!$A$14:$A$43,B548)&gt;0,"Holiday posting | ","")&amp;IF(B548&gt;Settings!$C$8,"Posted after close | ","")&amp;IF(OR(B548&lt;Settings!$C$6,B548&gt;Settings!$C$7),"Outside period | ","")&amp;IF(COUNTIF(Settings!$E$14:$E$43,C548&amp;"")&gt;0,"Sensitive account | ","")&amp;IF(AND(MAX(N(E548),N(F548))&gt;=Settings!$C$9,MOD(MAX(N(E548),N(F548)),Settings!$C$10)=0),"Round amount | ",""),LEN(IF(K548="No","Does not balance | ","")&amp;IF(I548="","Not approved | ",IF(UPPER(TRIM(H548))=UPPER(TRIM(I548)),"Self-approved | ",""))&amp;IF(J548="","No support | ","")&amp;IF(WEEKDAY(B548,2)&gt;5,"Weekend posting | ","")&amp;IF(COUNTIF(Settings!$A$14:$A$43,B548)&gt;0,"Holiday posting | ","")&amp;IF(B548&gt;Settings!$C$8,"Posted after close | ","")&amp;IF(OR(B548&lt;Settings!$C$6,B548&gt;Settings!$C$7),"Outside period | ","")&amp;IF(COUNTIF(Settings!$E$14:$E$43,C548&amp;"")&gt;0,"Sensitive account | ","")&amp;IF(AND(MAX(N(E548),N(F548))&gt;=Settings!$C$9,MOD(MAX(N(E548),N(F548)),Settings!$C$10)=0),"Round amount | ",""))-3)))</f>
        <v/>
      </c>
      <c r="M548" s="21" t="str">
        <f aca="false">IF(A548="","",IF(COUNTIF($A$9:A548,A548)=1,MAX($M$8:M547)+1,""))</f>
        <v/>
      </c>
    </row>
    <row r="549" customFormat="false" ht="15" hidden="false" customHeight="false" outlineLevel="0" collapsed="false">
      <c r="A549" s="8"/>
      <c r="B549" s="17"/>
      <c r="C549" s="19"/>
      <c r="D549" s="8"/>
      <c r="E549" s="18"/>
      <c r="F549" s="18"/>
      <c r="G549" s="8"/>
      <c r="H549" s="8"/>
      <c r="I549" s="8"/>
      <c r="J549" s="8"/>
      <c r="K549" s="10" t="str">
        <f aca="false">IF(A549="","",IF(ABS(SUMIFS($E$9:$E$2008,$A$9:$A$2008,A549)-SUMIFS($F$9:$F$2008,$A$9:$A$2008,A549))&lt;0.5,"Yes","No"))</f>
        <v/>
      </c>
      <c r="L549" s="10" t="str">
        <f aca="false">IF(A549="","",IF(IF(K549="No","Does not balance | ","")&amp;IF(I549="","Not approved | ",IF(UPPER(TRIM(H549))=UPPER(TRIM(I549)),"Self-approved | ",""))&amp;IF(J549="","No support | ","")&amp;IF(WEEKDAY(B549,2)&gt;5,"Weekend posting | ","")&amp;IF(COUNTIF(Settings!$A$14:$A$43,B549)&gt;0,"Holiday posting | ","")&amp;IF(B549&gt;Settings!$C$8,"Posted after close | ","")&amp;IF(OR(B549&lt;Settings!$C$6,B549&gt;Settings!$C$7),"Outside period | ","")&amp;IF(COUNTIF(Settings!$E$14:$E$43,C549&amp;"")&gt;0,"Sensitive account | ","")&amp;IF(AND(MAX(N(E549),N(F549))&gt;=Settings!$C$9,MOD(MAX(N(E549),N(F549)),Settings!$C$10)=0),"Round amount | ","")="","",LEFT(IF(K549="No","Does not balance | ","")&amp;IF(I549="","Not approved | ",IF(UPPER(TRIM(H549))=UPPER(TRIM(I549)),"Self-approved | ",""))&amp;IF(J549="","No support | ","")&amp;IF(WEEKDAY(B549,2)&gt;5,"Weekend posting | ","")&amp;IF(COUNTIF(Settings!$A$14:$A$43,B549)&gt;0,"Holiday posting | ","")&amp;IF(B549&gt;Settings!$C$8,"Posted after close | ","")&amp;IF(OR(B549&lt;Settings!$C$6,B549&gt;Settings!$C$7),"Outside period | ","")&amp;IF(COUNTIF(Settings!$E$14:$E$43,C549&amp;"")&gt;0,"Sensitive account | ","")&amp;IF(AND(MAX(N(E549),N(F549))&gt;=Settings!$C$9,MOD(MAX(N(E549),N(F549)),Settings!$C$10)=0),"Round amount | ",""),LEN(IF(K549="No","Does not balance | ","")&amp;IF(I549="","Not approved | ",IF(UPPER(TRIM(H549))=UPPER(TRIM(I549)),"Self-approved | ",""))&amp;IF(J549="","No support | ","")&amp;IF(WEEKDAY(B549,2)&gt;5,"Weekend posting | ","")&amp;IF(COUNTIF(Settings!$A$14:$A$43,B549)&gt;0,"Holiday posting | ","")&amp;IF(B549&gt;Settings!$C$8,"Posted after close | ","")&amp;IF(OR(B549&lt;Settings!$C$6,B549&gt;Settings!$C$7),"Outside period | ","")&amp;IF(COUNTIF(Settings!$E$14:$E$43,C549&amp;"")&gt;0,"Sensitive account | ","")&amp;IF(AND(MAX(N(E549),N(F549))&gt;=Settings!$C$9,MOD(MAX(N(E549),N(F549)),Settings!$C$10)=0),"Round amount | ",""))-3)))</f>
        <v/>
      </c>
      <c r="M549" s="21" t="str">
        <f aca="false">IF(A549="","",IF(COUNTIF($A$9:A549,A549)=1,MAX($M$8:M548)+1,""))</f>
        <v/>
      </c>
    </row>
    <row r="550" customFormat="false" ht="15" hidden="false" customHeight="false" outlineLevel="0" collapsed="false">
      <c r="A550" s="8"/>
      <c r="B550" s="17"/>
      <c r="C550" s="19"/>
      <c r="D550" s="8"/>
      <c r="E550" s="18"/>
      <c r="F550" s="18"/>
      <c r="G550" s="8"/>
      <c r="H550" s="8"/>
      <c r="I550" s="8"/>
      <c r="J550" s="8"/>
      <c r="K550" s="10" t="str">
        <f aca="false">IF(A550="","",IF(ABS(SUMIFS($E$9:$E$2008,$A$9:$A$2008,A550)-SUMIFS($F$9:$F$2008,$A$9:$A$2008,A550))&lt;0.5,"Yes","No"))</f>
        <v/>
      </c>
      <c r="L550" s="10" t="str">
        <f aca="false">IF(A550="","",IF(IF(K550="No","Does not balance | ","")&amp;IF(I550="","Not approved | ",IF(UPPER(TRIM(H550))=UPPER(TRIM(I550)),"Self-approved | ",""))&amp;IF(J550="","No support | ","")&amp;IF(WEEKDAY(B550,2)&gt;5,"Weekend posting | ","")&amp;IF(COUNTIF(Settings!$A$14:$A$43,B550)&gt;0,"Holiday posting | ","")&amp;IF(B550&gt;Settings!$C$8,"Posted after close | ","")&amp;IF(OR(B550&lt;Settings!$C$6,B550&gt;Settings!$C$7),"Outside period | ","")&amp;IF(COUNTIF(Settings!$E$14:$E$43,C550&amp;"")&gt;0,"Sensitive account | ","")&amp;IF(AND(MAX(N(E550),N(F550))&gt;=Settings!$C$9,MOD(MAX(N(E550),N(F550)),Settings!$C$10)=0),"Round amount | ","")="","",LEFT(IF(K550="No","Does not balance | ","")&amp;IF(I550="","Not approved | ",IF(UPPER(TRIM(H550))=UPPER(TRIM(I550)),"Self-approved | ",""))&amp;IF(J550="","No support | ","")&amp;IF(WEEKDAY(B550,2)&gt;5,"Weekend posting | ","")&amp;IF(COUNTIF(Settings!$A$14:$A$43,B550)&gt;0,"Holiday posting | ","")&amp;IF(B550&gt;Settings!$C$8,"Posted after close | ","")&amp;IF(OR(B550&lt;Settings!$C$6,B550&gt;Settings!$C$7),"Outside period | ","")&amp;IF(COUNTIF(Settings!$E$14:$E$43,C550&amp;"")&gt;0,"Sensitive account | ","")&amp;IF(AND(MAX(N(E550),N(F550))&gt;=Settings!$C$9,MOD(MAX(N(E550),N(F550)),Settings!$C$10)=0),"Round amount | ",""),LEN(IF(K550="No","Does not balance | ","")&amp;IF(I550="","Not approved | ",IF(UPPER(TRIM(H550))=UPPER(TRIM(I550)),"Self-approved | ",""))&amp;IF(J550="","No support | ","")&amp;IF(WEEKDAY(B550,2)&gt;5,"Weekend posting | ","")&amp;IF(COUNTIF(Settings!$A$14:$A$43,B550)&gt;0,"Holiday posting | ","")&amp;IF(B550&gt;Settings!$C$8,"Posted after close | ","")&amp;IF(OR(B550&lt;Settings!$C$6,B550&gt;Settings!$C$7),"Outside period | ","")&amp;IF(COUNTIF(Settings!$E$14:$E$43,C550&amp;"")&gt;0,"Sensitive account | ","")&amp;IF(AND(MAX(N(E550),N(F550))&gt;=Settings!$C$9,MOD(MAX(N(E550),N(F550)),Settings!$C$10)=0),"Round amount | ",""))-3)))</f>
        <v/>
      </c>
      <c r="M550" s="21" t="str">
        <f aca="false">IF(A550="","",IF(COUNTIF($A$9:A550,A550)=1,MAX($M$8:M549)+1,""))</f>
        <v/>
      </c>
    </row>
    <row r="551" customFormat="false" ht="15" hidden="false" customHeight="false" outlineLevel="0" collapsed="false">
      <c r="A551" s="8"/>
      <c r="B551" s="17"/>
      <c r="C551" s="19"/>
      <c r="D551" s="8"/>
      <c r="E551" s="18"/>
      <c r="F551" s="18"/>
      <c r="G551" s="8"/>
      <c r="H551" s="8"/>
      <c r="I551" s="8"/>
      <c r="J551" s="8"/>
      <c r="K551" s="10" t="str">
        <f aca="false">IF(A551="","",IF(ABS(SUMIFS($E$9:$E$2008,$A$9:$A$2008,A551)-SUMIFS($F$9:$F$2008,$A$9:$A$2008,A551))&lt;0.5,"Yes","No"))</f>
        <v/>
      </c>
      <c r="L551" s="10" t="str">
        <f aca="false">IF(A551="","",IF(IF(K551="No","Does not balance | ","")&amp;IF(I551="","Not approved | ",IF(UPPER(TRIM(H551))=UPPER(TRIM(I551)),"Self-approved | ",""))&amp;IF(J551="","No support | ","")&amp;IF(WEEKDAY(B551,2)&gt;5,"Weekend posting | ","")&amp;IF(COUNTIF(Settings!$A$14:$A$43,B551)&gt;0,"Holiday posting | ","")&amp;IF(B551&gt;Settings!$C$8,"Posted after close | ","")&amp;IF(OR(B551&lt;Settings!$C$6,B551&gt;Settings!$C$7),"Outside period | ","")&amp;IF(COUNTIF(Settings!$E$14:$E$43,C551&amp;"")&gt;0,"Sensitive account | ","")&amp;IF(AND(MAX(N(E551),N(F551))&gt;=Settings!$C$9,MOD(MAX(N(E551),N(F551)),Settings!$C$10)=0),"Round amount | ","")="","",LEFT(IF(K551="No","Does not balance | ","")&amp;IF(I551="","Not approved | ",IF(UPPER(TRIM(H551))=UPPER(TRIM(I551)),"Self-approved | ",""))&amp;IF(J551="","No support | ","")&amp;IF(WEEKDAY(B551,2)&gt;5,"Weekend posting | ","")&amp;IF(COUNTIF(Settings!$A$14:$A$43,B551)&gt;0,"Holiday posting | ","")&amp;IF(B551&gt;Settings!$C$8,"Posted after close | ","")&amp;IF(OR(B551&lt;Settings!$C$6,B551&gt;Settings!$C$7),"Outside period | ","")&amp;IF(COUNTIF(Settings!$E$14:$E$43,C551&amp;"")&gt;0,"Sensitive account | ","")&amp;IF(AND(MAX(N(E551),N(F551))&gt;=Settings!$C$9,MOD(MAX(N(E551),N(F551)),Settings!$C$10)=0),"Round amount | ",""),LEN(IF(K551="No","Does not balance | ","")&amp;IF(I551="","Not approved | ",IF(UPPER(TRIM(H551))=UPPER(TRIM(I551)),"Self-approved | ",""))&amp;IF(J551="","No support | ","")&amp;IF(WEEKDAY(B551,2)&gt;5,"Weekend posting | ","")&amp;IF(COUNTIF(Settings!$A$14:$A$43,B551)&gt;0,"Holiday posting | ","")&amp;IF(B551&gt;Settings!$C$8,"Posted after close | ","")&amp;IF(OR(B551&lt;Settings!$C$6,B551&gt;Settings!$C$7),"Outside period | ","")&amp;IF(COUNTIF(Settings!$E$14:$E$43,C551&amp;"")&gt;0,"Sensitive account | ","")&amp;IF(AND(MAX(N(E551),N(F551))&gt;=Settings!$C$9,MOD(MAX(N(E551),N(F551)),Settings!$C$10)=0),"Round amount | ",""))-3)))</f>
        <v/>
      </c>
      <c r="M551" s="21" t="str">
        <f aca="false">IF(A551="","",IF(COUNTIF($A$9:A551,A551)=1,MAX($M$8:M550)+1,""))</f>
        <v/>
      </c>
    </row>
    <row r="552" customFormat="false" ht="15" hidden="false" customHeight="false" outlineLevel="0" collapsed="false">
      <c r="A552" s="8"/>
      <c r="B552" s="17"/>
      <c r="C552" s="19"/>
      <c r="D552" s="8"/>
      <c r="E552" s="18"/>
      <c r="F552" s="18"/>
      <c r="G552" s="8"/>
      <c r="H552" s="8"/>
      <c r="I552" s="8"/>
      <c r="J552" s="8"/>
      <c r="K552" s="10" t="str">
        <f aca="false">IF(A552="","",IF(ABS(SUMIFS($E$9:$E$2008,$A$9:$A$2008,A552)-SUMIFS($F$9:$F$2008,$A$9:$A$2008,A552))&lt;0.5,"Yes","No"))</f>
        <v/>
      </c>
      <c r="L552" s="10" t="str">
        <f aca="false">IF(A552="","",IF(IF(K552="No","Does not balance | ","")&amp;IF(I552="","Not approved | ",IF(UPPER(TRIM(H552))=UPPER(TRIM(I552)),"Self-approved | ",""))&amp;IF(J552="","No support | ","")&amp;IF(WEEKDAY(B552,2)&gt;5,"Weekend posting | ","")&amp;IF(COUNTIF(Settings!$A$14:$A$43,B552)&gt;0,"Holiday posting | ","")&amp;IF(B552&gt;Settings!$C$8,"Posted after close | ","")&amp;IF(OR(B552&lt;Settings!$C$6,B552&gt;Settings!$C$7),"Outside period | ","")&amp;IF(COUNTIF(Settings!$E$14:$E$43,C552&amp;"")&gt;0,"Sensitive account | ","")&amp;IF(AND(MAX(N(E552),N(F552))&gt;=Settings!$C$9,MOD(MAX(N(E552),N(F552)),Settings!$C$10)=0),"Round amount | ","")="","",LEFT(IF(K552="No","Does not balance | ","")&amp;IF(I552="","Not approved | ",IF(UPPER(TRIM(H552))=UPPER(TRIM(I552)),"Self-approved | ",""))&amp;IF(J552="","No support | ","")&amp;IF(WEEKDAY(B552,2)&gt;5,"Weekend posting | ","")&amp;IF(COUNTIF(Settings!$A$14:$A$43,B552)&gt;0,"Holiday posting | ","")&amp;IF(B552&gt;Settings!$C$8,"Posted after close | ","")&amp;IF(OR(B552&lt;Settings!$C$6,B552&gt;Settings!$C$7),"Outside period | ","")&amp;IF(COUNTIF(Settings!$E$14:$E$43,C552&amp;"")&gt;0,"Sensitive account | ","")&amp;IF(AND(MAX(N(E552),N(F552))&gt;=Settings!$C$9,MOD(MAX(N(E552),N(F552)),Settings!$C$10)=0),"Round amount | ",""),LEN(IF(K552="No","Does not balance | ","")&amp;IF(I552="","Not approved | ",IF(UPPER(TRIM(H552))=UPPER(TRIM(I552)),"Self-approved | ",""))&amp;IF(J552="","No support | ","")&amp;IF(WEEKDAY(B552,2)&gt;5,"Weekend posting | ","")&amp;IF(COUNTIF(Settings!$A$14:$A$43,B552)&gt;0,"Holiday posting | ","")&amp;IF(B552&gt;Settings!$C$8,"Posted after close | ","")&amp;IF(OR(B552&lt;Settings!$C$6,B552&gt;Settings!$C$7),"Outside period | ","")&amp;IF(COUNTIF(Settings!$E$14:$E$43,C552&amp;"")&gt;0,"Sensitive account | ","")&amp;IF(AND(MAX(N(E552),N(F552))&gt;=Settings!$C$9,MOD(MAX(N(E552),N(F552)),Settings!$C$10)=0),"Round amount | ",""))-3)))</f>
        <v/>
      </c>
      <c r="M552" s="21" t="str">
        <f aca="false">IF(A552="","",IF(COUNTIF($A$9:A552,A552)=1,MAX($M$8:M551)+1,""))</f>
        <v/>
      </c>
    </row>
    <row r="553" customFormat="false" ht="15" hidden="false" customHeight="false" outlineLevel="0" collapsed="false">
      <c r="A553" s="8"/>
      <c r="B553" s="17"/>
      <c r="C553" s="19"/>
      <c r="D553" s="8"/>
      <c r="E553" s="18"/>
      <c r="F553" s="18"/>
      <c r="G553" s="8"/>
      <c r="H553" s="8"/>
      <c r="I553" s="8"/>
      <c r="J553" s="8"/>
      <c r="K553" s="10" t="str">
        <f aca="false">IF(A553="","",IF(ABS(SUMIFS($E$9:$E$2008,$A$9:$A$2008,A553)-SUMIFS($F$9:$F$2008,$A$9:$A$2008,A553))&lt;0.5,"Yes","No"))</f>
        <v/>
      </c>
      <c r="L553" s="10" t="str">
        <f aca="false">IF(A553="","",IF(IF(K553="No","Does not balance | ","")&amp;IF(I553="","Not approved | ",IF(UPPER(TRIM(H553))=UPPER(TRIM(I553)),"Self-approved | ",""))&amp;IF(J553="","No support | ","")&amp;IF(WEEKDAY(B553,2)&gt;5,"Weekend posting | ","")&amp;IF(COUNTIF(Settings!$A$14:$A$43,B553)&gt;0,"Holiday posting | ","")&amp;IF(B553&gt;Settings!$C$8,"Posted after close | ","")&amp;IF(OR(B553&lt;Settings!$C$6,B553&gt;Settings!$C$7),"Outside period | ","")&amp;IF(COUNTIF(Settings!$E$14:$E$43,C553&amp;"")&gt;0,"Sensitive account | ","")&amp;IF(AND(MAX(N(E553),N(F553))&gt;=Settings!$C$9,MOD(MAX(N(E553),N(F553)),Settings!$C$10)=0),"Round amount | ","")="","",LEFT(IF(K553="No","Does not balance | ","")&amp;IF(I553="","Not approved | ",IF(UPPER(TRIM(H553))=UPPER(TRIM(I553)),"Self-approved | ",""))&amp;IF(J553="","No support | ","")&amp;IF(WEEKDAY(B553,2)&gt;5,"Weekend posting | ","")&amp;IF(COUNTIF(Settings!$A$14:$A$43,B553)&gt;0,"Holiday posting | ","")&amp;IF(B553&gt;Settings!$C$8,"Posted after close | ","")&amp;IF(OR(B553&lt;Settings!$C$6,B553&gt;Settings!$C$7),"Outside period | ","")&amp;IF(COUNTIF(Settings!$E$14:$E$43,C553&amp;"")&gt;0,"Sensitive account | ","")&amp;IF(AND(MAX(N(E553),N(F553))&gt;=Settings!$C$9,MOD(MAX(N(E553),N(F553)),Settings!$C$10)=0),"Round amount | ",""),LEN(IF(K553="No","Does not balance | ","")&amp;IF(I553="","Not approved | ",IF(UPPER(TRIM(H553))=UPPER(TRIM(I553)),"Self-approved | ",""))&amp;IF(J553="","No support | ","")&amp;IF(WEEKDAY(B553,2)&gt;5,"Weekend posting | ","")&amp;IF(COUNTIF(Settings!$A$14:$A$43,B553)&gt;0,"Holiday posting | ","")&amp;IF(B553&gt;Settings!$C$8,"Posted after close | ","")&amp;IF(OR(B553&lt;Settings!$C$6,B553&gt;Settings!$C$7),"Outside period | ","")&amp;IF(COUNTIF(Settings!$E$14:$E$43,C553&amp;"")&gt;0,"Sensitive account | ","")&amp;IF(AND(MAX(N(E553),N(F553))&gt;=Settings!$C$9,MOD(MAX(N(E553),N(F553)),Settings!$C$10)=0),"Round amount | ",""))-3)))</f>
        <v/>
      </c>
      <c r="M553" s="21" t="str">
        <f aca="false">IF(A553="","",IF(COUNTIF($A$9:A553,A553)=1,MAX($M$8:M552)+1,""))</f>
        <v/>
      </c>
    </row>
    <row r="554" customFormat="false" ht="15" hidden="false" customHeight="false" outlineLevel="0" collapsed="false">
      <c r="A554" s="8"/>
      <c r="B554" s="17"/>
      <c r="C554" s="19"/>
      <c r="D554" s="8"/>
      <c r="E554" s="18"/>
      <c r="F554" s="18"/>
      <c r="G554" s="8"/>
      <c r="H554" s="8"/>
      <c r="I554" s="8"/>
      <c r="J554" s="8"/>
      <c r="K554" s="10" t="str">
        <f aca="false">IF(A554="","",IF(ABS(SUMIFS($E$9:$E$2008,$A$9:$A$2008,A554)-SUMIFS($F$9:$F$2008,$A$9:$A$2008,A554))&lt;0.5,"Yes","No"))</f>
        <v/>
      </c>
      <c r="L554" s="10" t="str">
        <f aca="false">IF(A554="","",IF(IF(K554="No","Does not balance | ","")&amp;IF(I554="","Not approved | ",IF(UPPER(TRIM(H554))=UPPER(TRIM(I554)),"Self-approved | ",""))&amp;IF(J554="","No support | ","")&amp;IF(WEEKDAY(B554,2)&gt;5,"Weekend posting | ","")&amp;IF(COUNTIF(Settings!$A$14:$A$43,B554)&gt;0,"Holiday posting | ","")&amp;IF(B554&gt;Settings!$C$8,"Posted after close | ","")&amp;IF(OR(B554&lt;Settings!$C$6,B554&gt;Settings!$C$7),"Outside period | ","")&amp;IF(COUNTIF(Settings!$E$14:$E$43,C554&amp;"")&gt;0,"Sensitive account | ","")&amp;IF(AND(MAX(N(E554),N(F554))&gt;=Settings!$C$9,MOD(MAX(N(E554),N(F554)),Settings!$C$10)=0),"Round amount | ","")="","",LEFT(IF(K554="No","Does not balance | ","")&amp;IF(I554="","Not approved | ",IF(UPPER(TRIM(H554))=UPPER(TRIM(I554)),"Self-approved | ",""))&amp;IF(J554="","No support | ","")&amp;IF(WEEKDAY(B554,2)&gt;5,"Weekend posting | ","")&amp;IF(COUNTIF(Settings!$A$14:$A$43,B554)&gt;0,"Holiday posting | ","")&amp;IF(B554&gt;Settings!$C$8,"Posted after close | ","")&amp;IF(OR(B554&lt;Settings!$C$6,B554&gt;Settings!$C$7),"Outside period | ","")&amp;IF(COUNTIF(Settings!$E$14:$E$43,C554&amp;"")&gt;0,"Sensitive account | ","")&amp;IF(AND(MAX(N(E554),N(F554))&gt;=Settings!$C$9,MOD(MAX(N(E554),N(F554)),Settings!$C$10)=0),"Round amount | ",""),LEN(IF(K554="No","Does not balance | ","")&amp;IF(I554="","Not approved | ",IF(UPPER(TRIM(H554))=UPPER(TRIM(I554)),"Self-approved | ",""))&amp;IF(J554="","No support | ","")&amp;IF(WEEKDAY(B554,2)&gt;5,"Weekend posting | ","")&amp;IF(COUNTIF(Settings!$A$14:$A$43,B554)&gt;0,"Holiday posting | ","")&amp;IF(B554&gt;Settings!$C$8,"Posted after close | ","")&amp;IF(OR(B554&lt;Settings!$C$6,B554&gt;Settings!$C$7),"Outside period | ","")&amp;IF(COUNTIF(Settings!$E$14:$E$43,C554&amp;"")&gt;0,"Sensitive account | ","")&amp;IF(AND(MAX(N(E554),N(F554))&gt;=Settings!$C$9,MOD(MAX(N(E554),N(F554)),Settings!$C$10)=0),"Round amount | ",""))-3)))</f>
        <v/>
      </c>
      <c r="M554" s="21" t="str">
        <f aca="false">IF(A554="","",IF(COUNTIF($A$9:A554,A554)=1,MAX($M$8:M553)+1,""))</f>
        <v/>
      </c>
    </row>
    <row r="555" customFormat="false" ht="15" hidden="false" customHeight="false" outlineLevel="0" collapsed="false">
      <c r="A555" s="8"/>
      <c r="B555" s="17"/>
      <c r="C555" s="19"/>
      <c r="D555" s="8"/>
      <c r="E555" s="18"/>
      <c r="F555" s="18"/>
      <c r="G555" s="8"/>
      <c r="H555" s="8"/>
      <c r="I555" s="8"/>
      <c r="J555" s="8"/>
      <c r="K555" s="10" t="str">
        <f aca="false">IF(A555="","",IF(ABS(SUMIFS($E$9:$E$2008,$A$9:$A$2008,A555)-SUMIFS($F$9:$F$2008,$A$9:$A$2008,A555))&lt;0.5,"Yes","No"))</f>
        <v/>
      </c>
      <c r="L555" s="10" t="str">
        <f aca="false">IF(A555="","",IF(IF(K555="No","Does not balance | ","")&amp;IF(I555="","Not approved | ",IF(UPPER(TRIM(H555))=UPPER(TRIM(I555)),"Self-approved | ",""))&amp;IF(J555="","No support | ","")&amp;IF(WEEKDAY(B555,2)&gt;5,"Weekend posting | ","")&amp;IF(COUNTIF(Settings!$A$14:$A$43,B555)&gt;0,"Holiday posting | ","")&amp;IF(B555&gt;Settings!$C$8,"Posted after close | ","")&amp;IF(OR(B555&lt;Settings!$C$6,B555&gt;Settings!$C$7),"Outside period | ","")&amp;IF(COUNTIF(Settings!$E$14:$E$43,C555&amp;"")&gt;0,"Sensitive account | ","")&amp;IF(AND(MAX(N(E555),N(F555))&gt;=Settings!$C$9,MOD(MAX(N(E555),N(F555)),Settings!$C$10)=0),"Round amount | ","")="","",LEFT(IF(K555="No","Does not balance | ","")&amp;IF(I555="","Not approved | ",IF(UPPER(TRIM(H555))=UPPER(TRIM(I555)),"Self-approved | ",""))&amp;IF(J555="","No support | ","")&amp;IF(WEEKDAY(B555,2)&gt;5,"Weekend posting | ","")&amp;IF(COUNTIF(Settings!$A$14:$A$43,B555)&gt;0,"Holiday posting | ","")&amp;IF(B555&gt;Settings!$C$8,"Posted after close | ","")&amp;IF(OR(B555&lt;Settings!$C$6,B555&gt;Settings!$C$7),"Outside period | ","")&amp;IF(COUNTIF(Settings!$E$14:$E$43,C555&amp;"")&gt;0,"Sensitive account | ","")&amp;IF(AND(MAX(N(E555),N(F555))&gt;=Settings!$C$9,MOD(MAX(N(E555),N(F555)),Settings!$C$10)=0),"Round amount | ",""),LEN(IF(K555="No","Does not balance | ","")&amp;IF(I555="","Not approved | ",IF(UPPER(TRIM(H555))=UPPER(TRIM(I555)),"Self-approved | ",""))&amp;IF(J555="","No support | ","")&amp;IF(WEEKDAY(B555,2)&gt;5,"Weekend posting | ","")&amp;IF(COUNTIF(Settings!$A$14:$A$43,B555)&gt;0,"Holiday posting | ","")&amp;IF(B555&gt;Settings!$C$8,"Posted after close | ","")&amp;IF(OR(B555&lt;Settings!$C$6,B555&gt;Settings!$C$7),"Outside period | ","")&amp;IF(COUNTIF(Settings!$E$14:$E$43,C555&amp;"")&gt;0,"Sensitive account | ","")&amp;IF(AND(MAX(N(E555),N(F555))&gt;=Settings!$C$9,MOD(MAX(N(E555),N(F555)),Settings!$C$10)=0),"Round amount | ",""))-3)))</f>
        <v/>
      </c>
      <c r="M555" s="21" t="str">
        <f aca="false">IF(A555="","",IF(COUNTIF($A$9:A555,A555)=1,MAX($M$8:M554)+1,""))</f>
        <v/>
      </c>
    </row>
    <row r="556" customFormat="false" ht="15" hidden="false" customHeight="false" outlineLevel="0" collapsed="false">
      <c r="A556" s="8"/>
      <c r="B556" s="17"/>
      <c r="C556" s="19"/>
      <c r="D556" s="8"/>
      <c r="E556" s="18"/>
      <c r="F556" s="18"/>
      <c r="G556" s="8"/>
      <c r="H556" s="8"/>
      <c r="I556" s="8"/>
      <c r="J556" s="8"/>
      <c r="K556" s="10" t="str">
        <f aca="false">IF(A556="","",IF(ABS(SUMIFS($E$9:$E$2008,$A$9:$A$2008,A556)-SUMIFS($F$9:$F$2008,$A$9:$A$2008,A556))&lt;0.5,"Yes","No"))</f>
        <v/>
      </c>
      <c r="L556" s="10" t="str">
        <f aca="false">IF(A556="","",IF(IF(K556="No","Does not balance | ","")&amp;IF(I556="","Not approved | ",IF(UPPER(TRIM(H556))=UPPER(TRIM(I556)),"Self-approved | ",""))&amp;IF(J556="","No support | ","")&amp;IF(WEEKDAY(B556,2)&gt;5,"Weekend posting | ","")&amp;IF(COUNTIF(Settings!$A$14:$A$43,B556)&gt;0,"Holiday posting | ","")&amp;IF(B556&gt;Settings!$C$8,"Posted after close | ","")&amp;IF(OR(B556&lt;Settings!$C$6,B556&gt;Settings!$C$7),"Outside period | ","")&amp;IF(COUNTIF(Settings!$E$14:$E$43,C556&amp;"")&gt;0,"Sensitive account | ","")&amp;IF(AND(MAX(N(E556),N(F556))&gt;=Settings!$C$9,MOD(MAX(N(E556),N(F556)),Settings!$C$10)=0),"Round amount | ","")="","",LEFT(IF(K556="No","Does not balance | ","")&amp;IF(I556="","Not approved | ",IF(UPPER(TRIM(H556))=UPPER(TRIM(I556)),"Self-approved | ",""))&amp;IF(J556="","No support | ","")&amp;IF(WEEKDAY(B556,2)&gt;5,"Weekend posting | ","")&amp;IF(COUNTIF(Settings!$A$14:$A$43,B556)&gt;0,"Holiday posting | ","")&amp;IF(B556&gt;Settings!$C$8,"Posted after close | ","")&amp;IF(OR(B556&lt;Settings!$C$6,B556&gt;Settings!$C$7),"Outside period | ","")&amp;IF(COUNTIF(Settings!$E$14:$E$43,C556&amp;"")&gt;0,"Sensitive account | ","")&amp;IF(AND(MAX(N(E556),N(F556))&gt;=Settings!$C$9,MOD(MAX(N(E556),N(F556)),Settings!$C$10)=0),"Round amount | ",""),LEN(IF(K556="No","Does not balance | ","")&amp;IF(I556="","Not approved | ",IF(UPPER(TRIM(H556))=UPPER(TRIM(I556)),"Self-approved | ",""))&amp;IF(J556="","No support | ","")&amp;IF(WEEKDAY(B556,2)&gt;5,"Weekend posting | ","")&amp;IF(COUNTIF(Settings!$A$14:$A$43,B556)&gt;0,"Holiday posting | ","")&amp;IF(B556&gt;Settings!$C$8,"Posted after close | ","")&amp;IF(OR(B556&lt;Settings!$C$6,B556&gt;Settings!$C$7),"Outside period | ","")&amp;IF(COUNTIF(Settings!$E$14:$E$43,C556&amp;"")&gt;0,"Sensitive account | ","")&amp;IF(AND(MAX(N(E556),N(F556))&gt;=Settings!$C$9,MOD(MAX(N(E556),N(F556)),Settings!$C$10)=0),"Round amount | ",""))-3)))</f>
        <v/>
      </c>
      <c r="M556" s="21" t="str">
        <f aca="false">IF(A556="","",IF(COUNTIF($A$9:A556,A556)=1,MAX($M$8:M555)+1,""))</f>
        <v/>
      </c>
    </row>
    <row r="557" customFormat="false" ht="15" hidden="false" customHeight="false" outlineLevel="0" collapsed="false">
      <c r="A557" s="8"/>
      <c r="B557" s="17"/>
      <c r="C557" s="19"/>
      <c r="D557" s="8"/>
      <c r="E557" s="18"/>
      <c r="F557" s="18"/>
      <c r="G557" s="8"/>
      <c r="H557" s="8"/>
      <c r="I557" s="8"/>
      <c r="J557" s="8"/>
      <c r="K557" s="10" t="str">
        <f aca="false">IF(A557="","",IF(ABS(SUMIFS($E$9:$E$2008,$A$9:$A$2008,A557)-SUMIFS($F$9:$F$2008,$A$9:$A$2008,A557))&lt;0.5,"Yes","No"))</f>
        <v/>
      </c>
      <c r="L557" s="10" t="str">
        <f aca="false">IF(A557="","",IF(IF(K557="No","Does not balance | ","")&amp;IF(I557="","Not approved | ",IF(UPPER(TRIM(H557))=UPPER(TRIM(I557)),"Self-approved | ",""))&amp;IF(J557="","No support | ","")&amp;IF(WEEKDAY(B557,2)&gt;5,"Weekend posting | ","")&amp;IF(COUNTIF(Settings!$A$14:$A$43,B557)&gt;0,"Holiday posting | ","")&amp;IF(B557&gt;Settings!$C$8,"Posted after close | ","")&amp;IF(OR(B557&lt;Settings!$C$6,B557&gt;Settings!$C$7),"Outside period | ","")&amp;IF(COUNTIF(Settings!$E$14:$E$43,C557&amp;"")&gt;0,"Sensitive account | ","")&amp;IF(AND(MAX(N(E557),N(F557))&gt;=Settings!$C$9,MOD(MAX(N(E557),N(F557)),Settings!$C$10)=0),"Round amount | ","")="","",LEFT(IF(K557="No","Does not balance | ","")&amp;IF(I557="","Not approved | ",IF(UPPER(TRIM(H557))=UPPER(TRIM(I557)),"Self-approved | ",""))&amp;IF(J557="","No support | ","")&amp;IF(WEEKDAY(B557,2)&gt;5,"Weekend posting | ","")&amp;IF(COUNTIF(Settings!$A$14:$A$43,B557)&gt;0,"Holiday posting | ","")&amp;IF(B557&gt;Settings!$C$8,"Posted after close | ","")&amp;IF(OR(B557&lt;Settings!$C$6,B557&gt;Settings!$C$7),"Outside period | ","")&amp;IF(COUNTIF(Settings!$E$14:$E$43,C557&amp;"")&gt;0,"Sensitive account | ","")&amp;IF(AND(MAX(N(E557),N(F557))&gt;=Settings!$C$9,MOD(MAX(N(E557),N(F557)),Settings!$C$10)=0),"Round amount | ",""),LEN(IF(K557="No","Does not balance | ","")&amp;IF(I557="","Not approved | ",IF(UPPER(TRIM(H557))=UPPER(TRIM(I557)),"Self-approved | ",""))&amp;IF(J557="","No support | ","")&amp;IF(WEEKDAY(B557,2)&gt;5,"Weekend posting | ","")&amp;IF(COUNTIF(Settings!$A$14:$A$43,B557)&gt;0,"Holiday posting | ","")&amp;IF(B557&gt;Settings!$C$8,"Posted after close | ","")&amp;IF(OR(B557&lt;Settings!$C$6,B557&gt;Settings!$C$7),"Outside period | ","")&amp;IF(COUNTIF(Settings!$E$14:$E$43,C557&amp;"")&gt;0,"Sensitive account | ","")&amp;IF(AND(MAX(N(E557),N(F557))&gt;=Settings!$C$9,MOD(MAX(N(E557),N(F557)),Settings!$C$10)=0),"Round amount | ",""))-3)))</f>
        <v/>
      </c>
      <c r="M557" s="21" t="str">
        <f aca="false">IF(A557="","",IF(COUNTIF($A$9:A557,A557)=1,MAX($M$8:M556)+1,""))</f>
        <v/>
      </c>
    </row>
    <row r="558" customFormat="false" ht="15" hidden="false" customHeight="false" outlineLevel="0" collapsed="false">
      <c r="A558" s="8"/>
      <c r="B558" s="17"/>
      <c r="C558" s="19"/>
      <c r="D558" s="8"/>
      <c r="E558" s="18"/>
      <c r="F558" s="18"/>
      <c r="G558" s="8"/>
      <c r="H558" s="8"/>
      <c r="I558" s="8"/>
      <c r="J558" s="8"/>
      <c r="K558" s="10" t="str">
        <f aca="false">IF(A558="","",IF(ABS(SUMIFS($E$9:$E$2008,$A$9:$A$2008,A558)-SUMIFS($F$9:$F$2008,$A$9:$A$2008,A558))&lt;0.5,"Yes","No"))</f>
        <v/>
      </c>
      <c r="L558" s="10" t="str">
        <f aca="false">IF(A558="","",IF(IF(K558="No","Does not balance | ","")&amp;IF(I558="","Not approved | ",IF(UPPER(TRIM(H558))=UPPER(TRIM(I558)),"Self-approved | ",""))&amp;IF(J558="","No support | ","")&amp;IF(WEEKDAY(B558,2)&gt;5,"Weekend posting | ","")&amp;IF(COUNTIF(Settings!$A$14:$A$43,B558)&gt;0,"Holiday posting | ","")&amp;IF(B558&gt;Settings!$C$8,"Posted after close | ","")&amp;IF(OR(B558&lt;Settings!$C$6,B558&gt;Settings!$C$7),"Outside period | ","")&amp;IF(COUNTIF(Settings!$E$14:$E$43,C558&amp;"")&gt;0,"Sensitive account | ","")&amp;IF(AND(MAX(N(E558),N(F558))&gt;=Settings!$C$9,MOD(MAX(N(E558),N(F558)),Settings!$C$10)=0),"Round amount | ","")="","",LEFT(IF(K558="No","Does not balance | ","")&amp;IF(I558="","Not approved | ",IF(UPPER(TRIM(H558))=UPPER(TRIM(I558)),"Self-approved | ",""))&amp;IF(J558="","No support | ","")&amp;IF(WEEKDAY(B558,2)&gt;5,"Weekend posting | ","")&amp;IF(COUNTIF(Settings!$A$14:$A$43,B558)&gt;0,"Holiday posting | ","")&amp;IF(B558&gt;Settings!$C$8,"Posted after close | ","")&amp;IF(OR(B558&lt;Settings!$C$6,B558&gt;Settings!$C$7),"Outside period | ","")&amp;IF(COUNTIF(Settings!$E$14:$E$43,C558&amp;"")&gt;0,"Sensitive account | ","")&amp;IF(AND(MAX(N(E558),N(F558))&gt;=Settings!$C$9,MOD(MAX(N(E558),N(F558)),Settings!$C$10)=0),"Round amount | ",""),LEN(IF(K558="No","Does not balance | ","")&amp;IF(I558="","Not approved | ",IF(UPPER(TRIM(H558))=UPPER(TRIM(I558)),"Self-approved | ",""))&amp;IF(J558="","No support | ","")&amp;IF(WEEKDAY(B558,2)&gt;5,"Weekend posting | ","")&amp;IF(COUNTIF(Settings!$A$14:$A$43,B558)&gt;0,"Holiday posting | ","")&amp;IF(B558&gt;Settings!$C$8,"Posted after close | ","")&amp;IF(OR(B558&lt;Settings!$C$6,B558&gt;Settings!$C$7),"Outside period | ","")&amp;IF(COUNTIF(Settings!$E$14:$E$43,C558&amp;"")&gt;0,"Sensitive account | ","")&amp;IF(AND(MAX(N(E558),N(F558))&gt;=Settings!$C$9,MOD(MAX(N(E558),N(F558)),Settings!$C$10)=0),"Round amount | ",""))-3)))</f>
        <v/>
      </c>
      <c r="M558" s="21" t="str">
        <f aca="false">IF(A558="","",IF(COUNTIF($A$9:A558,A558)=1,MAX($M$8:M557)+1,""))</f>
        <v/>
      </c>
    </row>
    <row r="559" customFormat="false" ht="15" hidden="false" customHeight="false" outlineLevel="0" collapsed="false">
      <c r="A559" s="8"/>
      <c r="B559" s="17"/>
      <c r="C559" s="19"/>
      <c r="D559" s="8"/>
      <c r="E559" s="18"/>
      <c r="F559" s="18"/>
      <c r="G559" s="8"/>
      <c r="H559" s="8"/>
      <c r="I559" s="8"/>
      <c r="J559" s="8"/>
      <c r="K559" s="10" t="str">
        <f aca="false">IF(A559="","",IF(ABS(SUMIFS($E$9:$E$2008,$A$9:$A$2008,A559)-SUMIFS($F$9:$F$2008,$A$9:$A$2008,A559))&lt;0.5,"Yes","No"))</f>
        <v/>
      </c>
      <c r="L559" s="10" t="str">
        <f aca="false">IF(A559="","",IF(IF(K559="No","Does not balance | ","")&amp;IF(I559="","Not approved | ",IF(UPPER(TRIM(H559))=UPPER(TRIM(I559)),"Self-approved | ",""))&amp;IF(J559="","No support | ","")&amp;IF(WEEKDAY(B559,2)&gt;5,"Weekend posting | ","")&amp;IF(COUNTIF(Settings!$A$14:$A$43,B559)&gt;0,"Holiday posting | ","")&amp;IF(B559&gt;Settings!$C$8,"Posted after close | ","")&amp;IF(OR(B559&lt;Settings!$C$6,B559&gt;Settings!$C$7),"Outside period | ","")&amp;IF(COUNTIF(Settings!$E$14:$E$43,C559&amp;"")&gt;0,"Sensitive account | ","")&amp;IF(AND(MAX(N(E559),N(F559))&gt;=Settings!$C$9,MOD(MAX(N(E559),N(F559)),Settings!$C$10)=0),"Round amount | ","")="","",LEFT(IF(K559="No","Does not balance | ","")&amp;IF(I559="","Not approved | ",IF(UPPER(TRIM(H559))=UPPER(TRIM(I559)),"Self-approved | ",""))&amp;IF(J559="","No support | ","")&amp;IF(WEEKDAY(B559,2)&gt;5,"Weekend posting | ","")&amp;IF(COUNTIF(Settings!$A$14:$A$43,B559)&gt;0,"Holiday posting | ","")&amp;IF(B559&gt;Settings!$C$8,"Posted after close | ","")&amp;IF(OR(B559&lt;Settings!$C$6,B559&gt;Settings!$C$7),"Outside period | ","")&amp;IF(COUNTIF(Settings!$E$14:$E$43,C559&amp;"")&gt;0,"Sensitive account | ","")&amp;IF(AND(MAX(N(E559),N(F559))&gt;=Settings!$C$9,MOD(MAX(N(E559),N(F559)),Settings!$C$10)=0),"Round amount | ",""),LEN(IF(K559="No","Does not balance | ","")&amp;IF(I559="","Not approved | ",IF(UPPER(TRIM(H559))=UPPER(TRIM(I559)),"Self-approved | ",""))&amp;IF(J559="","No support | ","")&amp;IF(WEEKDAY(B559,2)&gt;5,"Weekend posting | ","")&amp;IF(COUNTIF(Settings!$A$14:$A$43,B559)&gt;0,"Holiday posting | ","")&amp;IF(B559&gt;Settings!$C$8,"Posted after close | ","")&amp;IF(OR(B559&lt;Settings!$C$6,B559&gt;Settings!$C$7),"Outside period | ","")&amp;IF(COUNTIF(Settings!$E$14:$E$43,C559&amp;"")&gt;0,"Sensitive account | ","")&amp;IF(AND(MAX(N(E559),N(F559))&gt;=Settings!$C$9,MOD(MAX(N(E559),N(F559)),Settings!$C$10)=0),"Round amount | ",""))-3)))</f>
        <v/>
      </c>
      <c r="M559" s="21" t="str">
        <f aca="false">IF(A559="","",IF(COUNTIF($A$9:A559,A559)=1,MAX($M$8:M558)+1,""))</f>
        <v/>
      </c>
    </row>
    <row r="560" customFormat="false" ht="15" hidden="false" customHeight="false" outlineLevel="0" collapsed="false">
      <c r="A560" s="8"/>
      <c r="B560" s="17"/>
      <c r="C560" s="19"/>
      <c r="D560" s="8"/>
      <c r="E560" s="18"/>
      <c r="F560" s="18"/>
      <c r="G560" s="8"/>
      <c r="H560" s="8"/>
      <c r="I560" s="8"/>
      <c r="J560" s="8"/>
      <c r="K560" s="10" t="str">
        <f aca="false">IF(A560="","",IF(ABS(SUMIFS($E$9:$E$2008,$A$9:$A$2008,A560)-SUMIFS($F$9:$F$2008,$A$9:$A$2008,A560))&lt;0.5,"Yes","No"))</f>
        <v/>
      </c>
      <c r="L560" s="10" t="str">
        <f aca="false">IF(A560="","",IF(IF(K560="No","Does not balance | ","")&amp;IF(I560="","Not approved | ",IF(UPPER(TRIM(H560))=UPPER(TRIM(I560)),"Self-approved | ",""))&amp;IF(J560="","No support | ","")&amp;IF(WEEKDAY(B560,2)&gt;5,"Weekend posting | ","")&amp;IF(COUNTIF(Settings!$A$14:$A$43,B560)&gt;0,"Holiday posting | ","")&amp;IF(B560&gt;Settings!$C$8,"Posted after close | ","")&amp;IF(OR(B560&lt;Settings!$C$6,B560&gt;Settings!$C$7),"Outside period | ","")&amp;IF(COUNTIF(Settings!$E$14:$E$43,C560&amp;"")&gt;0,"Sensitive account | ","")&amp;IF(AND(MAX(N(E560),N(F560))&gt;=Settings!$C$9,MOD(MAX(N(E560),N(F560)),Settings!$C$10)=0),"Round amount | ","")="","",LEFT(IF(K560="No","Does not balance | ","")&amp;IF(I560="","Not approved | ",IF(UPPER(TRIM(H560))=UPPER(TRIM(I560)),"Self-approved | ",""))&amp;IF(J560="","No support | ","")&amp;IF(WEEKDAY(B560,2)&gt;5,"Weekend posting | ","")&amp;IF(COUNTIF(Settings!$A$14:$A$43,B560)&gt;0,"Holiday posting | ","")&amp;IF(B560&gt;Settings!$C$8,"Posted after close | ","")&amp;IF(OR(B560&lt;Settings!$C$6,B560&gt;Settings!$C$7),"Outside period | ","")&amp;IF(COUNTIF(Settings!$E$14:$E$43,C560&amp;"")&gt;0,"Sensitive account | ","")&amp;IF(AND(MAX(N(E560),N(F560))&gt;=Settings!$C$9,MOD(MAX(N(E560),N(F560)),Settings!$C$10)=0),"Round amount | ",""),LEN(IF(K560="No","Does not balance | ","")&amp;IF(I560="","Not approved | ",IF(UPPER(TRIM(H560))=UPPER(TRIM(I560)),"Self-approved | ",""))&amp;IF(J560="","No support | ","")&amp;IF(WEEKDAY(B560,2)&gt;5,"Weekend posting | ","")&amp;IF(COUNTIF(Settings!$A$14:$A$43,B560)&gt;0,"Holiday posting | ","")&amp;IF(B560&gt;Settings!$C$8,"Posted after close | ","")&amp;IF(OR(B560&lt;Settings!$C$6,B560&gt;Settings!$C$7),"Outside period | ","")&amp;IF(COUNTIF(Settings!$E$14:$E$43,C560&amp;"")&gt;0,"Sensitive account | ","")&amp;IF(AND(MAX(N(E560),N(F560))&gt;=Settings!$C$9,MOD(MAX(N(E560),N(F560)),Settings!$C$10)=0),"Round amount | ",""))-3)))</f>
        <v/>
      </c>
      <c r="M560" s="21" t="str">
        <f aca="false">IF(A560="","",IF(COUNTIF($A$9:A560,A560)=1,MAX($M$8:M559)+1,""))</f>
        <v/>
      </c>
    </row>
    <row r="561" customFormat="false" ht="15" hidden="false" customHeight="false" outlineLevel="0" collapsed="false">
      <c r="A561" s="8"/>
      <c r="B561" s="17"/>
      <c r="C561" s="19"/>
      <c r="D561" s="8"/>
      <c r="E561" s="18"/>
      <c r="F561" s="18"/>
      <c r="G561" s="8"/>
      <c r="H561" s="8"/>
      <c r="I561" s="8"/>
      <c r="J561" s="8"/>
      <c r="K561" s="10" t="str">
        <f aca="false">IF(A561="","",IF(ABS(SUMIFS($E$9:$E$2008,$A$9:$A$2008,A561)-SUMIFS($F$9:$F$2008,$A$9:$A$2008,A561))&lt;0.5,"Yes","No"))</f>
        <v/>
      </c>
      <c r="L561" s="10" t="str">
        <f aca="false">IF(A561="","",IF(IF(K561="No","Does not balance | ","")&amp;IF(I561="","Not approved | ",IF(UPPER(TRIM(H561))=UPPER(TRIM(I561)),"Self-approved | ",""))&amp;IF(J561="","No support | ","")&amp;IF(WEEKDAY(B561,2)&gt;5,"Weekend posting | ","")&amp;IF(COUNTIF(Settings!$A$14:$A$43,B561)&gt;0,"Holiday posting | ","")&amp;IF(B561&gt;Settings!$C$8,"Posted after close | ","")&amp;IF(OR(B561&lt;Settings!$C$6,B561&gt;Settings!$C$7),"Outside period | ","")&amp;IF(COUNTIF(Settings!$E$14:$E$43,C561&amp;"")&gt;0,"Sensitive account | ","")&amp;IF(AND(MAX(N(E561),N(F561))&gt;=Settings!$C$9,MOD(MAX(N(E561),N(F561)),Settings!$C$10)=0),"Round amount | ","")="","",LEFT(IF(K561="No","Does not balance | ","")&amp;IF(I561="","Not approved | ",IF(UPPER(TRIM(H561))=UPPER(TRIM(I561)),"Self-approved | ",""))&amp;IF(J561="","No support | ","")&amp;IF(WEEKDAY(B561,2)&gt;5,"Weekend posting | ","")&amp;IF(COUNTIF(Settings!$A$14:$A$43,B561)&gt;0,"Holiday posting | ","")&amp;IF(B561&gt;Settings!$C$8,"Posted after close | ","")&amp;IF(OR(B561&lt;Settings!$C$6,B561&gt;Settings!$C$7),"Outside period | ","")&amp;IF(COUNTIF(Settings!$E$14:$E$43,C561&amp;"")&gt;0,"Sensitive account | ","")&amp;IF(AND(MAX(N(E561),N(F561))&gt;=Settings!$C$9,MOD(MAX(N(E561),N(F561)),Settings!$C$10)=0),"Round amount | ",""),LEN(IF(K561="No","Does not balance | ","")&amp;IF(I561="","Not approved | ",IF(UPPER(TRIM(H561))=UPPER(TRIM(I561)),"Self-approved | ",""))&amp;IF(J561="","No support | ","")&amp;IF(WEEKDAY(B561,2)&gt;5,"Weekend posting | ","")&amp;IF(COUNTIF(Settings!$A$14:$A$43,B561)&gt;0,"Holiday posting | ","")&amp;IF(B561&gt;Settings!$C$8,"Posted after close | ","")&amp;IF(OR(B561&lt;Settings!$C$6,B561&gt;Settings!$C$7),"Outside period | ","")&amp;IF(COUNTIF(Settings!$E$14:$E$43,C561&amp;"")&gt;0,"Sensitive account | ","")&amp;IF(AND(MAX(N(E561),N(F561))&gt;=Settings!$C$9,MOD(MAX(N(E561),N(F561)),Settings!$C$10)=0),"Round amount | ",""))-3)))</f>
        <v/>
      </c>
      <c r="M561" s="21" t="str">
        <f aca="false">IF(A561="","",IF(COUNTIF($A$9:A561,A561)=1,MAX($M$8:M560)+1,""))</f>
        <v/>
      </c>
    </row>
    <row r="562" customFormat="false" ht="15" hidden="false" customHeight="false" outlineLevel="0" collapsed="false">
      <c r="A562" s="8"/>
      <c r="B562" s="17"/>
      <c r="C562" s="19"/>
      <c r="D562" s="8"/>
      <c r="E562" s="18"/>
      <c r="F562" s="18"/>
      <c r="G562" s="8"/>
      <c r="H562" s="8"/>
      <c r="I562" s="8"/>
      <c r="J562" s="8"/>
      <c r="K562" s="10" t="str">
        <f aca="false">IF(A562="","",IF(ABS(SUMIFS($E$9:$E$2008,$A$9:$A$2008,A562)-SUMIFS($F$9:$F$2008,$A$9:$A$2008,A562))&lt;0.5,"Yes","No"))</f>
        <v/>
      </c>
      <c r="L562" s="10" t="str">
        <f aca="false">IF(A562="","",IF(IF(K562="No","Does not balance | ","")&amp;IF(I562="","Not approved | ",IF(UPPER(TRIM(H562))=UPPER(TRIM(I562)),"Self-approved | ",""))&amp;IF(J562="","No support | ","")&amp;IF(WEEKDAY(B562,2)&gt;5,"Weekend posting | ","")&amp;IF(COUNTIF(Settings!$A$14:$A$43,B562)&gt;0,"Holiday posting | ","")&amp;IF(B562&gt;Settings!$C$8,"Posted after close | ","")&amp;IF(OR(B562&lt;Settings!$C$6,B562&gt;Settings!$C$7),"Outside period | ","")&amp;IF(COUNTIF(Settings!$E$14:$E$43,C562&amp;"")&gt;0,"Sensitive account | ","")&amp;IF(AND(MAX(N(E562),N(F562))&gt;=Settings!$C$9,MOD(MAX(N(E562),N(F562)),Settings!$C$10)=0),"Round amount | ","")="","",LEFT(IF(K562="No","Does not balance | ","")&amp;IF(I562="","Not approved | ",IF(UPPER(TRIM(H562))=UPPER(TRIM(I562)),"Self-approved | ",""))&amp;IF(J562="","No support | ","")&amp;IF(WEEKDAY(B562,2)&gt;5,"Weekend posting | ","")&amp;IF(COUNTIF(Settings!$A$14:$A$43,B562)&gt;0,"Holiday posting | ","")&amp;IF(B562&gt;Settings!$C$8,"Posted after close | ","")&amp;IF(OR(B562&lt;Settings!$C$6,B562&gt;Settings!$C$7),"Outside period | ","")&amp;IF(COUNTIF(Settings!$E$14:$E$43,C562&amp;"")&gt;0,"Sensitive account | ","")&amp;IF(AND(MAX(N(E562),N(F562))&gt;=Settings!$C$9,MOD(MAX(N(E562),N(F562)),Settings!$C$10)=0),"Round amount | ",""),LEN(IF(K562="No","Does not balance | ","")&amp;IF(I562="","Not approved | ",IF(UPPER(TRIM(H562))=UPPER(TRIM(I562)),"Self-approved | ",""))&amp;IF(J562="","No support | ","")&amp;IF(WEEKDAY(B562,2)&gt;5,"Weekend posting | ","")&amp;IF(COUNTIF(Settings!$A$14:$A$43,B562)&gt;0,"Holiday posting | ","")&amp;IF(B562&gt;Settings!$C$8,"Posted after close | ","")&amp;IF(OR(B562&lt;Settings!$C$6,B562&gt;Settings!$C$7),"Outside period | ","")&amp;IF(COUNTIF(Settings!$E$14:$E$43,C562&amp;"")&gt;0,"Sensitive account | ","")&amp;IF(AND(MAX(N(E562),N(F562))&gt;=Settings!$C$9,MOD(MAX(N(E562),N(F562)),Settings!$C$10)=0),"Round amount | ",""))-3)))</f>
        <v/>
      </c>
      <c r="M562" s="21" t="str">
        <f aca="false">IF(A562="","",IF(COUNTIF($A$9:A562,A562)=1,MAX($M$8:M561)+1,""))</f>
        <v/>
      </c>
    </row>
    <row r="563" customFormat="false" ht="15" hidden="false" customHeight="false" outlineLevel="0" collapsed="false">
      <c r="A563" s="8"/>
      <c r="B563" s="17"/>
      <c r="C563" s="19"/>
      <c r="D563" s="8"/>
      <c r="E563" s="18"/>
      <c r="F563" s="18"/>
      <c r="G563" s="8"/>
      <c r="H563" s="8"/>
      <c r="I563" s="8"/>
      <c r="J563" s="8"/>
      <c r="K563" s="10" t="str">
        <f aca="false">IF(A563="","",IF(ABS(SUMIFS($E$9:$E$2008,$A$9:$A$2008,A563)-SUMIFS($F$9:$F$2008,$A$9:$A$2008,A563))&lt;0.5,"Yes","No"))</f>
        <v/>
      </c>
      <c r="L563" s="10" t="str">
        <f aca="false">IF(A563="","",IF(IF(K563="No","Does not balance | ","")&amp;IF(I563="","Not approved | ",IF(UPPER(TRIM(H563))=UPPER(TRIM(I563)),"Self-approved | ",""))&amp;IF(J563="","No support | ","")&amp;IF(WEEKDAY(B563,2)&gt;5,"Weekend posting | ","")&amp;IF(COUNTIF(Settings!$A$14:$A$43,B563)&gt;0,"Holiday posting | ","")&amp;IF(B563&gt;Settings!$C$8,"Posted after close | ","")&amp;IF(OR(B563&lt;Settings!$C$6,B563&gt;Settings!$C$7),"Outside period | ","")&amp;IF(COUNTIF(Settings!$E$14:$E$43,C563&amp;"")&gt;0,"Sensitive account | ","")&amp;IF(AND(MAX(N(E563),N(F563))&gt;=Settings!$C$9,MOD(MAX(N(E563),N(F563)),Settings!$C$10)=0),"Round amount | ","")="","",LEFT(IF(K563="No","Does not balance | ","")&amp;IF(I563="","Not approved | ",IF(UPPER(TRIM(H563))=UPPER(TRIM(I563)),"Self-approved | ",""))&amp;IF(J563="","No support | ","")&amp;IF(WEEKDAY(B563,2)&gt;5,"Weekend posting | ","")&amp;IF(COUNTIF(Settings!$A$14:$A$43,B563)&gt;0,"Holiday posting | ","")&amp;IF(B563&gt;Settings!$C$8,"Posted after close | ","")&amp;IF(OR(B563&lt;Settings!$C$6,B563&gt;Settings!$C$7),"Outside period | ","")&amp;IF(COUNTIF(Settings!$E$14:$E$43,C563&amp;"")&gt;0,"Sensitive account | ","")&amp;IF(AND(MAX(N(E563),N(F563))&gt;=Settings!$C$9,MOD(MAX(N(E563),N(F563)),Settings!$C$10)=0),"Round amount | ",""),LEN(IF(K563="No","Does not balance | ","")&amp;IF(I563="","Not approved | ",IF(UPPER(TRIM(H563))=UPPER(TRIM(I563)),"Self-approved | ",""))&amp;IF(J563="","No support | ","")&amp;IF(WEEKDAY(B563,2)&gt;5,"Weekend posting | ","")&amp;IF(COUNTIF(Settings!$A$14:$A$43,B563)&gt;0,"Holiday posting | ","")&amp;IF(B563&gt;Settings!$C$8,"Posted after close | ","")&amp;IF(OR(B563&lt;Settings!$C$6,B563&gt;Settings!$C$7),"Outside period | ","")&amp;IF(COUNTIF(Settings!$E$14:$E$43,C563&amp;"")&gt;0,"Sensitive account | ","")&amp;IF(AND(MAX(N(E563),N(F563))&gt;=Settings!$C$9,MOD(MAX(N(E563),N(F563)),Settings!$C$10)=0),"Round amount | ",""))-3)))</f>
        <v/>
      </c>
      <c r="M563" s="21" t="str">
        <f aca="false">IF(A563="","",IF(COUNTIF($A$9:A563,A563)=1,MAX($M$8:M562)+1,""))</f>
        <v/>
      </c>
    </row>
    <row r="564" customFormat="false" ht="15" hidden="false" customHeight="false" outlineLevel="0" collapsed="false">
      <c r="A564" s="8"/>
      <c r="B564" s="17"/>
      <c r="C564" s="19"/>
      <c r="D564" s="8"/>
      <c r="E564" s="18"/>
      <c r="F564" s="18"/>
      <c r="G564" s="8"/>
      <c r="H564" s="8"/>
      <c r="I564" s="8"/>
      <c r="J564" s="8"/>
      <c r="K564" s="10" t="str">
        <f aca="false">IF(A564="","",IF(ABS(SUMIFS($E$9:$E$2008,$A$9:$A$2008,A564)-SUMIFS($F$9:$F$2008,$A$9:$A$2008,A564))&lt;0.5,"Yes","No"))</f>
        <v/>
      </c>
      <c r="L564" s="10" t="str">
        <f aca="false">IF(A564="","",IF(IF(K564="No","Does not balance | ","")&amp;IF(I564="","Not approved | ",IF(UPPER(TRIM(H564))=UPPER(TRIM(I564)),"Self-approved | ",""))&amp;IF(J564="","No support | ","")&amp;IF(WEEKDAY(B564,2)&gt;5,"Weekend posting | ","")&amp;IF(COUNTIF(Settings!$A$14:$A$43,B564)&gt;0,"Holiday posting | ","")&amp;IF(B564&gt;Settings!$C$8,"Posted after close | ","")&amp;IF(OR(B564&lt;Settings!$C$6,B564&gt;Settings!$C$7),"Outside period | ","")&amp;IF(COUNTIF(Settings!$E$14:$E$43,C564&amp;"")&gt;0,"Sensitive account | ","")&amp;IF(AND(MAX(N(E564),N(F564))&gt;=Settings!$C$9,MOD(MAX(N(E564),N(F564)),Settings!$C$10)=0),"Round amount | ","")="","",LEFT(IF(K564="No","Does not balance | ","")&amp;IF(I564="","Not approved | ",IF(UPPER(TRIM(H564))=UPPER(TRIM(I564)),"Self-approved | ",""))&amp;IF(J564="","No support | ","")&amp;IF(WEEKDAY(B564,2)&gt;5,"Weekend posting | ","")&amp;IF(COUNTIF(Settings!$A$14:$A$43,B564)&gt;0,"Holiday posting | ","")&amp;IF(B564&gt;Settings!$C$8,"Posted after close | ","")&amp;IF(OR(B564&lt;Settings!$C$6,B564&gt;Settings!$C$7),"Outside period | ","")&amp;IF(COUNTIF(Settings!$E$14:$E$43,C564&amp;"")&gt;0,"Sensitive account | ","")&amp;IF(AND(MAX(N(E564),N(F564))&gt;=Settings!$C$9,MOD(MAX(N(E564),N(F564)),Settings!$C$10)=0),"Round amount | ",""),LEN(IF(K564="No","Does not balance | ","")&amp;IF(I564="","Not approved | ",IF(UPPER(TRIM(H564))=UPPER(TRIM(I564)),"Self-approved | ",""))&amp;IF(J564="","No support | ","")&amp;IF(WEEKDAY(B564,2)&gt;5,"Weekend posting | ","")&amp;IF(COUNTIF(Settings!$A$14:$A$43,B564)&gt;0,"Holiday posting | ","")&amp;IF(B564&gt;Settings!$C$8,"Posted after close | ","")&amp;IF(OR(B564&lt;Settings!$C$6,B564&gt;Settings!$C$7),"Outside period | ","")&amp;IF(COUNTIF(Settings!$E$14:$E$43,C564&amp;"")&gt;0,"Sensitive account | ","")&amp;IF(AND(MAX(N(E564),N(F564))&gt;=Settings!$C$9,MOD(MAX(N(E564),N(F564)),Settings!$C$10)=0),"Round amount | ",""))-3)))</f>
        <v/>
      </c>
      <c r="M564" s="21" t="str">
        <f aca="false">IF(A564="","",IF(COUNTIF($A$9:A564,A564)=1,MAX($M$8:M563)+1,""))</f>
        <v/>
      </c>
    </row>
    <row r="565" customFormat="false" ht="15" hidden="false" customHeight="false" outlineLevel="0" collapsed="false">
      <c r="A565" s="8"/>
      <c r="B565" s="17"/>
      <c r="C565" s="19"/>
      <c r="D565" s="8"/>
      <c r="E565" s="18"/>
      <c r="F565" s="18"/>
      <c r="G565" s="8"/>
      <c r="H565" s="8"/>
      <c r="I565" s="8"/>
      <c r="J565" s="8"/>
      <c r="K565" s="10" t="str">
        <f aca="false">IF(A565="","",IF(ABS(SUMIFS($E$9:$E$2008,$A$9:$A$2008,A565)-SUMIFS($F$9:$F$2008,$A$9:$A$2008,A565))&lt;0.5,"Yes","No"))</f>
        <v/>
      </c>
      <c r="L565" s="10" t="str">
        <f aca="false">IF(A565="","",IF(IF(K565="No","Does not balance | ","")&amp;IF(I565="","Not approved | ",IF(UPPER(TRIM(H565))=UPPER(TRIM(I565)),"Self-approved | ",""))&amp;IF(J565="","No support | ","")&amp;IF(WEEKDAY(B565,2)&gt;5,"Weekend posting | ","")&amp;IF(COUNTIF(Settings!$A$14:$A$43,B565)&gt;0,"Holiday posting | ","")&amp;IF(B565&gt;Settings!$C$8,"Posted after close | ","")&amp;IF(OR(B565&lt;Settings!$C$6,B565&gt;Settings!$C$7),"Outside period | ","")&amp;IF(COUNTIF(Settings!$E$14:$E$43,C565&amp;"")&gt;0,"Sensitive account | ","")&amp;IF(AND(MAX(N(E565),N(F565))&gt;=Settings!$C$9,MOD(MAX(N(E565),N(F565)),Settings!$C$10)=0),"Round amount | ","")="","",LEFT(IF(K565="No","Does not balance | ","")&amp;IF(I565="","Not approved | ",IF(UPPER(TRIM(H565))=UPPER(TRIM(I565)),"Self-approved | ",""))&amp;IF(J565="","No support | ","")&amp;IF(WEEKDAY(B565,2)&gt;5,"Weekend posting | ","")&amp;IF(COUNTIF(Settings!$A$14:$A$43,B565)&gt;0,"Holiday posting | ","")&amp;IF(B565&gt;Settings!$C$8,"Posted after close | ","")&amp;IF(OR(B565&lt;Settings!$C$6,B565&gt;Settings!$C$7),"Outside period | ","")&amp;IF(COUNTIF(Settings!$E$14:$E$43,C565&amp;"")&gt;0,"Sensitive account | ","")&amp;IF(AND(MAX(N(E565),N(F565))&gt;=Settings!$C$9,MOD(MAX(N(E565),N(F565)),Settings!$C$10)=0),"Round amount | ",""),LEN(IF(K565="No","Does not balance | ","")&amp;IF(I565="","Not approved | ",IF(UPPER(TRIM(H565))=UPPER(TRIM(I565)),"Self-approved | ",""))&amp;IF(J565="","No support | ","")&amp;IF(WEEKDAY(B565,2)&gt;5,"Weekend posting | ","")&amp;IF(COUNTIF(Settings!$A$14:$A$43,B565)&gt;0,"Holiday posting | ","")&amp;IF(B565&gt;Settings!$C$8,"Posted after close | ","")&amp;IF(OR(B565&lt;Settings!$C$6,B565&gt;Settings!$C$7),"Outside period | ","")&amp;IF(COUNTIF(Settings!$E$14:$E$43,C565&amp;"")&gt;0,"Sensitive account | ","")&amp;IF(AND(MAX(N(E565),N(F565))&gt;=Settings!$C$9,MOD(MAX(N(E565),N(F565)),Settings!$C$10)=0),"Round amount | ",""))-3)))</f>
        <v/>
      </c>
      <c r="M565" s="21" t="str">
        <f aca="false">IF(A565="","",IF(COUNTIF($A$9:A565,A565)=1,MAX($M$8:M564)+1,""))</f>
        <v/>
      </c>
    </row>
    <row r="566" customFormat="false" ht="15" hidden="false" customHeight="false" outlineLevel="0" collapsed="false">
      <c r="A566" s="8"/>
      <c r="B566" s="17"/>
      <c r="C566" s="19"/>
      <c r="D566" s="8"/>
      <c r="E566" s="18"/>
      <c r="F566" s="18"/>
      <c r="G566" s="8"/>
      <c r="H566" s="8"/>
      <c r="I566" s="8"/>
      <c r="J566" s="8"/>
      <c r="K566" s="10" t="str">
        <f aca="false">IF(A566="","",IF(ABS(SUMIFS($E$9:$E$2008,$A$9:$A$2008,A566)-SUMIFS($F$9:$F$2008,$A$9:$A$2008,A566))&lt;0.5,"Yes","No"))</f>
        <v/>
      </c>
      <c r="L566" s="10" t="str">
        <f aca="false">IF(A566="","",IF(IF(K566="No","Does not balance | ","")&amp;IF(I566="","Not approved | ",IF(UPPER(TRIM(H566))=UPPER(TRIM(I566)),"Self-approved | ",""))&amp;IF(J566="","No support | ","")&amp;IF(WEEKDAY(B566,2)&gt;5,"Weekend posting | ","")&amp;IF(COUNTIF(Settings!$A$14:$A$43,B566)&gt;0,"Holiday posting | ","")&amp;IF(B566&gt;Settings!$C$8,"Posted after close | ","")&amp;IF(OR(B566&lt;Settings!$C$6,B566&gt;Settings!$C$7),"Outside period | ","")&amp;IF(COUNTIF(Settings!$E$14:$E$43,C566&amp;"")&gt;0,"Sensitive account | ","")&amp;IF(AND(MAX(N(E566),N(F566))&gt;=Settings!$C$9,MOD(MAX(N(E566),N(F566)),Settings!$C$10)=0),"Round amount | ","")="","",LEFT(IF(K566="No","Does not balance | ","")&amp;IF(I566="","Not approved | ",IF(UPPER(TRIM(H566))=UPPER(TRIM(I566)),"Self-approved | ",""))&amp;IF(J566="","No support | ","")&amp;IF(WEEKDAY(B566,2)&gt;5,"Weekend posting | ","")&amp;IF(COUNTIF(Settings!$A$14:$A$43,B566)&gt;0,"Holiday posting | ","")&amp;IF(B566&gt;Settings!$C$8,"Posted after close | ","")&amp;IF(OR(B566&lt;Settings!$C$6,B566&gt;Settings!$C$7),"Outside period | ","")&amp;IF(COUNTIF(Settings!$E$14:$E$43,C566&amp;"")&gt;0,"Sensitive account | ","")&amp;IF(AND(MAX(N(E566),N(F566))&gt;=Settings!$C$9,MOD(MAX(N(E566),N(F566)),Settings!$C$10)=0),"Round amount | ",""),LEN(IF(K566="No","Does not balance | ","")&amp;IF(I566="","Not approved | ",IF(UPPER(TRIM(H566))=UPPER(TRIM(I566)),"Self-approved | ",""))&amp;IF(J566="","No support | ","")&amp;IF(WEEKDAY(B566,2)&gt;5,"Weekend posting | ","")&amp;IF(COUNTIF(Settings!$A$14:$A$43,B566)&gt;0,"Holiday posting | ","")&amp;IF(B566&gt;Settings!$C$8,"Posted after close | ","")&amp;IF(OR(B566&lt;Settings!$C$6,B566&gt;Settings!$C$7),"Outside period | ","")&amp;IF(COUNTIF(Settings!$E$14:$E$43,C566&amp;"")&gt;0,"Sensitive account | ","")&amp;IF(AND(MAX(N(E566),N(F566))&gt;=Settings!$C$9,MOD(MAX(N(E566),N(F566)),Settings!$C$10)=0),"Round amount | ",""))-3)))</f>
        <v/>
      </c>
      <c r="M566" s="21" t="str">
        <f aca="false">IF(A566="","",IF(COUNTIF($A$9:A566,A566)=1,MAX($M$8:M565)+1,""))</f>
        <v/>
      </c>
    </row>
    <row r="567" customFormat="false" ht="15" hidden="false" customHeight="false" outlineLevel="0" collapsed="false">
      <c r="A567" s="8"/>
      <c r="B567" s="17"/>
      <c r="C567" s="19"/>
      <c r="D567" s="8"/>
      <c r="E567" s="18"/>
      <c r="F567" s="18"/>
      <c r="G567" s="8"/>
      <c r="H567" s="8"/>
      <c r="I567" s="8"/>
      <c r="J567" s="8"/>
      <c r="K567" s="10" t="str">
        <f aca="false">IF(A567="","",IF(ABS(SUMIFS($E$9:$E$2008,$A$9:$A$2008,A567)-SUMIFS($F$9:$F$2008,$A$9:$A$2008,A567))&lt;0.5,"Yes","No"))</f>
        <v/>
      </c>
      <c r="L567" s="10" t="str">
        <f aca="false">IF(A567="","",IF(IF(K567="No","Does not balance | ","")&amp;IF(I567="","Not approved | ",IF(UPPER(TRIM(H567))=UPPER(TRIM(I567)),"Self-approved | ",""))&amp;IF(J567="","No support | ","")&amp;IF(WEEKDAY(B567,2)&gt;5,"Weekend posting | ","")&amp;IF(COUNTIF(Settings!$A$14:$A$43,B567)&gt;0,"Holiday posting | ","")&amp;IF(B567&gt;Settings!$C$8,"Posted after close | ","")&amp;IF(OR(B567&lt;Settings!$C$6,B567&gt;Settings!$C$7),"Outside period | ","")&amp;IF(COUNTIF(Settings!$E$14:$E$43,C567&amp;"")&gt;0,"Sensitive account | ","")&amp;IF(AND(MAX(N(E567),N(F567))&gt;=Settings!$C$9,MOD(MAX(N(E567),N(F567)),Settings!$C$10)=0),"Round amount | ","")="","",LEFT(IF(K567="No","Does not balance | ","")&amp;IF(I567="","Not approved | ",IF(UPPER(TRIM(H567))=UPPER(TRIM(I567)),"Self-approved | ",""))&amp;IF(J567="","No support | ","")&amp;IF(WEEKDAY(B567,2)&gt;5,"Weekend posting | ","")&amp;IF(COUNTIF(Settings!$A$14:$A$43,B567)&gt;0,"Holiday posting | ","")&amp;IF(B567&gt;Settings!$C$8,"Posted after close | ","")&amp;IF(OR(B567&lt;Settings!$C$6,B567&gt;Settings!$C$7),"Outside period | ","")&amp;IF(COUNTIF(Settings!$E$14:$E$43,C567&amp;"")&gt;0,"Sensitive account | ","")&amp;IF(AND(MAX(N(E567),N(F567))&gt;=Settings!$C$9,MOD(MAX(N(E567),N(F567)),Settings!$C$10)=0),"Round amount | ",""),LEN(IF(K567="No","Does not balance | ","")&amp;IF(I567="","Not approved | ",IF(UPPER(TRIM(H567))=UPPER(TRIM(I567)),"Self-approved | ",""))&amp;IF(J567="","No support | ","")&amp;IF(WEEKDAY(B567,2)&gt;5,"Weekend posting | ","")&amp;IF(COUNTIF(Settings!$A$14:$A$43,B567)&gt;0,"Holiday posting | ","")&amp;IF(B567&gt;Settings!$C$8,"Posted after close | ","")&amp;IF(OR(B567&lt;Settings!$C$6,B567&gt;Settings!$C$7),"Outside period | ","")&amp;IF(COUNTIF(Settings!$E$14:$E$43,C567&amp;"")&gt;0,"Sensitive account | ","")&amp;IF(AND(MAX(N(E567),N(F567))&gt;=Settings!$C$9,MOD(MAX(N(E567),N(F567)),Settings!$C$10)=0),"Round amount | ",""))-3)))</f>
        <v/>
      </c>
      <c r="M567" s="21" t="str">
        <f aca="false">IF(A567="","",IF(COUNTIF($A$9:A567,A567)=1,MAX($M$8:M566)+1,""))</f>
        <v/>
      </c>
    </row>
    <row r="568" customFormat="false" ht="15" hidden="false" customHeight="false" outlineLevel="0" collapsed="false">
      <c r="A568" s="8"/>
      <c r="B568" s="17"/>
      <c r="C568" s="19"/>
      <c r="D568" s="8"/>
      <c r="E568" s="18"/>
      <c r="F568" s="18"/>
      <c r="G568" s="8"/>
      <c r="H568" s="8"/>
      <c r="I568" s="8"/>
      <c r="J568" s="8"/>
      <c r="K568" s="10" t="str">
        <f aca="false">IF(A568="","",IF(ABS(SUMIFS($E$9:$E$2008,$A$9:$A$2008,A568)-SUMIFS($F$9:$F$2008,$A$9:$A$2008,A568))&lt;0.5,"Yes","No"))</f>
        <v/>
      </c>
      <c r="L568" s="10" t="str">
        <f aca="false">IF(A568="","",IF(IF(K568="No","Does not balance | ","")&amp;IF(I568="","Not approved | ",IF(UPPER(TRIM(H568))=UPPER(TRIM(I568)),"Self-approved | ",""))&amp;IF(J568="","No support | ","")&amp;IF(WEEKDAY(B568,2)&gt;5,"Weekend posting | ","")&amp;IF(COUNTIF(Settings!$A$14:$A$43,B568)&gt;0,"Holiday posting | ","")&amp;IF(B568&gt;Settings!$C$8,"Posted after close | ","")&amp;IF(OR(B568&lt;Settings!$C$6,B568&gt;Settings!$C$7),"Outside period | ","")&amp;IF(COUNTIF(Settings!$E$14:$E$43,C568&amp;"")&gt;0,"Sensitive account | ","")&amp;IF(AND(MAX(N(E568),N(F568))&gt;=Settings!$C$9,MOD(MAX(N(E568),N(F568)),Settings!$C$10)=0),"Round amount | ","")="","",LEFT(IF(K568="No","Does not balance | ","")&amp;IF(I568="","Not approved | ",IF(UPPER(TRIM(H568))=UPPER(TRIM(I568)),"Self-approved | ",""))&amp;IF(J568="","No support | ","")&amp;IF(WEEKDAY(B568,2)&gt;5,"Weekend posting | ","")&amp;IF(COUNTIF(Settings!$A$14:$A$43,B568)&gt;0,"Holiday posting | ","")&amp;IF(B568&gt;Settings!$C$8,"Posted after close | ","")&amp;IF(OR(B568&lt;Settings!$C$6,B568&gt;Settings!$C$7),"Outside period | ","")&amp;IF(COUNTIF(Settings!$E$14:$E$43,C568&amp;"")&gt;0,"Sensitive account | ","")&amp;IF(AND(MAX(N(E568),N(F568))&gt;=Settings!$C$9,MOD(MAX(N(E568),N(F568)),Settings!$C$10)=0),"Round amount | ",""),LEN(IF(K568="No","Does not balance | ","")&amp;IF(I568="","Not approved | ",IF(UPPER(TRIM(H568))=UPPER(TRIM(I568)),"Self-approved | ",""))&amp;IF(J568="","No support | ","")&amp;IF(WEEKDAY(B568,2)&gt;5,"Weekend posting | ","")&amp;IF(COUNTIF(Settings!$A$14:$A$43,B568)&gt;0,"Holiday posting | ","")&amp;IF(B568&gt;Settings!$C$8,"Posted after close | ","")&amp;IF(OR(B568&lt;Settings!$C$6,B568&gt;Settings!$C$7),"Outside period | ","")&amp;IF(COUNTIF(Settings!$E$14:$E$43,C568&amp;"")&gt;0,"Sensitive account | ","")&amp;IF(AND(MAX(N(E568),N(F568))&gt;=Settings!$C$9,MOD(MAX(N(E568),N(F568)),Settings!$C$10)=0),"Round amount | ",""))-3)))</f>
        <v/>
      </c>
      <c r="M568" s="21" t="str">
        <f aca="false">IF(A568="","",IF(COUNTIF($A$9:A568,A568)=1,MAX($M$8:M567)+1,""))</f>
        <v/>
      </c>
    </row>
    <row r="569" customFormat="false" ht="15" hidden="false" customHeight="false" outlineLevel="0" collapsed="false">
      <c r="A569" s="8"/>
      <c r="B569" s="17"/>
      <c r="C569" s="19"/>
      <c r="D569" s="8"/>
      <c r="E569" s="18"/>
      <c r="F569" s="18"/>
      <c r="G569" s="8"/>
      <c r="H569" s="8"/>
      <c r="I569" s="8"/>
      <c r="J569" s="8"/>
      <c r="K569" s="10" t="str">
        <f aca="false">IF(A569="","",IF(ABS(SUMIFS($E$9:$E$2008,$A$9:$A$2008,A569)-SUMIFS($F$9:$F$2008,$A$9:$A$2008,A569))&lt;0.5,"Yes","No"))</f>
        <v/>
      </c>
      <c r="L569" s="10" t="str">
        <f aca="false">IF(A569="","",IF(IF(K569="No","Does not balance | ","")&amp;IF(I569="","Not approved | ",IF(UPPER(TRIM(H569))=UPPER(TRIM(I569)),"Self-approved | ",""))&amp;IF(J569="","No support | ","")&amp;IF(WEEKDAY(B569,2)&gt;5,"Weekend posting | ","")&amp;IF(COUNTIF(Settings!$A$14:$A$43,B569)&gt;0,"Holiday posting | ","")&amp;IF(B569&gt;Settings!$C$8,"Posted after close | ","")&amp;IF(OR(B569&lt;Settings!$C$6,B569&gt;Settings!$C$7),"Outside period | ","")&amp;IF(COUNTIF(Settings!$E$14:$E$43,C569&amp;"")&gt;0,"Sensitive account | ","")&amp;IF(AND(MAX(N(E569),N(F569))&gt;=Settings!$C$9,MOD(MAX(N(E569),N(F569)),Settings!$C$10)=0),"Round amount | ","")="","",LEFT(IF(K569="No","Does not balance | ","")&amp;IF(I569="","Not approved | ",IF(UPPER(TRIM(H569))=UPPER(TRIM(I569)),"Self-approved | ",""))&amp;IF(J569="","No support | ","")&amp;IF(WEEKDAY(B569,2)&gt;5,"Weekend posting | ","")&amp;IF(COUNTIF(Settings!$A$14:$A$43,B569)&gt;0,"Holiday posting | ","")&amp;IF(B569&gt;Settings!$C$8,"Posted after close | ","")&amp;IF(OR(B569&lt;Settings!$C$6,B569&gt;Settings!$C$7),"Outside period | ","")&amp;IF(COUNTIF(Settings!$E$14:$E$43,C569&amp;"")&gt;0,"Sensitive account | ","")&amp;IF(AND(MAX(N(E569),N(F569))&gt;=Settings!$C$9,MOD(MAX(N(E569),N(F569)),Settings!$C$10)=0),"Round amount | ",""),LEN(IF(K569="No","Does not balance | ","")&amp;IF(I569="","Not approved | ",IF(UPPER(TRIM(H569))=UPPER(TRIM(I569)),"Self-approved | ",""))&amp;IF(J569="","No support | ","")&amp;IF(WEEKDAY(B569,2)&gt;5,"Weekend posting | ","")&amp;IF(COUNTIF(Settings!$A$14:$A$43,B569)&gt;0,"Holiday posting | ","")&amp;IF(B569&gt;Settings!$C$8,"Posted after close | ","")&amp;IF(OR(B569&lt;Settings!$C$6,B569&gt;Settings!$C$7),"Outside period | ","")&amp;IF(COUNTIF(Settings!$E$14:$E$43,C569&amp;"")&gt;0,"Sensitive account | ","")&amp;IF(AND(MAX(N(E569),N(F569))&gt;=Settings!$C$9,MOD(MAX(N(E569),N(F569)),Settings!$C$10)=0),"Round amount | ",""))-3)))</f>
        <v/>
      </c>
      <c r="M569" s="21" t="str">
        <f aca="false">IF(A569="","",IF(COUNTIF($A$9:A569,A569)=1,MAX($M$8:M568)+1,""))</f>
        <v/>
      </c>
    </row>
    <row r="570" customFormat="false" ht="15" hidden="false" customHeight="false" outlineLevel="0" collapsed="false">
      <c r="A570" s="8"/>
      <c r="B570" s="17"/>
      <c r="C570" s="19"/>
      <c r="D570" s="8"/>
      <c r="E570" s="18"/>
      <c r="F570" s="18"/>
      <c r="G570" s="8"/>
      <c r="H570" s="8"/>
      <c r="I570" s="8"/>
      <c r="J570" s="8"/>
      <c r="K570" s="10" t="str">
        <f aca="false">IF(A570="","",IF(ABS(SUMIFS($E$9:$E$2008,$A$9:$A$2008,A570)-SUMIFS($F$9:$F$2008,$A$9:$A$2008,A570))&lt;0.5,"Yes","No"))</f>
        <v/>
      </c>
      <c r="L570" s="10" t="str">
        <f aca="false">IF(A570="","",IF(IF(K570="No","Does not balance | ","")&amp;IF(I570="","Not approved | ",IF(UPPER(TRIM(H570))=UPPER(TRIM(I570)),"Self-approved | ",""))&amp;IF(J570="","No support | ","")&amp;IF(WEEKDAY(B570,2)&gt;5,"Weekend posting | ","")&amp;IF(COUNTIF(Settings!$A$14:$A$43,B570)&gt;0,"Holiday posting | ","")&amp;IF(B570&gt;Settings!$C$8,"Posted after close | ","")&amp;IF(OR(B570&lt;Settings!$C$6,B570&gt;Settings!$C$7),"Outside period | ","")&amp;IF(COUNTIF(Settings!$E$14:$E$43,C570&amp;"")&gt;0,"Sensitive account | ","")&amp;IF(AND(MAX(N(E570),N(F570))&gt;=Settings!$C$9,MOD(MAX(N(E570),N(F570)),Settings!$C$10)=0),"Round amount | ","")="","",LEFT(IF(K570="No","Does not balance | ","")&amp;IF(I570="","Not approved | ",IF(UPPER(TRIM(H570))=UPPER(TRIM(I570)),"Self-approved | ",""))&amp;IF(J570="","No support | ","")&amp;IF(WEEKDAY(B570,2)&gt;5,"Weekend posting | ","")&amp;IF(COUNTIF(Settings!$A$14:$A$43,B570)&gt;0,"Holiday posting | ","")&amp;IF(B570&gt;Settings!$C$8,"Posted after close | ","")&amp;IF(OR(B570&lt;Settings!$C$6,B570&gt;Settings!$C$7),"Outside period | ","")&amp;IF(COUNTIF(Settings!$E$14:$E$43,C570&amp;"")&gt;0,"Sensitive account | ","")&amp;IF(AND(MAX(N(E570),N(F570))&gt;=Settings!$C$9,MOD(MAX(N(E570),N(F570)),Settings!$C$10)=0),"Round amount | ",""),LEN(IF(K570="No","Does not balance | ","")&amp;IF(I570="","Not approved | ",IF(UPPER(TRIM(H570))=UPPER(TRIM(I570)),"Self-approved | ",""))&amp;IF(J570="","No support | ","")&amp;IF(WEEKDAY(B570,2)&gt;5,"Weekend posting | ","")&amp;IF(COUNTIF(Settings!$A$14:$A$43,B570)&gt;0,"Holiday posting | ","")&amp;IF(B570&gt;Settings!$C$8,"Posted after close | ","")&amp;IF(OR(B570&lt;Settings!$C$6,B570&gt;Settings!$C$7),"Outside period | ","")&amp;IF(COUNTIF(Settings!$E$14:$E$43,C570&amp;"")&gt;0,"Sensitive account | ","")&amp;IF(AND(MAX(N(E570),N(F570))&gt;=Settings!$C$9,MOD(MAX(N(E570),N(F570)),Settings!$C$10)=0),"Round amount | ",""))-3)))</f>
        <v/>
      </c>
      <c r="M570" s="21" t="str">
        <f aca="false">IF(A570="","",IF(COUNTIF($A$9:A570,A570)=1,MAX($M$8:M569)+1,""))</f>
        <v/>
      </c>
    </row>
    <row r="571" customFormat="false" ht="15" hidden="false" customHeight="false" outlineLevel="0" collapsed="false">
      <c r="A571" s="8"/>
      <c r="B571" s="17"/>
      <c r="C571" s="19"/>
      <c r="D571" s="8"/>
      <c r="E571" s="18"/>
      <c r="F571" s="18"/>
      <c r="G571" s="8"/>
      <c r="H571" s="8"/>
      <c r="I571" s="8"/>
      <c r="J571" s="8"/>
      <c r="K571" s="10" t="str">
        <f aca="false">IF(A571="","",IF(ABS(SUMIFS($E$9:$E$2008,$A$9:$A$2008,A571)-SUMIFS($F$9:$F$2008,$A$9:$A$2008,A571))&lt;0.5,"Yes","No"))</f>
        <v/>
      </c>
      <c r="L571" s="10" t="str">
        <f aca="false">IF(A571="","",IF(IF(K571="No","Does not balance | ","")&amp;IF(I571="","Not approved | ",IF(UPPER(TRIM(H571))=UPPER(TRIM(I571)),"Self-approved | ",""))&amp;IF(J571="","No support | ","")&amp;IF(WEEKDAY(B571,2)&gt;5,"Weekend posting | ","")&amp;IF(COUNTIF(Settings!$A$14:$A$43,B571)&gt;0,"Holiday posting | ","")&amp;IF(B571&gt;Settings!$C$8,"Posted after close | ","")&amp;IF(OR(B571&lt;Settings!$C$6,B571&gt;Settings!$C$7),"Outside period | ","")&amp;IF(COUNTIF(Settings!$E$14:$E$43,C571&amp;"")&gt;0,"Sensitive account | ","")&amp;IF(AND(MAX(N(E571),N(F571))&gt;=Settings!$C$9,MOD(MAX(N(E571),N(F571)),Settings!$C$10)=0),"Round amount | ","")="","",LEFT(IF(K571="No","Does not balance | ","")&amp;IF(I571="","Not approved | ",IF(UPPER(TRIM(H571))=UPPER(TRIM(I571)),"Self-approved | ",""))&amp;IF(J571="","No support | ","")&amp;IF(WEEKDAY(B571,2)&gt;5,"Weekend posting | ","")&amp;IF(COUNTIF(Settings!$A$14:$A$43,B571)&gt;0,"Holiday posting | ","")&amp;IF(B571&gt;Settings!$C$8,"Posted after close | ","")&amp;IF(OR(B571&lt;Settings!$C$6,B571&gt;Settings!$C$7),"Outside period | ","")&amp;IF(COUNTIF(Settings!$E$14:$E$43,C571&amp;"")&gt;0,"Sensitive account | ","")&amp;IF(AND(MAX(N(E571),N(F571))&gt;=Settings!$C$9,MOD(MAX(N(E571),N(F571)),Settings!$C$10)=0),"Round amount | ",""),LEN(IF(K571="No","Does not balance | ","")&amp;IF(I571="","Not approved | ",IF(UPPER(TRIM(H571))=UPPER(TRIM(I571)),"Self-approved | ",""))&amp;IF(J571="","No support | ","")&amp;IF(WEEKDAY(B571,2)&gt;5,"Weekend posting | ","")&amp;IF(COUNTIF(Settings!$A$14:$A$43,B571)&gt;0,"Holiday posting | ","")&amp;IF(B571&gt;Settings!$C$8,"Posted after close | ","")&amp;IF(OR(B571&lt;Settings!$C$6,B571&gt;Settings!$C$7),"Outside period | ","")&amp;IF(COUNTIF(Settings!$E$14:$E$43,C571&amp;"")&gt;0,"Sensitive account | ","")&amp;IF(AND(MAX(N(E571),N(F571))&gt;=Settings!$C$9,MOD(MAX(N(E571),N(F571)),Settings!$C$10)=0),"Round amount | ",""))-3)))</f>
        <v/>
      </c>
      <c r="M571" s="21" t="str">
        <f aca="false">IF(A571="","",IF(COUNTIF($A$9:A571,A571)=1,MAX($M$8:M570)+1,""))</f>
        <v/>
      </c>
    </row>
    <row r="572" customFormat="false" ht="15" hidden="false" customHeight="false" outlineLevel="0" collapsed="false">
      <c r="A572" s="8"/>
      <c r="B572" s="17"/>
      <c r="C572" s="19"/>
      <c r="D572" s="8"/>
      <c r="E572" s="18"/>
      <c r="F572" s="18"/>
      <c r="G572" s="8"/>
      <c r="H572" s="8"/>
      <c r="I572" s="8"/>
      <c r="J572" s="8"/>
      <c r="K572" s="10" t="str">
        <f aca="false">IF(A572="","",IF(ABS(SUMIFS($E$9:$E$2008,$A$9:$A$2008,A572)-SUMIFS($F$9:$F$2008,$A$9:$A$2008,A572))&lt;0.5,"Yes","No"))</f>
        <v/>
      </c>
      <c r="L572" s="10" t="str">
        <f aca="false">IF(A572="","",IF(IF(K572="No","Does not balance | ","")&amp;IF(I572="","Not approved | ",IF(UPPER(TRIM(H572))=UPPER(TRIM(I572)),"Self-approved | ",""))&amp;IF(J572="","No support | ","")&amp;IF(WEEKDAY(B572,2)&gt;5,"Weekend posting | ","")&amp;IF(COUNTIF(Settings!$A$14:$A$43,B572)&gt;0,"Holiday posting | ","")&amp;IF(B572&gt;Settings!$C$8,"Posted after close | ","")&amp;IF(OR(B572&lt;Settings!$C$6,B572&gt;Settings!$C$7),"Outside period | ","")&amp;IF(COUNTIF(Settings!$E$14:$E$43,C572&amp;"")&gt;0,"Sensitive account | ","")&amp;IF(AND(MAX(N(E572),N(F572))&gt;=Settings!$C$9,MOD(MAX(N(E572),N(F572)),Settings!$C$10)=0),"Round amount | ","")="","",LEFT(IF(K572="No","Does not balance | ","")&amp;IF(I572="","Not approved | ",IF(UPPER(TRIM(H572))=UPPER(TRIM(I572)),"Self-approved | ",""))&amp;IF(J572="","No support | ","")&amp;IF(WEEKDAY(B572,2)&gt;5,"Weekend posting | ","")&amp;IF(COUNTIF(Settings!$A$14:$A$43,B572)&gt;0,"Holiday posting | ","")&amp;IF(B572&gt;Settings!$C$8,"Posted after close | ","")&amp;IF(OR(B572&lt;Settings!$C$6,B572&gt;Settings!$C$7),"Outside period | ","")&amp;IF(COUNTIF(Settings!$E$14:$E$43,C572&amp;"")&gt;0,"Sensitive account | ","")&amp;IF(AND(MAX(N(E572),N(F572))&gt;=Settings!$C$9,MOD(MAX(N(E572),N(F572)),Settings!$C$10)=0),"Round amount | ",""),LEN(IF(K572="No","Does not balance | ","")&amp;IF(I572="","Not approved | ",IF(UPPER(TRIM(H572))=UPPER(TRIM(I572)),"Self-approved | ",""))&amp;IF(J572="","No support | ","")&amp;IF(WEEKDAY(B572,2)&gt;5,"Weekend posting | ","")&amp;IF(COUNTIF(Settings!$A$14:$A$43,B572)&gt;0,"Holiday posting | ","")&amp;IF(B572&gt;Settings!$C$8,"Posted after close | ","")&amp;IF(OR(B572&lt;Settings!$C$6,B572&gt;Settings!$C$7),"Outside period | ","")&amp;IF(COUNTIF(Settings!$E$14:$E$43,C572&amp;"")&gt;0,"Sensitive account | ","")&amp;IF(AND(MAX(N(E572),N(F572))&gt;=Settings!$C$9,MOD(MAX(N(E572),N(F572)),Settings!$C$10)=0),"Round amount | ",""))-3)))</f>
        <v/>
      </c>
      <c r="M572" s="21" t="str">
        <f aca="false">IF(A572="","",IF(COUNTIF($A$9:A572,A572)=1,MAX($M$8:M571)+1,""))</f>
        <v/>
      </c>
    </row>
    <row r="573" customFormat="false" ht="15" hidden="false" customHeight="false" outlineLevel="0" collapsed="false">
      <c r="A573" s="8"/>
      <c r="B573" s="17"/>
      <c r="C573" s="19"/>
      <c r="D573" s="8"/>
      <c r="E573" s="18"/>
      <c r="F573" s="18"/>
      <c r="G573" s="8"/>
      <c r="H573" s="8"/>
      <c r="I573" s="8"/>
      <c r="J573" s="8"/>
      <c r="K573" s="10" t="str">
        <f aca="false">IF(A573="","",IF(ABS(SUMIFS($E$9:$E$2008,$A$9:$A$2008,A573)-SUMIFS($F$9:$F$2008,$A$9:$A$2008,A573))&lt;0.5,"Yes","No"))</f>
        <v/>
      </c>
      <c r="L573" s="10" t="str">
        <f aca="false">IF(A573="","",IF(IF(K573="No","Does not balance | ","")&amp;IF(I573="","Not approved | ",IF(UPPER(TRIM(H573))=UPPER(TRIM(I573)),"Self-approved | ",""))&amp;IF(J573="","No support | ","")&amp;IF(WEEKDAY(B573,2)&gt;5,"Weekend posting | ","")&amp;IF(COUNTIF(Settings!$A$14:$A$43,B573)&gt;0,"Holiday posting | ","")&amp;IF(B573&gt;Settings!$C$8,"Posted after close | ","")&amp;IF(OR(B573&lt;Settings!$C$6,B573&gt;Settings!$C$7),"Outside period | ","")&amp;IF(COUNTIF(Settings!$E$14:$E$43,C573&amp;"")&gt;0,"Sensitive account | ","")&amp;IF(AND(MAX(N(E573),N(F573))&gt;=Settings!$C$9,MOD(MAX(N(E573),N(F573)),Settings!$C$10)=0),"Round amount | ","")="","",LEFT(IF(K573="No","Does not balance | ","")&amp;IF(I573="","Not approved | ",IF(UPPER(TRIM(H573))=UPPER(TRIM(I573)),"Self-approved | ",""))&amp;IF(J573="","No support | ","")&amp;IF(WEEKDAY(B573,2)&gt;5,"Weekend posting | ","")&amp;IF(COUNTIF(Settings!$A$14:$A$43,B573)&gt;0,"Holiday posting | ","")&amp;IF(B573&gt;Settings!$C$8,"Posted after close | ","")&amp;IF(OR(B573&lt;Settings!$C$6,B573&gt;Settings!$C$7),"Outside period | ","")&amp;IF(COUNTIF(Settings!$E$14:$E$43,C573&amp;"")&gt;0,"Sensitive account | ","")&amp;IF(AND(MAX(N(E573),N(F573))&gt;=Settings!$C$9,MOD(MAX(N(E573),N(F573)),Settings!$C$10)=0),"Round amount | ",""),LEN(IF(K573="No","Does not balance | ","")&amp;IF(I573="","Not approved | ",IF(UPPER(TRIM(H573))=UPPER(TRIM(I573)),"Self-approved | ",""))&amp;IF(J573="","No support | ","")&amp;IF(WEEKDAY(B573,2)&gt;5,"Weekend posting | ","")&amp;IF(COUNTIF(Settings!$A$14:$A$43,B573)&gt;0,"Holiday posting | ","")&amp;IF(B573&gt;Settings!$C$8,"Posted after close | ","")&amp;IF(OR(B573&lt;Settings!$C$6,B573&gt;Settings!$C$7),"Outside period | ","")&amp;IF(COUNTIF(Settings!$E$14:$E$43,C573&amp;"")&gt;0,"Sensitive account | ","")&amp;IF(AND(MAX(N(E573),N(F573))&gt;=Settings!$C$9,MOD(MAX(N(E573),N(F573)),Settings!$C$10)=0),"Round amount | ",""))-3)))</f>
        <v/>
      </c>
      <c r="M573" s="21" t="str">
        <f aca="false">IF(A573="","",IF(COUNTIF($A$9:A573,A573)=1,MAX($M$8:M572)+1,""))</f>
        <v/>
      </c>
    </row>
    <row r="574" customFormat="false" ht="15" hidden="false" customHeight="false" outlineLevel="0" collapsed="false">
      <c r="A574" s="8"/>
      <c r="B574" s="17"/>
      <c r="C574" s="19"/>
      <c r="D574" s="8"/>
      <c r="E574" s="18"/>
      <c r="F574" s="18"/>
      <c r="G574" s="8"/>
      <c r="H574" s="8"/>
      <c r="I574" s="8"/>
      <c r="J574" s="8"/>
      <c r="K574" s="10" t="str">
        <f aca="false">IF(A574="","",IF(ABS(SUMIFS($E$9:$E$2008,$A$9:$A$2008,A574)-SUMIFS($F$9:$F$2008,$A$9:$A$2008,A574))&lt;0.5,"Yes","No"))</f>
        <v/>
      </c>
      <c r="L574" s="10" t="str">
        <f aca="false">IF(A574="","",IF(IF(K574="No","Does not balance | ","")&amp;IF(I574="","Not approved | ",IF(UPPER(TRIM(H574))=UPPER(TRIM(I574)),"Self-approved | ",""))&amp;IF(J574="","No support | ","")&amp;IF(WEEKDAY(B574,2)&gt;5,"Weekend posting | ","")&amp;IF(COUNTIF(Settings!$A$14:$A$43,B574)&gt;0,"Holiday posting | ","")&amp;IF(B574&gt;Settings!$C$8,"Posted after close | ","")&amp;IF(OR(B574&lt;Settings!$C$6,B574&gt;Settings!$C$7),"Outside period | ","")&amp;IF(COUNTIF(Settings!$E$14:$E$43,C574&amp;"")&gt;0,"Sensitive account | ","")&amp;IF(AND(MAX(N(E574),N(F574))&gt;=Settings!$C$9,MOD(MAX(N(E574),N(F574)),Settings!$C$10)=0),"Round amount | ","")="","",LEFT(IF(K574="No","Does not balance | ","")&amp;IF(I574="","Not approved | ",IF(UPPER(TRIM(H574))=UPPER(TRIM(I574)),"Self-approved | ",""))&amp;IF(J574="","No support | ","")&amp;IF(WEEKDAY(B574,2)&gt;5,"Weekend posting | ","")&amp;IF(COUNTIF(Settings!$A$14:$A$43,B574)&gt;0,"Holiday posting | ","")&amp;IF(B574&gt;Settings!$C$8,"Posted after close | ","")&amp;IF(OR(B574&lt;Settings!$C$6,B574&gt;Settings!$C$7),"Outside period | ","")&amp;IF(COUNTIF(Settings!$E$14:$E$43,C574&amp;"")&gt;0,"Sensitive account | ","")&amp;IF(AND(MAX(N(E574),N(F574))&gt;=Settings!$C$9,MOD(MAX(N(E574),N(F574)),Settings!$C$10)=0),"Round amount | ",""),LEN(IF(K574="No","Does not balance | ","")&amp;IF(I574="","Not approved | ",IF(UPPER(TRIM(H574))=UPPER(TRIM(I574)),"Self-approved | ",""))&amp;IF(J574="","No support | ","")&amp;IF(WEEKDAY(B574,2)&gt;5,"Weekend posting | ","")&amp;IF(COUNTIF(Settings!$A$14:$A$43,B574)&gt;0,"Holiday posting | ","")&amp;IF(B574&gt;Settings!$C$8,"Posted after close | ","")&amp;IF(OR(B574&lt;Settings!$C$6,B574&gt;Settings!$C$7),"Outside period | ","")&amp;IF(COUNTIF(Settings!$E$14:$E$43,C574&amp;"")&gt;0,"Sensitive account | ","")&amp;IF(AND(MAX(N(E574),N(F574))&gt;=Settings!$C$9,MOD(MAX(N(E574),N(F574)),Settings!$C$10)=0),"Round amount | ",""))-3)))</f>
        <v/>
      </c>
      <c r="M574" s="21" t="str">
        <f aca="false">IF(A574="","",IF(COUNTIF($A$9:A574,A574)=1,MAX($M$8:M573)+1,""))</f>
        <v/>
      </c>
    </row>
    <row r="575" customFormat="false" ht="15" hidden="false" customHeight="false" outlineLevel="0" collapsed="false">
      <c r="A575" s="8"/>
      <c r="B575" s="17"/>
      <c r="C575" s="19"/>
      <c r="D575" s="8"/>
      <c r="E575" s="18"/>
      <c r="F575" s="18"/>
      <c r="G575" s="8"/>
      <c r="H575" s="8"/>
      <c r="I575" s="8"/>
      <c r="J575" s="8"/>
      <c r="K575" s="10" t="str">
        <f aca="false">IF(A575="","",IF(ABS(SUMIFS($E$9:$E$2008,$A$9:$A$2008,A575)-SUMIFS($F$9:$F$2008,$A$9:$A$2008,A575))&lt;0.5,"Yes","No"))</f>
        <v/>
      </c>
      <c r="L575" s="10" t="str">
        <f aca="false">IF(A575="","",IF(IF(K575="No","Does not balance | ","")&amp;IF(I575="","Not approved | ",IF(UPPER(TRIM(H575))=UPPER(TRIM(I575)),"Self-approved | ",""))&amp;IF(J575="","No support | ","")&amp;IF(WEEKDAY(B575,2)&gt;5,"Weekend posting | ","")&amp;IF(COUNTIF(Settings!$A$14:$A$43,B575)&gt;0,"Holiday posting | ","")&amp;IF(B575&gt;Settings!$C$8,"Posted after close | ","")&amp;IF(OR(B575&lt;Settings!$C$6,B575&gt;Settings!$C$7),"Outside period | ","")&amp;IF(COUNTIF(Settings!$E$14:$E$43,C575&amp;"")&gt;0,"Sensitive account | ","")&amp;IF(AND(MAX(N(E575),N(F575))&gt;=Settings!$C$9,MOD(MAX(N(E575),N(F575)),Settings!$C$10)=0),"Round amount | ","")="","",LEFT(IF(K575="No","Does not balance | ","")&amp;IF(I575="","Not approved | ",IF(UPPER(TRIM(H575))=UPPER(TRIM(I575)),"Self-approved | ",""))&amp;IF(J575="","No support | ","")&amp;IF(WEEKDAY(B575,2)&gt;5,"Weekend posting | ","")&amp;IF(COUNTIF(Settings!$A$14:$A$43,B575)&gt;0,"Holiday posting | ","")&amp;IF(B575&gt;Settings!$C$8,"Posted after close | ","")&amp;IF(OR(B575&lt;Settings!$C$6,B575&gt;Settings!$C$7),"Outside period | ","")&amp;IF(COUNTIF(Settings!$E$14:$E$43,C575&amp;"")&gt;0,"Sensitive account | ","")&amp;IF(AND(MAX(N(E575),N(F575))&gt;=Settings!$C$9,MOD(MAX(N(E575),N(F575)),Settings!$C$10)=0),"Round amount | ",""),LEN(IF(K575="No","Does not balance | ","")&amp;IF(I575="","Not approved | ",IF(UPPER(TRIM(H575))=UPPER(TRIM(I575)),"Self-approved | ",""))&amp;IF(J575="","No support | ","")&amp;IF(WEEKDAY(B575,2)&gt;5,"Weekend posting | ","")&amp;IF(COUNTIF(Settings!$A$14:$A$43,B575)&gt;0,"Holiday posting | ","")&amp;IF(B575&gt;Settings!$C$8,"Posted after close | ","")&amp;IF(OR(B575&lt;Settings!$C$6,B575&gt;Settings!$C$7),"Outside period | ","")&amp;IF(COUNTIF(Settings!$E$14:$E$43,C575&amp;"")&gt;0,"Sensitive account | ","")&amp;IF(AND(MAX(N(E575),N(F575))&gt;=Settings!$C$9,MOD(MAX(N(E575),N(F575)),Settings!$C$10)=0),"Round amount | ",""))-3)))</f>
        <v/>
      </c>
      <c r="M575" s="21" t="str">
        <f aca="false">IF(A575="","",IF(COUNTIF($A$9:A575,A575)=1,MAX($M$8:M574)+1,""))</f>
        <v/>
      </c>
    </row>
    <row r="576" customFormat="false" ht="15" hidden="false" customHeight="false" outlineLevel="0" collapsed="false">
      <c r="A576" s="8"/>
      <c r="B576" s="17"/>
      <c r="C576" s="19"/>
      <c r="D576" s="8"/>
      <c r="E576" s="18"/>
      <c r="F576" s="18"/>
      <c r="G576" s="8"/>
      <c r="H576" s="8"/>
      <c r="I576" s="8"/>
      <c r="J576" s="8"/>
      <c r="K576" s="10" t="str">
        <f aca="false">IF(A576="","",IF(ABS(SUMIFS($E$9:$E$2008,$A$9:$A$2008,A576)-SUMIFS($F$9:$F$2008,$A$9:$A$2008,A576))&lt;0.5,"Yes","No"))</f>
        <v/>
      </c>
      <c r="L576" s="10" t="str">
        <f aca="false">IF(A576="","",IF(IF(K576="No","Does not balance | ","")&amp;IF(I576="","Not approved | ",IF(UPPER(TRIM(H576))=UPPER(TRIM(I576)),"Self-approved | ",""))&amp;IF(J576="","No support | ","")&amp;IF(WEEKDAY(B576,2)&gt;5,"Weekend posting | ","")&amp;IF(COUNTIF(Settings!$A$14:$A$43,B576)&gt;0,"Holiday posting | ","")&amp;IF(B576&gt;Settings!$C$8,"Posted after close | ","")&amp;IF(OR(B576&lt;Settings!$C$6,B576&gt;Settings!$C$7),"Outside period | ","")&amp;IF(COUNTIF(Settings!$E$14:$E$43,C576&amp;"")&gt;0,"Sensitive account | ","")&amp;IF(AND(MAX(N(E576),N(F576))&gt;=Settings!$C$9,MOD(MAX(N(E576),N(F576)),Settings!$C$10)=0),"Round amount | ","")="","",LEFT(IF(K576="No","Does not balance | ","")&amp;IF(I576="","Not approved | ",IF(UPPER(TRIM(H576))=UPPER(TRIM(I576)),"Self-approved | ",""))&amp;IF(J576="","No support | ","")&amp;IF(WEEKDAY(B576,2)&gt;5,"Weekend posting | ","")&amp;IF(COUNTIF(Settings!$A$14:$A$43,B576)&gt;0,"Holiday posting | ","")&amp;IF(B576&gt;Settings!$C$8,"Posted after close | ","")&amp;IF(OR(B576&lt;Settings!$C$6,B576&gt;Settings!$C$7),"Outside period | ","")&amp;IF(COUNTIF(Settings!$E$14:$E$43,C576&amp;"")&gt;0,"Sensitive account | ","")&amp;IF(AND(MAX(N(E576),N(F576))&gt;=Settings!$C$9,MOD(MAX(N(E576),N(F576)),Settings!$C$10)=0),"Round amount | ",""),LEN(IF(K576="No","Does not balance | ","")&amp;IF(I576="","Not approved | ",IF(UPPER(TRIM(H576))=UPPER(TRIM(I576)),"Self-approved | ",""))&amp;IF(J576="","No support | ","")&amp;IF(WEEKDAY(B576,2)&gt;5,"Weekend posting | ","")&amp;IF(COUNTIF(Settings!$A$14:$A$43,B576)&gt;0,"Holiday posting | ","")&amp;IF(B576&gt;Settings!$C$8,"Posted after close | ","")&amp;IF(OR(B576&lt;Settings!$C$6,B576&gt;Settings!$C$7),"Outside period | ","")&amp;IF(COUNTIF(Settings!$E$14:$E$43,C576&amp;"")&gt;0,"Sensitive account | ","")&amp;IF(AND(MAX(N(E576),N(F576))&gt;=Settings!$C$9,MOD(MAX(N(E576),N(F576)),Settings!$C$10)=0),"Round amount | ",""))-3)))</f>
        <v/>
      </c>
      <c r="M576" s="21" t="str">
        <f aca="false">IF(A576="","",IF(COUNTIF($A$9:A576,A576)=1,MAX($M$8:M575)+1,""))</f>
        <v/>
      </c>
    </row>
    <row r="577" customFormat="false" ht="15" hidden="false" customHeight="false" outlineLevel="0" collapsed="false">
      <c r="A577" s="8"/>
      <c r="B577" s="17"/>
      <c r="C577" s="19"/>
      <c r="D577" s="8"/>
      <c r="E577" s="18"/>
      <c r="F577" s="18"/>
      <c r="G577" s="8"/>
      <c r="H577" s="8"/>
      <c r="I577" s="8"/>
      <c r="J577" s="8"/>
      <c r="K577" s="10" t="str">
        <f aca="false">IF(A577="","",IF(ABS(SUMIFS($E$9:$E$2008,$A$9:$A$2008,A577)-SUMIFS($F$9:$F$2008,$A$9:$A$2008,A577))&lt;0.5,"Yes","No"))</f>
        <v/>
      </c>
      <c r="L577" s="10" t="str">
        <f aca="false">IF(A577="","",IF(IF(K577="No","Does not balance | ","")&amp;IF(I577="","Not approved | ",IF(UPPER(TRIM(H577))=UPPER(TRIM(I577)),"Self-approved | ",""))&amp;IF(J577="","No support | ","")&amp;IF(WEEKDAY(B577,2)&gt;5,"Weekend posting | ","")&amp;IF(COUNTIF(Settings!$A$14:$A$43,B577)&gt;0,"Holiday posting | ","")&amp;IF(B577&gt;Settings!$C$8,"Posted after close | ","")&amp;IF(OR(B577&lt;Settings!$C$6,B577&gt;Settings!$C$7),"Outside period | ","")&amp;IF(COUNTIF(Settings!$E$14:$E$43,C577&amp;"")&gt;0,"Sensitive account | ","")&amp;IF(AND(MAX(N(E577),N(F577))&gt;=Settings!$C$9,MOD(MAX(N(E577),N(F577)),Settings!$C$10)=0),"Round amount | ","")="","",LEFT(IF(K577="No","Does not balance | ","")&amp;IF(I577="","Not approved | ",IF(UPPER(TRIM(H577))=UPPER(TRIM(I577)),"Self-approved | ",""))&amp;IF(J577="","No support | ","")&amp;IF(WEEKDAY(B577,2)&gt;5,"Weekend posting | ","")&amp;IF(COUNTIF(Settings!$A$14:$A$43,B577)&gt;0,"Holiday posting | ","")&amp;IF(B577&gt;Settings!$C$8,"Posted after close | ","")&amp;IF(OR(B577&lt;Settings!$C$6,B577&gt;Settings!$C$7),"Outside period | ","")&amp;IF(COUNTIF(Settings!$E$14:$E$43,C577&amp;"")&gt;0,"Sensitive account | ","")&amp;IF(AND(MAX(N(E577),N(F577))&gt;=Settings!$C$9,MOD(MAX(N(E577),N(F577)),Settings!$C$10)=0),"Round amount | ",""),LEN(IF(K577="No","Does not balance | ","")&amp;IF(I577="","Not approved | ",IF(UPPER(TRIM(H577))=UPPER(TRIM(I577)),"Self-approved | ",""))&amp;IF(J577="","No support | ","")&amp;IF(WEEKDAY(B577,2)&gt;5,"Weekend posting | ","")&amp;IF(COUNTIF(Settings!$A$14:$A$43,B577)&gt;0,"Holiday posting | ","")&amp;IF(B577&gt;Settings!$C$8,"Posted after close | ","")&amp;IF(OR(B577&lt;Settings!$C$6,B577&gt;Settings!$C$7),"Outside period | ","")&amp;IF(COUNTIF(Settings!$E$14:$E$43,C577&amp;"")&gt;0,"Sensitive account | ","")&amp;IF(AND(MAX(N(E577),N(F577))&gt;=Settings!$C$9,MOD(MAX(N(E577),N(F577)),Settings!$C$10)=0),"Round amount | ",""))-3)))</f>
        <v/>
      </c>
      <c r="M577" s="21" t="str">
        <f aca="false">IF(A577="","",IF(COUNTIF($A$9:A577,A577)=1,MAX($M$8:M576)+1,""))</f>
        <v/>
      </c>
    </row>
    <row r="578" customFormat="false" ht="15" hidden="false" customHeight="false" outlineLevel="0" collapsed="false">
      <c r="A578" s="8"/>
      <c r="B578" s="17"/>
      <c r="C578" s="19"/>
      <c r="D578" s="8"/>
      <c r="E578" s="18"/>
      <c r="F578" s="18"/>
      <c r="G578" s="8"/>
      <c r="H578" s="8"/>
      <c r="I578" s="8"/>
      <c r="J578" s="8"/>
      <c r="K578" s="10" t="str">
        <f aca="false">IF(A578="","",IF(ABS(SUMIFS($E$9:$E$2008,$A$9:$A$2008,A578)-SUMIFS($F$9:$F$2008,$A$9:$A$2008,A578))&lt;0.5,"Yes","No"))</f>
        <v/>
      </c>
      <c r="L578" s="10" t="str">
        <f aca="false">IF(A578="","",IF(IF(K578="No","Does not balance | ","")&amp;IF(I578="","Not approved | ",IF(UPPER(TRIM(H578))=UPPER(TRIM(I578)),"Self-approved | ",""))&amp;IF(J578="","No support | ","")&amp;IF(WEEKDAY(B578,2)&gt;5,"Weekend posting | ","")&amp;IF(COUNTIF(Settings!$A$14:$A$43,B578)&gt;0,"Holiday posting | ","")&amp;IF(B578&gt;Settings!$C$8,"Posted after close | ","")&amp;IF(OR(B578&lt;Settings!$C$6,B578&gt;Settings!$C$7),"Outside period | ","")&amp;IF(COUNTIF(Settings!$E$14:$E$43,C578&amp;"")&gt;0,"Sensitive account | ","")&amp;IF(AND(MAX(N(E578),N(F578))&gt;=Settings!$C$9,MOD(MAX(N(E578),N(F578)),Settings!$C$10)=0),"Round amount | ","")="","",LEFT(IF(K578="No","Does not balance | ","")&amp;IF(I578="","Not approved | ",IF(UPPER(TRIM(H578))=UPPER(TRIM(I578)),"Self-approved | ",""))&amp;IF(J578="","No support | ","")&amp;IF(WEEKDAY(B578,2)&gt;5,"Weekend posting | ","")&amp;IF(COUNTIF(Settings!$A$14:$A$43,B578)&gt;0,"Holiday posting | ","")&amp;IF(B578&gt;Settings!$C$8,"Posted after close | ","")&amp;IF(OR(B578&lt;Settings!$C$6,B578&gt;Settings!$C$7),"Outside period | ","")&amp;IF(COUNTIF(Settings!$E$14:$E$43,C578&amp;"")&gt;0,"Sensitive account | ","")&amp;IF(AND(MAX(N(E578),N(F578))&gt;=Settings!$C$9,MOD(MAX(N(E578),N(F578)),Settings!$C$10)=0),"Round amount | ",""),LEN(IF(K578="No","Does not balance | ","")&amp;IF(I578="","Not approved | ",IF(UPPER(TRIM(H578))=UPPER(TRIM(I578)),"Self-approved | ",""))&amp;IF(J578="","No support | ","")&amp;IF(WEEKDAY(B578,2)&gt;5,"Weekend posting | ","")&amp;IF(COUNTIF(Settings!$A$14:$A$43,B578)&gt;0,"Holiday posting | ","")&amp;IF(B578&gt;Settings!$C$8,"Posted after close | ","")&amp;IF(OR(B578&lt;Settings!$C$6,B578&gt;Settings!$C$7),"Outside period | ","")&amp;IF(COUNTIF(Settings!$E$14:$E$43,C578&amp;"")&gt;0,"Sensitive account | ","")&amp;IF(AND(MAX(N(E578),N(F578))&gt;=Settings!$C$9,MOD(MAX(N(E578),N(F578)),Settings!$C$10)=0),"Round amount | ",""))-3)))</f>
        <v/>
      </c>
      <c r="M578" s="21" t="str">
        <f aca="false">IF(A578="","",IF(COUNTIF($A$9:A578,A578)=1,MAX($M$8:M577)+1,""))</f>
        <v/>
      </c>
    </row>
    <row r="579" customFormat="false" ht="15" hidden="false" customHeight="false" outlineLevel="0" collapsed="false">
      <c r="A579" s="8"/>
      <c r="B579" s="17"/>
      <c r="C579" s="19"/>
      <c r="D579" s="8"/>
      <c r="E579" s="18"/>
      <c r="F579" s="18"/>
      <c r="G579" s="8"/>
      <c r="H579" s="8"/>
      <c r="I579" s="8"/>
      <c r="J579" s="8"/>
      <c r="K579" s="10" t="str">
        <f aca="false">IF(A579="","",IF(ABS(SUMIFS($E$9:$E$2008,$A$9:$A$2008,A579)-SUMIFS($F$9:$F$2008,$A$9:$A$2008,A579))&lt;0.5,"Yes","No"))</f>
        <v/>
      </c>
      <c r="L579" s="10" t="str">
        <f aca="false">IF(A579="","",IF(IF(K579="No","Does not balance | ","")&amp;IF(I579="","Not approved | ",IF(UPPER(TRIM(H579))=UPPER(TRIM(I579)),"Self-approved | ",""))&amp;IF(J579="","No support | ","")&amp;IF(WEEKDAY(B579,2)&gt;5,"Weekend posting | ","")&amp;IF(COUNTIF(Settings!$A$14:$A$43,B579)&gt;0,"Holiday posting | ","")&amp;IF(B579&gt;Settings!$C$8,"Posted after close | ","")&amp;IF(OR(B579&lt;Settings!$C$6,B579&gt;Settings!$C$7),"Outside period | ","")&amp;IF(COUNTIF(Settings!$E$14:$E$43,C579&amp;"")&gt;0,"Sensitive account | ","")&amp;IF(AND(MAX(N(E579),N(F579))&gt;=Settings!$C$9,MOD(MAX(N(E579),N(F579)),Settings!$C$10)=0),"Round amount | ","")="","",LEFT(IF(K579="No","Does not balance | ","")&amp;IF(I579="","Not approved | ",IF(UPPER(TRIM(H579))=UPPER(TRIM(I579)),"Self-approved | ",""))&amp;IF(J579="","No support | ","")&amp;IF(WEEKDAY(B579,2)&gt;5,"Weekend posting | ","")&amp;IF(COUNTIF(Settings!$A$14:$A$43,B579)&gt;0,"Holiday posting | ","")&amp;IF(B579&gt;Settings!$C$8,"Posted after close | ","")&amp;IF(OR(B579&lt;Settings!$C$6,B579&gt;Settings!$C$7),"Outside period | ","")&amp;IF(COUNTIF(Settings!$E$14:$E$43,C579&amp;"")&gt;0,"Sensitive account | ","")&amp;IF(AND(MAX(N(E579),N(F579))&gt;=Settings!$C$9,MOD(MAX(N(E579),N(F579)),Settings!$C$10)=0),"Round amount | ",""),LEN(IF(K579="No","Does not balance | ","")&amp;IF(I579="","Not approved | ",IF(UPPER(TRIM(H579))=UPPER(TRIM(I579)),"Self-approved | ",""))&amp;IF(J579="","No support | ","")&amp;IF(WEEKDAY(B579,2)&gt;5,"Weekend posting | ","")&amp;IF(COUNTIF(Settings!$A$14:$A$43,B579)&gt;0,"Holiday posting | ","")&amp;IF(B579&gt;Settings!$C$8,"Posted after close | ","")&amp;IF(OR(B579&lt;Settings!$C$6,B579&gt;Settings!$C$7),"Outside period | ","")&amp;IF(COUNTIF(Settings!$E$14:$E$43,C579&amp;"")&gt;0,"Sensitive account | ","")&amp;IF(AND(MAX(N(E579),N(F579))&gt;=Settings!$C$9,MOD(MAX(N(E579),N(F579)),Settings!$C$10)=0),"Round amount | ",""))-3)))</f>
        <v/>
      </c>
      <c r="M579" s="21" t="str">
        <f aca="false">IF(A579="","",IF(COUNTIF($A$9:A579,A579)=1,MAX($M$8:M578)+1,""))</f>
        <v/>
      </c>
    </row>
    <row r="580" customFormat="false" ht="15" hidden="false" customHeight="false" outlineLevel="0" collapsed="false">
      <c r="A580" s="8"/>
      <c r="B580" s="17"/>
      <c r="C580" s="19"/>
      <c r="D580" s="8"/>
      <c r="E580" s="18"/>
      <c r="F580" s="18"/>
      <c r="G580" s="8"/>
      <c r="H580" s="8"/>
      <c r="I580" s="8"/>
      <c r="J580" s="8"/>
      <c r="K580" s="10" t="str">
        <f aca="false">IF(A580="","",IF(ABS(SUMIFS($E$9:$E$2008,$A$9:$A$2008,A580)-SUMIFS($F$9:$F$2008,$A$9:$A$2008,A580))&lt;0.5,"Yes","No"))</f>
        <v/>
      </c>
      <c r="L580" s="10" t="str">
        <f aca="false">IF(A580="","",IF(IF(K580="No","Does not balance | ","")&amp;IF(I580="","Not approved | ",IF(UPPER(TRIM(H580))=UPPER(TRIM(I580)),"Self-approved | ",""))&amp;IF(J580="","No support | ","")&amp;IF(WEEKDAY(B580,2)&gt;5,"Weekend posting | ","")&amp;IF(COUNTIF(Settings!$A$14:$A$43,B580)&gt;0,"Holiday posting | ","")&amp;IF(B580&gt;Settings!$C$8,"Posted after close | ","")&amp;IF(OR(B580&lt;Settings!$C$6,B580&gt;Settings!$C$7),"Outside period | ","")&amp;IF(COUNTIF(Settings!$E$14:$E$43,C580&amp;"")&gt;0,"Sensitive account | ","")&amp;IF(AND(MAX(N(E580),N(F580))&gt;=Settings!$C$9,MOD(MAX(N(E580),N(F580)),Settings!$C$10)=0),"Round amount | ","")="","",LEFT(IF(K580="No","Does not balance | ","")&amp;IF(I580="","Not approved | ",IF(UPPER(TRIM(H580))=UPPER(TRIM(I580)),"Self-approved | ",""))&amp;IF(J580="","No support | ","")&amp;IF(WEEKDAY(B580,2)&gt;5,"Weekend posting | ","")&amp;IF(COUNTIF(Settings!$A$14:$A$43,B580)&gt;0,"Holiday posting | ","")&amp;IF(B580&gt;Settings!$C$8,"Posted after close | ","")&amp;IF(OR(B580&lt;Settings!$C$6,B580&gt;Settings!$C$7),"Outside period | ","")&amp;IF(COUNTIF(Settings!$E$14:$E$43,C580&amp;"")&gt;0,"Sensitive account | ","")&amp;IF(AND(MAX(N(E580),N(F580))&gt;=Settings!$C$9,MOD(MAX(N(E580),N(F580)),Settings!$C$10)=0),"Round amount | ",""),LEN(IF(K580="No","Does not balance | ","")&amp;IF(I580="","Not approved | ",IF(UPPER(TRIM(H580))=UPPER(TRIM(I580)),"Self-approved | ",""))&amp;IF(J580="","No support | ","")&amp;IF(WEEKDAY(B580,2)&gt;5,"Weekend posting | ","")&amp;IF(COUNTIF(Settings!$A$14:$A$43,B580)&gt;0,"Holiday posting | ","")&amp;IF(B580&gt;Settings!$C$8,"Posted after close | ","")&amp;IF(OR(B580&lt;Settings!$C$6,B580&gt;Settings!$C$7),"Outside period | ","")&amp;IF(COUNTIF(Settings!$E$14:$E$43,C580&amp;"")&gt;0,"Sensitive account | ","")&amp;IF(AND(MAX(N(E580),N(F580))&gt;=Settings!$C$9,MOD(MAX(N(E580),N(F580)),Settings!$C$10)=0),"Round amount | ",""))-3)))</f>
        <v/>
      </c>
      <c r="M580" s="21" t="str">
        <f aca="false">IF(A580="","",IF(COUNTIF($A$9:A580,A580)=1,MAX($M$8:M579)+1,""))</f>
        <v/>
      </c>
    </row>
    <row r="581" customFormat="false" ht="15" hidden="false" customHeight="false" outlineLevel="0" collapsed="false">
      <c r="A581" s="8"/>
      <c r="B581" s="17"/>
      <c r="C581" s="19"/>
      <c r="D581" s="8"/>
      <c r="E581" s="18"/>
      <c r="F581" s="18"/>
      <c r="G581" s="8"/>
      <c r="H581" s="8"/>
      <c r="I581" s="8"/>
      <c r="J581" s="8"/>
      <c r="K581" s="10" t="str">
        <f aca="false">IF(A581="","",IF(ABS(SUMIFS($E$9:$E$2008,$A$9:$A$2008,A581)-SUMIFS($F$9:$F$2008,$A$9:$A$2008,A581))&lt;0.5,"Yes","No"))</f>
        <v/>
      </c>
      <c r="L581" s="10" t="str">
        <f aca="false">IF(A581="","",IF(IF(K581="No","Does not balance | ","")&amp;IF(I581="","Not approved | ",IF(UPPER(TRIM(H581))=UPPER(TRIM(I581)),"Self-approved | ",""))&amp;IF(J581="","No support | ","")&amp;IF(WEEKDAY(B581,2)&gt;5,"Weekend posting | ","")&amp;IF(COUNTIF(Settings!$A$14:$A$43,B581)&gt;0,"Holiday posting | ","")&amp;IF(B581&gt;Settings!$C$8,"Posted after close | ","")&amp;IF(OR(B581&lt;Settings!$C$6,B581&gt;Settings!$C$7),"Outside period | ","")&amp;IF(COUNTIF(Settings!$E$14:$E$43,C581&amp;"")&gt;0,"Sensitive account | ","")&amp;IF(AND(MAX(N(E581),N(F581))&gt;=Settings!$C$9,MOD(MAX(N(E581),N(F581)),Settings!$C$10)=0),"Round amount | ","")="","",LEFT(IF(K581="No","Does not balance | ","")&amp;IF(I581="","Not approved | ",IF(UPPER(TRIM(H581))=UPPER(TRIM(I581)),"Self-approved | ",""))&amp;IF(J581="","No support | ","")&amp;IF(WEEKDAY(B581,2)&gt;5,"Weekend posting | ","")&amp;IF(COUNTIF(Settings!$A$14:$A$43,B581)&gt;0,"Holiday posting | ","")&amp;IF(B581&gt;Settings!$C$8,"Posted after close | ","")&amp;IF(OR(B581&lt;Settings!$C$6,B581&gt;Settings!$C$7),"Outside period | ","")&amp;IF(COUNTIF(Settings!$E$14:$E$43,C581&amp;"")&gt;0,"Sensitive account | ","")&amp;IF(AND(MAX(N(E581),N(F581))&gt;=Settings!$C$9,MOD(MAX(N(E581),N(F581)),Settings!$C$10)=0),"Round amount | ",""),LEN(IF(K581="No","Does not balance | ","")&amp;IF(I581="","Not approved | ",IF(UPPER(TRIM(H581))=UPPER(TRIM(I581)),"Self-approved | ",""))&amp;IF(J581="","No support | ","")&amp;IF(WEEKDAY(B581,2)&gt;5,"Weekend posting | ","")&amp;IF(COUNTIF(Settings!$A$14:$A$43,B581)&gt;0,"Holiday posting | ","")&amp;IF(B581&gt;Settings!$C$8,"Posted after close | ","")&amp;IF(OR(B581&lt;Settings!$C$6,B581&gt;Settings!$C$7),"Outside period | ","")&amp;IF(COUNTIF(Settings!$E$14:$E$43,C581&amp;"")&gt;0,"Sensitive account | ","")&amp;IF(AND(MAX(N(E581),N(F581))&gt;=Settings!$C$9,MOD(MAX(N(E581),N(F581)),Settings!$C$10)=0),"Round amount | ",""))-3)))</f>
        <v/>
      </c>
      <c r="M581" s="21" t="str">
        <f aca="false">IF(A581="","",IF(COUNTIF($A$9:A581,A581)=1,MAX($M$8:M580)+1,""))</f>
        <v/>
      </c>
    </row>
    <row r="582" customFormat="false" ht="15" hidden="false" customHeight="false" outlineLevel="0" collapsed="false">
      <c r="A582" s="8"/>
      <c r="B582" s="17"/>
      <c r="C582" s="19"/>
      <c r="D582" s="8"/>
      <c r="E582" s="18"/>
      <c r="F582" s="18"/>
      <c r="G582" s="8"/>
      <c r="H582" s="8"/>
      <c r="I582" s="8"/>
      <c r="J582" s="8"/>
      <c r="K582" s="10" t="str">
        <f aca="false">IF(A582="","",IF(ABS(SUMIFS($E$9:$E$2008,$A$9:$A$2008,A582)-SUMIFS($F$9:$F$2008,$A$9:$A$2008,A582))&lt;0.5,"Yes","No"))</f>
        <v/>
      </c>
      <c r="L582" s="10" t="str">
        <f aca="false">IF(A582="","",IF(IF(K582="No","Does not balance | ","")&amp;IF(I582="","Not approved | ",IF(UPPER(TRIM(H582))=UPPER(TRIM(I582)),"Self-approved | ",""))&amp;IF(J582="","No support | ","")&amp;IF(WEEKDAY(B582,2)&gt;5,"Weekend posting | ","")&amp;IF(COUNTIF(Settings!$A$14:$A$43,B582)&gt;0,"Holiday posting | ","")&amp;IF(B582&gt;Settings!$C$8,"Posted after close | ","")&amp;IF(OR(B582&lt;Settings!$C$6,B582&gt;Settings!$C$7),"Outside period | ","")&amp;IF(COUNTIF(Settings!$E$14:$E$43,C582&amp;"")&gt;0,"Sensitive account | ","")&amp;IF(AND(MAX(N(E582),N(F582))&gt;=Settings!$C$9,MOD(MAX(N(E582),N(F582)),Settings!$C$10)=0),"Round amount | ","")="","",LEFT(IF(K582="No","Does not balance | ","")&amp;IF(I582="","Not approved | ",IF(UPPER(TRIM(H582))=UPPER(TRIM(I582)),"Self-approved | ",""))&amp;IF(J582="","No support | ","")&amp;IF(WEEKDAY(B582,2)&gt;5,"Weekend posting | ","")&amp;IF(COUNTIF(Settings!$A$14:$A$43,B582)&gt;0,"Holiday posting | ","")&amp;IF(B582&gt;Settings!$C$8,"Posted after close | ","")&amp;IF(OR(B582&lt;Settings!$C$6,B582&gt;Settings!$C$7),"Outside period | ","")&amp;IF(COUNTIF(Settings!$E$14:$E$43,C582&amp;"")&gt;0,"Sensitive account | ","")&amp;IF(AND(MAX(N(E582),N(F582))&gt;=Settings!$C$9,MOD(MAX(N(E582),N(F582)),Settings!$C$10)=0),"Round amount | ",""),LEN(IF(K582="No","Does not balance | ","")&amp;IF(I582="","Not approved | ",IF(UPPER(TRIM(H582))=UPPER(TRIM(I582)),"Self-approved | ",""))&amp;IF(J582="","No support | ","")&amp;IF(WEEKDAY(B582,2)&gt;5,"Weekend posting | ","")&amp;IF(COUNTIF(Settings!$A$14:$A$43,B582)&gt;0,"Holiday posting | ","")&amp;IF(B582&gt;Settings!$C$8,"Posted after close | ","")&amp;IF(OR(B582&lt;Settings!$C$6,B582&gt;Settings!$C$7),"Outside period | ","")&amp;IF(COUNTIF(Settings!$E$14:$E$43,C582&amp;"")&gt;0,"Sensitive account | ","")&amp;IF(AND(MAX(N(E582),N(F582))&gt;=Settings!$C$9,MOD(MAX(N(E582),N(F582)),Settings!$C$10)=0),"Round amount | ",""))-3)))</f>
        <v/>
      </c>
      <c r="M582" s="21" t="str">
        <f aca="false">IF(A582="","",IF(COUNTIF($A$9:A582,A582)=1,MAX($M$8:M581)+1,""))</f>
        <v/>
      </c>
    </row>
    <row r="583" customFormat="false" ht="15" hidden="false" customHeight="false" outlineLevel="0" collapsed="false">
      <c r="A583" s="8"/>
      <c r="B583" s="17"/>
      <c r="C583" s="19"/>
      <c r="D583" s="8"/>
      <c r="E583" s="18"/>
      <c r="F583" s="18"/>
      <c r="G583" s="8"/>
      <c r="H583" s="8"/>
      <c r="I583" s="8"/>
      <c r="J583" s="8"/>
      <c r="K583" s="10" t="str">
        <f aca="false">IF(A583="","",IF(ABS(SUMIFS($E$9:$E$2008,$A$9:$A$2008,A583)-SUMIFS($F$9:$F$2008,$A$9:$A$2008,A583))&lt;0.5,"Yes","No"))</f>
        <v/>
      </c>
      <c r="L583" s="10" t="str">
        <f aca="false">IF(A583="","",IF(IF(K583="No","Does not balance | ","")&amp;IF(I583="","Not approved | ",IF(UPPER(TRIM(H583))=UPPER(TRIM(I583)),"Self-approved | ",""))&amp;IF(J583="","No support | ","")&amp;IF(WEEKDAY(B583,2)&gt;5,"Weekend posting | ","")&amp;IF(COUNTIF(Settings!$A$14:$A$43,B583)&gt;0,"Holiday posting | ","")&amp;IF(B583&gt;Settings!$C$8,"Posted after close | ","")&amp;IF(OR(B583&lt;Settings!$C$6,B583&gt;Settings!$C$7),"Outside period | ","")&amp;IF(COUNTIF(Settings!$E$14:$E$43,C583&amp;"")&gt;0,"Sensitive account | ","")&amp;IF(AND(MAX(N(E583),N(F583))&gt;=Settings!$C$9,MOD(MAX(N(E583),N(F583)),Settings!$C$10)=0),"Round amount | ","")="","",LEFT(IF(K583="No","Does not balance | ","")&amp;IF(I583="","Not approved | ",IF(UPPER(TRIM(H583))=UPPER(TRIM(I583)),"Self-approved | ",""))&amp;IF(J583="","No support | ","")&amp;IF(WEEKDAY(B583,2)&gt;5,"Weekend posting | ","")&amp;IF(COUNTIF(Settings!$A$14:$A$43,B583)&gt;0,"Holiday posting | ","")&amp;IF(B583&gt;Settings!$C$8,"Posted after close | ","")&amp;IF(OR(B583&lt;Settings!$C$6,B583&gt;Settings!$C$7),"Outside period | ","")&amp;IF(COUNTIF(Settings!$E$14:$E$43,C583&amp;"")&gt;0,"Sensitive account | ","")&amp;IF(AND(MAX(N(E583),N(F583))&gt;=Settings!$C$9,MOD(MAX(N(E583),N(F583)),Settings!$C$10)=0),"Round amount | ",""),LEN(IF(K583="No","Does not balance | ","")&amp;IF(I583="","Not approved | ",IF(UPPER(TRIM(H583))=UPPER(TRIM(I583)),"Self-approved | ",""))&amp;IF(J583="","No support | ","")&amp;IF(WEEKDAY(B583,2)&gt;5,"Weekend posting | ","")&amp;IF(COUNTIF(Settings!$A$14:$A$43,B583)&gt;0,"Holiday posting | ","")&amp;IF(B583&gt;Settings!$C$8,"Posted after close | ","")&amp;IF(OR(B583&lt;Settings!$C$6,B583&gt;Settings!$C$7),"Outside period | ","")&amp;IF(COUNTIF(Settings!$E$14:$E$43,C583&amp;"")&gt;0,"Sensitive account | ","")&amp;IF(AND(MAX(N(E583),N(F583))&gt;=Settings!$C$9,MOD(MAX(N(E583),N(F583)),Settings!$C$10)=0),"Round amount | ",""))-3)))</f>
        <v/>
      </c>
      <c r="M583" s="21" t="str">
        <f aca="false">IF(A583="","",IF(COUNTIF($A$9:A583,A583)=1,MAX($M$8:M582)+1,""))</f>
        <v/>
      </c>
    </row>
    <row r="584" customFormat="false" ht="15" hidden="false" customHeight="false" outlineLevel="0" collapsed="false">
      <c r="A584" s="8"/>
      <c r="B584" s="17"/>
      <c r="C584" s="19"/>
      <c r="D584" s="8"/>
      <c r="E584" s="18"/>
      <c r="F584" s="18"/>
      <c r="G584" s="8"/>
      <c r="H584" s="8"/>
      <c r="I584" s="8"/>
      <c r="J584" s="8"/>
      <c r="K584" s="10" t="str">
        <f aca="false">IF(A584="","",IF(ABS(SUMIFS($E$9:$E$2008,$A$9:$A$2008,A584)-SUMIFS($F$9:$F$2008,$A$9:$A$2008,A584))&lt;0.5,"Yes","No"))</f>
        <v/>
      </c>
      <c r="L584" s="10" t="str">
        <f aca="false">IF(A584="","",IF(IF(K584="No","Does not balance | ","")&amp;IF(I584="","Not approved | ",IF(UPPER(TRIM(H584))=UPPER(TRIM(I584)),"Self-approved | ",""))&amp;IF(J584="","No support | ","")&amp;IF(WEEKDAY(B584,2)&gt;5,"Weekend posting | ","")&amp;IF(COUNTIF(Settings!$A$14:$A$43,B584)&gt;0,"Holiday posting | ","")&amp;IF(B584&gt;Settings!$C$8,"Posted after close | ","")&amp;IF(OR(B584&lt;Settings!$C$6,B584&gt;Settings!$C$7),"Outside period | ","")&amp;IF(COUNTIF(Settings!$E$14:$E$43,C584&amp;"")&gt;0,"Sensitive account | ","")&amp;IF(AND(MAX(N(E584),N(F584))&gt;=Settings!$C$9,MOD(MAX(N(E584),N(F584)),Settings!$C$10)=0),"Round amount | ","")="","",LEFT(IF(K584="No","Does not balance | ","")&amp;IF(I584="","Not approved | ",IF(UPPER(TRIM(H584))=UPPER(TRIM(I584)),"Self-approved | ",""))&amp;IF(J584="","No support | ","")&amp;IF(WEEKDAY(B584,2)&gt;5,"Weekend posting | ","")&amp;IF(COUNTIF(Settings!$A$14:$A$43,B584)&gt;0,"Holiday posting | ","")&amp;IF(B584&gt;Settings!$C$8,"Posted after close | ","")&amp;IF(OR(B584&lt;Settings!$C$6,B584&gt;Settings!$C$7),"Outside period | ","")&amp;IF(COUNTIF(Settings!$E$14:$E$43,C584&amp;"")&gt;0,"Sensitive account | ","")&amp;IF(AND(MAX(N(E584),N(F584))&gt;=Settings!$C$9,MOD(MAX(N(E584),N(F584)),Settings!$C$10)=0),"Round amount | ",""),LEN(IF(K584="No","Does not balance | ","")&amp;IF(I584="","Not approved | ",IF(UPPER(TRIM(H584))=UPPER(TRIM(I584)),"Self-approved | ",""))&amp;IF(J584="","No support | ","")&amp;IF(WEEKDAY(B584,2)&gt;5,"Weekend posting | ","")&amp;IF(COUNTIF(Settings!$A$14:$A$43,B584)&gt;0,"Holiday posting | ","")&amp;IF(B584&gt;Settings!$C$8,"Posted after close | ","")&amp;IF(OR(B584&lt;Settings!$C$6,B584&gt;Settings!$C$7),"Outside period | ","")&amp;IF(COUNTIF(Settings!$E$14:$E$43,C584&amp;"")&gt;0,"Sensitive account | ","")&amp;IF(AND(MAX(N(E584),N(F584))&gt;=Settings!$C$9,MOD(MAX(N(E584),N(F584)),Settings!$C$10)=0),"Round amount | ",""))-3)))</f>
        <v/>
      </c>
      <c r="M584" s="21" t="str">
        <f aca="false">IF(A584="","",IF(COUNTIF($A$9:A584,A584)=1,MAX($M$8:M583)+1,""))</f>
        <v/>
      </c>
    </row>
    <row r="585" customFormat="false" ht="15" hidden="false" customHeight="false" outlineLevel="0" collapsed="false">
      <c r="A585" s="8"/>
      <c r="B585" s="17"/>
      <c r="C585" s="19"/>
      <c r="D585" s="8"/>
      <c r="E585" s="18"/>
      <c r="F585" s="18"/>
      <c r="G585" s="8"/>
      <c r="H585" s="8"/>
      <c r="I585" s="8"/>
      <c r="J585" s="8"/>
      <c r="K585" s="10" t="str">
        <f aca="false">IF(A585="","",IF(ABS(SUMIFS($E$9:$E$2008,$A$9:$A$2008,A585)-SUMIFS($F$9:$F$2008,$A$9:$A$2008,A585))&lt;0.5,"Yes","No"))</f>
        <v/>
      </c>
      <c r="L585" s="10" t="str">
        <f aca="false">IF(A585="","",IF(IF(K585="No","Does not balance | ","")&amp;IF(I585="","Not approved | ",IF(UPPER(TRIM(H585))=UPPER(TRIM(I585)),"Self-approved | ",""))&amp;IF(J585="","No support | ","")&amp;IF(WEEKDAY(B585,2)&gt;5,"Weekend posting | ","")&amp;IF(COUNTIF(Settings!$A$14:$A$43,B585)&gt;0,"Holiday posting | ","")&amp;IF(B585&gt;Settings!$C$8,"Posted after close | ","")&amp;IF(OR(B585&lt;Settings!$C$6,B585&gt;Settings!$C$7),"Outside period | ","")&amp;IF(COUNTIF(Settings!$E$14:$E$43,C585&amp;"")&gt;0,"Sensitive account | ","")&amp;IF(AND(MAX(N(E585),N(F585))&gt;=Settings!$C$9,MOD(MAX(N(E585),N(F585)),Settings!$C$10)=0),"Round amount | ","")="","",LEFT(IF(K585="No","Does not balance | ","")&amp;IF(I585="","Not approved | ",IF(UPPER(TRIM(H585))=UPPER(TRIM(I585)),"Self-approved | ",""))&amp;IF(J585="","No support | ","")&amp;IF(WEEKDAY(B585,2)&gt;5,"Weekend posting | ","")&amp;IF(COUNTIF(Settings!$A$14:$A$43,B585)&gt;0,"Holiday posting | ","")&amp;IF(B585&gt;Settings!$C$8,"Posted after close | ","")&amp;IF(OR(B585&lt;Settings!$C$6,B585&gt;Settings!$C$7),"Outside period | ","")&amp;IF(COUNTIF(Settings!$E$14:$E$43,C585&amp;"")&gt;0,"Sensitive account | ","")&amp;IF(AND(MAX(N(E585),N(F585))&gt;=Settings!$C$9,MOD(MAX(N(E585),N(F585)),Settings!$C$10)=0),"Round amount | ",""),LEN(IF(K585="No","Does not balance | ","")&amp;IF(I585="","Not approved | ",IF(UPPER(TRIM(H585))=UPPER(TRIM(I585)),"Self-approved | ",""))&amp;IF(J585="","No support | ","")&amp;IF(WEEKDAY(B585,2)&gt;5,"Weekend posting | ","")&amp;IF(COUNTIF(Settings!$A$14:$A$43,B585)&gt;0,"Holiday posting | ","")&amp;IF(B585&gt;Settings!$C$8,"Posted after close | ","")&amp;IF(OR(B585&lt;Settings!$C$6,B585&gt;Settings!$C$7),"Outside period | ","")&amp;IF(COUNTIF(Settings!$E$14:$E$43,C585&amp;"")&gt;0,"Sensitive account | ","")&amp;IF(AND(MAX(N(E585),N(F585))&gt;=Settings!$C$9,MOD(MAX(N(E585),N(F585)),Settings!$C$10)=0),"Round amount | ",""))-3)))</f>
        <v/>
      </c>
      <c r="M585" s="21" t="str">
        <f aca="false">IF(A585="","",IF(COUNTIF($A$9:A585,A585)=1,MAX($M$8:M584)+1,""))</f>
        <v/>
      </c>
    </row>
    <row r="586" customFormat="false" ht="15" hidden="false" customHeight="false" outlineLevel="0" collapsed="false">
      <c r="A586" s="8"/>
      <c r="B586" s="17"/>
      <c r="C586" s="19"/>
      <c r="D586" s="8"/>
      <c r="E586" s="18"/>
      <c r="F586" s="18"/>
      <c r="G586" s="8"/>
      <c r="H586" s="8"/>
      <c r="I586" s="8"/>
      <c r="J586" s="8"/>
      <c r="K586" s="10" t="str">
        <f aca="false">IF(A586="","",IF(ABS(SUMIFS($E$9:$E$2008,$A$9:$A$2008,A586)-SUMIFS($F$9:$F$2008,$A$9:$A$2008,A586))&lt;0.5,"Yes","No"))</f>
        <v/>
      </c>
      <c r="L586" s="10" t="str">
        <f aca="false">IF(A586="","",IF(IF(K586="No","Does not balance | ","")&amp;IF(I586="","Not approved | ",IF(UPPER(TRIM(H586))=UPPER(TRIM(I586)),"Self-approved | ",""))&amp;IF(J586="","No support | ","")&amp;IF(WEEKDAY(B586,2)&gt;5,"Weekend posting | ","")&amp;IF(COUNTIF(Settings!$A$14:$A$43,B586)&gt;0,"Holiday posting | ","")&amp;IF(B586&gt;Settings!$C$8,"Posted after close | ","")&amp;IF(OR(B586&lt;Settings!$C$6,B586&gt;Settings!$C$7),"Outside period | ","")&amp;IF(COUNTIF(Settings!$E$14:$E$43,C586&amp;"")&gt;0,"Sensitive account | ","")&amp;IF(AND(MAX(N(E586),N(F586))&gt;=Settings!$C$9,MOD(MAX(N(E586),N(F586)),Settings!$C$10)=0),"Round amount | ","")="","",LEFT(IF(K586="No","Does not balance | ","")&amp;IF(I586="","Not approved | ",IF(UPPER(TRIM(H586))=UPPER(TRIM(I586)),"Self-approved | ",""))&amp;IF(J586="","No support | ","")&amp;IF(WEEKDAY(B586,2)&gt;5,"Weekend posting | ","")&amp;IF(COUNTIF(Settings!$A$14:$A$43,B586)&gt;0,"Holiday posting | ","")&amp;IF(B586&gt;Settings!$C$8,"Posted after close | ","")&amp;IF(OR(B586&lt;Settings!$C$6,B586&gt;Settings!$C$7),"Outside period | ","")&amp;IF(COUNTIF(Settings!$E$14:$E$43,C586&amp;"")&gt;0,"Sensitive account | ","")&amp;IF(AND(MAX(N(E586),N(F586))&gt;=Settings!$C$9,MOD(MAX(N(E586),N(F586)),Settings!$C$10)=0),"Round amount | ",""),LEN(IF(K586="No","Does not balance | ","")&amp;IF(I586="","Not approved | ",IF(UPPER(TRIM(H586))=UPPER(TRIM(I586)),"Self-approved | ",""))&amp;IF(J586="","No support | ","")&amp;IF(WEEKDAY(B586,2)&gt;5,"Weekend posting | ","")&amp;IF(COUNTIF(Settings!$A$14:$A$43,B586)&gt;0,"Holiday posting | ","")&amp;IF(B586&gt;Settings!$C$8,"Posted after close | ","")&amp;IF(OR(B586&lt;Settings!$C$6,B586&gt;Settings!$C$7),"Outside period | ","")&amp;IF(COUNTIF(Settings!$E$14:$E$43,C586&amp;"")&gt;0,"Sensitive account | ","")&amp;IF(AND(MAX(N(E586),N(F586))&gt;=Settings!$C$9,MOD(MAX(N(E586),N(F586)),Settings!$C$10)=0),"Round amount | ",""))-3)))</f>
        <v/>
      </c>
      <c r="M586" s="21" t="str">
        <f aca="false">IF(A586="","",IF(COUNTIF($A$9:A586,A586)=1,MAX($M$8:M585)+1,""))</f>
        <v/>
      </c>
    </row>
    <row r="587" customFormat="false" ht="15" hidden="false" customHeight="false" outlineLevel="0" collapsed="false">
      <c r="A587" s="8"/>
      <c r="B587" s="17"/>
      <c r="C587" s="19"/>
      <c r="D587" s="8"/>
      <c r="E587" s="18"/>
      <c r="F587" s="18"/>
      <c r="G587" s="8"/>
      <c r="H587" s="8"/>
      <c r="I587" s="8"/>
      <c r="J587" s="8"/>
      <c r="K587" s="10" t="str">
        <f aca="false">IF(A587="","",IF(ABS(SUMIFS($E$9:$E$2008,$A$9:$A$2008,A587)-SUMIFS($F$9:$F$2008,$A$9:$A$2008,A587))&lt;0.5,"Yes","No"))</f>
        <v/>
      </c>
      <c r="L587" s="10" t="str">
        <f aca="false">IF(A587="","",IF(IF(K587="No","Does not balance | ","")&amp;IF(I587="","Not approved | ",IF(UPPER(TRIM(H587))=UPPER(TRIM(I587)),"Self-approved | ",""))&amp;IF(J587="","No support | ","")&amp;IF(WEEKDAY(B587,2)&gt;5,"Weekend posting | ","")&amp;IF(COUNTIF(Settings!$A$14:$A$43,B587)&gt;0,"Holiday posting | ","")&amp;IF(B587&gt;Settings!$C$8,"Posted after close | ","")&amp;IF(OR(B587&lt;Settings!$C$6,B587&gt;Settings!$C$7),"Outside period | ","")&amp;IF(COUNTIF(Settings!$E$14:$E$43,C587&amp;"")&gt;0,"Sensitive account | ","")&amp;IF(AND(MAX(N(E587),N(F587))&gt;=Settings!$C$9,MOD(MAX(N(E587),N(F587)),Settings!$C$10)=0),"Round amount | ","")="","",LEFT(IF(K587="No","Does not balance | ","")&amp;IF(I587="","Not approved | ",IF(UPPER(TRIM(H587))=UPPER(TRIM(I587)),"Self-approved | ",""))&amp;IF(J587="","No support | ","")&amp;IF(WEEKDAY(B587,2)&gt;5,"Weekend posting | ","")&amp;IF(COUNTIF(Settings!$A$14:$A$43,B587)&gt;0,"Holiday posting | ","")&amp;IF(B587&gt;Settings!$C$8,"Posted after close | ","")&amp;IF(OR(B587&lt;Settings!$C$6,B587&gt;Settings!$C$7),"Outside period | ","")&amp;IF(COUNTIF(Settings!$E$14:$E$43,C587&amp;"")&gt;0,"Sensitive account | ","")&amp;IF(AND(MAX(N(E587),N(F587))&gt;=Settings!$C$9,MOD(MAX(N(E587),N(F587)),Settings!$C$10)=0),"Round amount | ",""),LEN(IF(K587="No","Does not balance | ","")&amp;IF(I587="","Not approved | ",IF(UPPER(TRIM(H587))=UPPER(TRIM(I587)),"Self-approved | ",""))&amp;IF(J587="","No support | ","")&amp;IF(WEEKDAY(B587,2)&gt;5,"Weekend posting | ","")&amp;IF(COUNTIF(Settings!$A$14:$A$43,B587)&gt;0,"Holiday posting | ","")&amp;IF(B587&gt;Settings!$C$8,"Posted after close | ","")&amp;IF(OR(B587&lt;Settings!$C$6,B587&gt;Settings!$C$7),"Outside period | ","")&amp;IF(COUNTIF(Settings!$E$14:$E$43,C587&amp;"")&gt;0,"Sensitive account | ","")&amp;IF(AND(MAX(N(E587),N(F587))&gt;=Settings!$C$9,MOD(MAX(N(E587),N(F587)),Settings!$C$10)=0),"Round amount | ",""))-3)))</f>
        <v/>
      </c>
      <c r="M587" s="21" t="str">
        <f aca="false">IF(A587="","",IF(COUNTIF($A$9:A587,A587)=1,MAX($M$8:M586)+1,""))</f>
        <v/>
      </c>
    </row>
    <row r="588" customFormat="false" ht="15" hidden="false" customHeight="false" outlineLevel="0" collapsed="false">
      <c r="A588" s="8"/>
      <c r="B588" s="17"/>
      <c r="C588" s="19"/>
      <c r="D588" s="8"/>
      <c r="E588" s="18"/>
      <c r="F588" s="18"/>
      <c r="G588" s="8"/>
      <c r="H588" s="8"/>
      <c r="I588" s="8"/>
      <c r="J588" s="8"/>
      <c r="K588" s="10" t="str">
        <f aca="false">IF(A588="","",IF(ABS(SUMIFS($E$9:$E$2008,$A$9:$A$2008,A588)-SUMIFS($F$9:$F$2008,$A$9:$A$2008,A588))&lt;0.5,"Yes","No"))</f>
        <v/>
      </c>
      <c r="L588" s="10" t="str">
        <f aca="false">IF(A588="","",IF(IF(K588="No","Does not balance | ","")&amp;IF(I588="","Not approved | ",IF(UPPER(TRIM(H588))=UPPER(TRIM(I588)),"Self-approved | ",""))&amp;IF(J588="","No support | ","")&amp;IF(WEEKDAY(B588,2)&gt;5,"Weekend posting | ","")&amp;IF(COUNTIF(Settings!$A$14:$A$43,B588)&gt;0,"Holiday posting | ","")&amp;IF(B588&gt;Settings!$C$8,"Posted after close | ","")&amp;IF(OR(B588&lt;Settings!$C$6,B588&gt;Settings!$C$7),"Outside period | ","")&amp;IF(COUNTIF(Settings!$E$14:$E$43,C588&amp;"")&gt;0,"Sensitive account | ","")&amp;IF(AND(MAX(N(E588),N(F588))&gt;=Settings!$C$9,MOD(MAX(N(E588),N(F588)),Settings!$C$10)=0),"Round amount | ","")="","",LEFT(IF(K588="No","Does not balance | ","")&amp;IF(I588="","Not approved | ",IF(UPPER(TRIM(H588))=UPPER(TRIM(I588)),"Self-approved | ",""))&amp;IF(J588="","No support | ","")&amp;IF(WEEKDAY(B588,2)&gt;5,"Weekend posting | ","")&amp;IF(COUNTIF(Settings!$A$14:$A$43,B588)&gt;0,"Holiday posting | ","")&amp;IF(B588&gt;Settings!$C$8,"Posted after close | ","")&amp;IF(OR(B588&lt;Settings!$C$6,B588&gt;Settings!$C$7),"Outside period | ","")&amp;IF(COUNTIF(Settings!$E$14:$E$43,C588&amp;"")&gt;0,"Sensitive account | ","")&amp;IF(AND(MAX(N(E588),N(F588))&gt;=Settings!$C$9,MOD(MAX(N(E588),N(F588)),Settings!$C$10)=0),"Round amount | ",""),LEN(IF(K588="No","Does not balance | ","")&amp;IF(I588="","Not approved | ",IF(UPPER(TRIM(H588))=UPPER(TRIM(I588)),"Self-approved | ",""))&amp;IF(J588="","No support | ","")&amp;IF(WEEKDAY(B588,2)&gt;5,"Weekend posting | ","")&amp;IF(COUNTIF(Settings!$A$14:$A$43,B588)&gt;0,"Holiday posting | ","")&amp;IF(B588&gt;Settings!$C$8,"Posted after close | ","")&amp;IF(OR(B588&lt;Settings!$C$6,B588&gt;Settings!$C$7),"Outside period | ","")&amp;IF(COUNTIF(Settings!$E$14:$E$43,C588&amp;"")&gt;0,"Sensitive account | ","")&amp;IF(AND(MAX(N(E588),N(F588))&gt;=Settings!$C$9,MOD(MAX(N(E588),N(F588)),Settings!$C$10)=0),"Round amount | ",""))-3)))</f>
        <v/>
      </c>
      <c r="M588" s="21" t="str">
        <f aca="false">IF(A588="","",IF(COUNTIF($A$9:A588,A588)=1,MAX($M$8:M587)+1,""))</f>
        <v/>
      </c>
    </row>
    <row r="589" customFormat="false" ht="15" hidden="false" customHeight="false" outlineLevel="0" collapsed="false">
      <c r="A589" s="8"/>
      <c r="B589" s="17"/>
      <c r="C589" s="19"/>
      <c r="D589" s="8"/>
      <c r="E589" s="18"/>
      <c r="F589" s="18"/>
      <c r="G589" s="8"/>
      <c r="H589" s="8"/>
      <c r="I589" s="8"/>
      <c r="J589" s="8"/>
      <c r="K589" s="10" t="str">
        <f aca="false">IF(A589="","",IF(ABS(SUMIFS($E$9:$E$2008,$A$9:$A$2008,A589)-SUMIFS($F$9:$F$2008,$A$9:$A$2008,A589))&lt;0.5,"Yes","No"))</f>
        <v/>
      </c>
      <c r="L589" s="10" t="str">
        <f aca="false">IF(A589="","",IF(IF(K589="No","Does not balance | ","")&amp;IF(I589="","Not approved | ",IF(UPPER(TRIM(H589))=UPPER(TRIM(I589)),"Self-approved | ",""))&amp;IF(J589="","No support | ","")&amp;IF(WEEKDAY(B589,2)&gt;5,"Weekend posting | ","")&amp;IF(COUNTIF(Settings!$A$14:$A$43,B589)&gt;0,"Holiday posting | ","")&amp;IF(B589&gt;Settings!$C$8,"Posted after close | ","")&amp;IF(OR(B589&lt;Settings!$C$6,B589&gt;Settings!$C$7),"Outside period | ","")&amp;IF(COUNTIF(Settings!$E$14:$E$43,C589&amp;"")&gt;0,"Sensitive account | ","")&amp;IF(AND(MAX(N(E589),N(F589))&gt;=Settings!$C$9,MOD(MAX(N(E589),N(F589)),Settings!$C$10)=0),"Round amount | ","")="","",LEFT(IF(K589="No","Does not balance | ","")&amp;IF(I589="","Not approved | ",IF(UPPER(TRIM(H589))=UPPER(TRIM(I589)),"Self-approved | ",""))&amp;IF(J589="","No support | ","")&amp;IF(WEEKDAY(B589,2)&gt;5,"Weekend posting | ","")&amp;IF(COUNTIF(Settings!$A$14:$A$43,B589)&gt;0,"Holiday posting | ","")&amp;IF(B589&gt;Settings!$C$8,"Posted after close | ","")&amp;IF(OR(B589&lt;Settings!$C$6,B589&gt;Settings!$C$7),"Outside period | ","")&amp;IF(COUNTIF(Settings!$E$14:$E$43,C589&amp;"")&gt;0,"Sensitive account | ","")&amp;IF(AND(MAX(N(E589),N(F589))&gt;=Settings!$C$9,MOD(MAX(N(E589),N(F589)),Settings!$C$10)=0),"Round amount | ",""),LEN(IF(K589="No","Does not balance | ","")&amp;IF(I589="","Not approved | ",IF(UPPER(TRIM(H589))=UPPER(TRIM(I589)),"Self-approved | ",""))&amp;IF(J589="","No support | ","")&amp;IF(WEEKDAY(B589,2)&gt;5,"Weekend posting | ","")&amp;IF(COUNTIF(Settings!$A$14:$A$43,B589)&gt;0,"Holiday posting | ","")&amp;IF(B589&gt;Settings!$C$8,"Posted after close | ","")&amp;IF(OR(B589&lt;Settings!$C$6,B589&gt;Settings!$C$7),"Outside period | ","")&amp;IF(COUNTIF(Settings!$E$14:$E$43,C589&amp;"")&gt;0,"Sensitive account | ","")&amp;IF(AND(MAX(N(E589),N(F589))&gt;=Settings!$C$9,MOD(MAX(N(E589),N(F589)),Settings!$C$10)=0),"Round amount | ",""))-3)))</f>
        <v/>
      </c>
      <c r="M589" s="21" t="str">
        <f aca="false">IF(A589="","",IF(COUNTIF($A$9:A589,A589)=1,MAX($M$8:M588)+1,""))</f>
        <v/>
      </c>
    </row>
    <row r="590" customFormat="false" ht="15" hidden="false" customHeight="false" outlineLevel="0" collapsed="false">
      <c r="A590" s="8"/>
      <c r="B590" s="17"/>
      <c r="C590" s="19"/>
      <c r="D590" s="8"/>
      <c r="E590" s="18"/>
      <c r="F590" s="18"/>
      <c r="G590" s="8"/>
      <c r="H590" s="8"/>
      <c r="I590" s="8"/>
      <c r="J590" s="8"/>
      <c r="K590" s="10" t="str">
        <f aca="false">IF(A590="","",IF(ABS(SUMIFS($E$9:$E$2008,$A$9:$A$2008,A590)-SUMIFS($F$9:$F$2008,$A$9:$A$2008,A590))&lt;0.5,"Yes","No"))</f>
        <v/>
      </c>
      <c r="L590" s="10" t="str">
        <f aca="false">IF(A590="","",IF(IF(K590="No","Does not balance | ","")&amp;IF(I590="","Not approved | ",IF(UPPER(TRIM(H590))=UPPER(TRIM(I590)),"Self-approved | ",""))&amp;IF(J590="","No support | ","")&amp;IF(WEEKDAY(B590,2)&gt;5,"Weekend posting | ","")&amp;IF(COUNTIF(Settings!$A$14:$A$43,B590)&gt;0,"Holiday posting | ","")&amp;IF(B590&gt;Settings!$C$8,"Posted after close | ","")&amp;IF(OR(B590&lt;Settings!$C$6,B590&gt;Settings!$C$7),"Outside period | ","")&amp;IF(COUNTIF(Settings!$E$14:$E$43,C590&amp;"")&gt;0,"Sensitive account | ","")&amp;IF(AND(MAX(N(E590),N(F590))&gt;=Settings!$C$9,MOD(MAX(N(E590),N(F590)),Settings!$C$10)=0),"Round amount | ","")="","",LEFT(IF(K590="No","Does not balance | ","")&amp;IF(I590="","Not approved | ",IF(UPPER(TRIM(H590))=UPPER(TRIM(I590)),"Self-approved | ",""))&amp;IF(J590="","No support | ","")&amp;IF(WEEKDAY(B590,2)&gt;5,"Weekend posting | ","")&amp;IF(COUNTIF(Settings!$A$14:$A$43,B590)&gt;0,"Holiday posting | ","")&amp;IF(B590&gt;Settings!$C$8,"Posted after close | ","")&amp;IF(OR(B590&lt;Settings!$C$6,B590&gt;Settings!$C$7),"Outside period | ","")&amp;IF(COUNTIF(Settings!$E$14:$E$43,C590&amp;"")&gt;0,"Sensitive account | ","")&amp;IF(AND(MAX(N(E590),N(F590))&gt;=Settings!$C$9,MOD(MAX(N(E590),N(F590)),Settings!$C$10)=0),"Round amount | ",""),LEN(IF(K590="No","Does not balance | ","")&amp;IF(I590="","Not approved | ",IF(UPPER(TRIM(H590))=UPPER(TRIM(I590)),"Self-approved | ",""))&amp;IF(J590="","No support | ","")&amp;IF(WEEKDAY(B590,2)&gt;5,"Weekend posting | ","")&amp;IF(COUNTIF(Settings!$A$14:$A$43,B590)&gt;0,"Holiday posting | ","")&amp;IF(B590&gt;Settings!$C$8,"Posted after close | ","")&amp;IF(OR(B590&lt;Settings!$C$6,B590&gt;Settings!$C$7),"Outside period | ","")&amp;IF(COUNTIF(Settings!$E$14:$E$43,C590&amp;"")&gt;0,"Sensitive account | ","")&amp;IF(AND(MAX(N(E590),N(F590))&gt;=Settings!$C$9,MOD(MAX(N(E590),N(F590)),Settings!$C$10)=0),"Round amount | ",""))-3)))</f>
        <v/>
      </c>
      <c r="M590" s="21" t="str">
        <f aca="false">IF(A590="","",IF(COUNTIF($A$9:A590,A590)=1,MAX($M$8:M589)+1,""))</f>
        <v/>
      </c>
    </row>
    <row r="591" customFormat="false" ht="15" hidden="false" customHeight="false" outlineLevel="0" collapsed="false">
      <c r="A591" s="8"/>
      <c r="B591" s="17"/>
      <c r="C591" s="19"/>
      <c r="D591" s="8"/>
      <c r="E591" s="18"/>
      <c r="F591" s="18"/>
      <c r="G591" s="8"/>
      <c r="H591" s="8"/>
      <c r="I591" s="8"/>
      <c r="J591" s="8"/>
      <c r="K591" s="10" t="str">
        <f aca="false">IF(A591="","",IF(ABS(SUMIFS($E$9:$E$2008,$A$9:$A$2008,A591)-SUMIFS($F$9:$F$2008,$A$9:$A$2008,A591))&lt;0.5,"Yes","No"))</f>
        <v/>
      </c>
      <c r="L591" s="10" t="str">
        <f aca="false">IF(A591="","",IF(IF(K591="No","Does not balance | ","")&amp;IF(I591="","Not approved | ",IF(UPPER(TRIM(H591))=UPPER(TRIM(I591)),"Self-approved | ",""))&amp;IF(J591="","No support | ","")&amp;IF(WEEKDAY(B591,2)&gt;5,"Weekend posting | ","")&amp;IF(COUNTIF(Settings!$A$14:$A$43,B591)&gt;0,"Holiday posting | ","")&amp;IF(B591&gt;Settings!$C$8,"Posted after close | ","")&amp;IF(OR(B591&lt;Settings!$C$6,B591&gt;Settings!$C$7),"Outside period | ","")&amp;IF(COUNTIF(Settings!$E$14:$E$43,C591&amp;"")&gt;0,"Sensitive account | ","")&amp;IF(AND(MAX(N(E591),N(F591))&gt;=Settings!$C$9,MOD(MAX(N(E591),N(F591)),Settings!$C$10)=0),"Round amount | ","")="","",LEFT(IF(K591="No","Does not balance | ","")&amp;IF(I591="","Not approved | ",IF(UPPER(TRIM(H591))=UPPER(TRIM(I591)),"Self-approved | ",""))&amp;IF(J591="","No support | ","")&amp;IF(WEEKDAY(B591,2)&gt;5,"Weekend posting | ","")&amp;IF(COUNTIF(Settings!$A$14:$A$43,B591)&gt;0,"Holiday posting | ","")&amp;IF(B591&gt;Settings!$C$8,"Posted after close | ","")&amp;IF(OR(B591&lt;Settings!$C$6,B591&gt;Settings!$C$7),"Outside period | ","")&amp;IF(COUNTIF(Settings!$E$14:$E$43,C591&amp;"")&gt;0,"Sensitive account | ","")&amp;IF(AND(MAX(N(E591),N(F591))&gt;=Settings!$C$9,MOD(MAX(N(E591),N(F591)),Settings!$C$10)=0),"Round amount | ",""),LEN(IF(K591="No","Does not balance | ","")&amp;IF(I591="","Not approved | ",IF(UPPER(TRIM(H591))=UPPER(TRIM(I591)),"Self-approved | ",""))&amp;IF(J591="","No support | ","")&amp;IF(WEEKDAY(B591,2)&gt;5,"Weekend posting | ","")&amp;IF(COUNTIF(Settings!$A$14:$A$43,B591)&gt;0,"Holiday posting | ","")&amp;IF(B591&gt;Settings!$C$8,"Posted after close | ","")&amp;IF(OR(B591&lt;Settings!$C$6,B591&gt;Settings!$C$7),"Outside period | ","")&amp;IF(COUNTIF(Settings!$E$14:$E$43,C591&amp;"")&gt;0,"Sensitive account | ","")&amp;IF(AND(MAX(N(E591),N(F591))&gt;=Settings!$C$9,MOD(MAX(N(E591),N(F591)),Settings!$C$10)=0),"Round amount | ",""))-3)))</f>
        <v/>
      </c>
      <c r="M591" s="21" t="str">
        <f aca="false">IF(A591="","",IF(COUNTIF($A$9:A591,A591)=1,MAX($M$8:M590)+1,""))</f>
        <v/>
      </c>
    </row>
    <row r="592" customFormat="false" ht="15" hidden="false" customHeight="false" outlineLevel="0" collapsed="false">
      <c r="A592" s="8"/>
      <c r="B592" s="17"/>
      <c r="C592" s="19"/>
      <c r="D592" s="8"/>
      <c r="E592" s="18"/>
      <c r="F592" s="18"/>
      <c r="G592" s="8"/>
      <c r="H592" s="8"/>
      <c r="I592" s="8"/>
      <c r="J592" s="8"/>
      <c r="K592" s="10" t="str">
        <f aca="false">IF(A592="","",IF(ABS(SUMIFS($E$9:$E$2008,$A$9:$A$2008,A592)-SUMIFS($F$9:$F$2008,$A$9:$A$2008,A592))&lt;0.5,"Yes","No"))</f>
        <v/>
      </c>
      <c r="L592" s="10" t="str">
        <f aca="false">IF(A592="","",IF(IF(K592="No","Does not balance | ","")&amp;IF(I592="","Not approved | ",IF(UPPER(TRIM(H592))=UPPER(TRIM(I592)),"Self-approved | ",""))&amp;IF(J592="","No support | ","")&amp;IF(WEEKDAY(B592,2)&gt;5,"Weekend posting | ","")&amp;IF(COUNTIF(Settings!$A$14:$A$43,B592)&gt;0,"Holiday posting | ","")&amp;IF(B592&gt;Settings!$C$8,"Posted after close | ","")&amp;IF(OR(B592&lt;Settings!$C$6,B592&gt;Settings!$C$7),"Outside period | ","")&amp;IF(COUNTIF(Settings!$E$14:$E$43,C592&amp;"")&gt;0,"Sensitive account | ","")&amp;IF(AND(MAX(N(E592),N(F592))&gt;=Settings!$C$9,MOD(MAX(N(E592),N(F592)),Settings!$C$10)=0),"Round amount | ","")="","",LEFT(IF(K592="No","Does not balance | ","")&amp;IF(I592="","Not approved | ",IF(UPPER(TRIM(H592))=UPPER(TRIM(I592)),"Self-approved | ",""))&amp;IF(J592="","No support | ","")&amp;IF(WEEKDAY(B592,2)&gt;5,"Weekend posting | ","")&amp;IF(COUNTIF(Settings!$A$14:$A$43,B592)&gt;0,"Holiday posting | ","")&amp;IF(B592&gt;Settings!$C$8,"Posted after close | ","")&amp;IF(OR(B592&lt;Settings!$C$6,B592&gt;Settings!$C$7),"Outside period | ","")&amp;IF(COUNTIF(Settings!$E$14:$E$43,C592&amp;"")&gt;0,"Sensitive account | ","")&amp;IF(AND(MAX(N(E592),N(F592))&gt;=Settings!$C$9,MOD(MAX(N(E592),N(F592)),Settings!$C$10)=0),"Round amount | ",""),LEN(IF(K592="No","Does not balance | ","")&amp;IF(I592="","Not approved | ",IF(UPPER(TRIM(H592))=UPPER(TRIM(I592)),"Self-approved | ",""))&amp;IF(J592="","No support | ","")&amp;IF(WEEKDAY(B592,2)&gt;5,"Weekend posting | ","")&amp;IF(COUNTIF(Settings!$A$14:$A$43,B592)&gt;0,"Holiday posting | ","")&amp;IF(B592&gt;Settings!$C$8,"Posted after close | ","")&amp;IF(OR(B592&lt;Settings!$C$6,B592&gt;Settings!$C$7),"Outside period | ","")&amp;IF(COUNTIF(Settings!$E$14:$E$43,C592&amp;"")&gt;0,"Sensitive account | ","")&amp;IF(AND(MAX(N(E592),N(F592))&gt;=Settings!$C$9,MOD(MAX(N(E592),N(F592)),Settings!$C$10)=0),"Round amount | ",""))-3)))</f>
        <v/>
      </c>
      <c r="M592" s="21" t="str">
        <f aca="false">IF(A592="","",IF(COUNTIF($A$9:A592,A592)=1,MAX($M$8:M591)+1,""))</f>
        <v/>
      </c>
    </row>
    <row r="593" customFormat="false" ht="15" hidden="false" customHeight="false" outlineLevel="0" collapsed="false">
      <c r="A593" s="8"/>
      <c r="B593" s="17"/>
      <c r="C593" s="19"/>
      <c r="D593" s="8"/>
      <c r="E593" s="18"/>
      <c r="F593" s="18"/>
      <c r="G593" s="8"/>
      <c r="H593" s="8"/>
      <c r="I593" s="8"/>
      <c r="J593" s="8"/>
      <c r="K593" s="10" t="str">
        <f aca="false">IF(A593="","",IF(ABS(SUMIFS($E$9:$E$2008,$A$9:$A$2008,A593)-SUMIFS($F$9:$F$2008,$A$9:$A$2008,A593))&lt;0.5,"Yes","No"))</f>
        <v/>
      </c>
      <c r="L593" s="10" t="str">
        <f aca="false">IF(A593="","",IF(IF(K593="No","Does not balance | ","")&amp;IF(I593="","Not approved | ",IF(UPPER(TRIM(H593))=UPPER(TRIM(I593)),"Self-approved | ",""))&amp;IF(J593="","No support | ","")&amp;IF(WEEKDAY(B593,2)&gt;5,"Weekend posting | ","")&amp;IF(COUNTIF(Settings!$A$14:$A$43,B593)&gt;0,"Holiday posting | ","")&amp;IF(B593&gt;Settings!$C$8,"Posted after close | ","")&amp;IF(OR(B593&lt;Settings!$C$6,B593&gt;Settings!$C$7),"Outside period | ","")&amp;IF(COUNTIF(Settings!$E$14:$E$43,C593&amp;"")&gt;0,"Sensitive account | ","")&amp;IF(AND(MAX(N(E593),N(F593))&gt;=Settings!$C$9,MOD(MAX(N(E593),N(F593)),Settings!$C$10)=0),"Round amount | ","")="","",LEFT(IF(K593="No","Does not balance | ","")&amp;IF(I593="","Not approved | ",IF(UPPER(TRIM(H593))=UPPER(TRIM(I593)),"Self-approved | ",""))&amp;IF(J593="","No support | ","")&amp;IF(WEEKDAY(B593,2)&gt;5,"Weekend posting | ","")&amp;IF(COUNTIF(Settings!$A$14:$A$43,B593)&gt;0,"Holiday posting | ","")&amp;IF(B593&gt;Settings!$C$8,"Posted after close | ","")&amp;IF(OR(B593&lt;Settings!$C$6,B593&gt;Settings!$C$7),"Outside period | ","")&amp;IF(COUNTIF(Settings!$E$14:$E$43,C593&amp;"")&gt;0,"Sensitive account | ","")&amp;IF(AND(MAX(N(E593),N(F593))&gt;=Settings!$C$9,MOD(MAX(N(E593),N(F593)),Settings!$C$10)=0),"Round amount | ",""),LEN(IF(K593="No","Does not balance | ","")&amp;IF(I593="","Not approved | ",IF(UPPER(TRIM(H593))=UPPER(TRIM(I593)),"Self-approved | ",""))&amp;IF(J593="","No support | ","")&amp;IF(WEEKDAY(B593,2)&gt;5,"Weekend posting | ","")&amp;IF(COUNTIF(Settings!$A$14:$A$43,B593)&gt;0,"Holiday posting | ","")&amp;IF(B593&gt;Settings!$C$8,"Posted after close | ","")&amp;IF(OR(B593&lt;Settings!$C$6,B593&gt;Settings!$C$7),"Outside period | ","")&amp;IF(COUNTIF(Settings!$E$14:$E$43,C593&amp;"")&gt;0,"Sensitive account | ","")&amp;IF(AND(MAX(N(E593),N(F593))&gt;=Settings!$C$9,MOD(MAX(N(E593),N(F593)),Settings!$C$10)=0),"Round amount | ",""))-3)))</f>
        <v/>
      </c>
      <c r="M593" s="21" t="str">
        <f aca="false">IF(A593="","",IF(COUNTIF($A$9:A593,A593)=1,MAX($M$8:M592)+1,""))</f>
        <v/>
      </c>
    </row>
    <row r="594" customFormat="false" ht="15" hidden="false" customHeight="false" outlineLevel="0" collapsed="false">
      <c r="A594" s="8"/>
      <c r="B594" s="17"/>
      <c r="C594" s="19"/>
      <c r="D594" s="8"/>
      <c r="E594" s="18"/>
      <c r="F594" s="18"/>
      <c r="G594" s="8"/>
      <c r="H594" s="8"/>
      <c r="I594" s="8"/>
      <c r="J594" s="8"/>
      <c r="K594" s="10" t="str">
        <f aca="false">IF(A594="","",IF(ABS(SUMIFS($E$9:$E$2008,$A$9:$A$2008,A594)-SUMIFS($F$9:$F$2008,$A$9:$A$2008,A594))&lt;0.5,"Yes","No"))</f>
        <v/>
      </c>
      <c r="L594" s="10" t="str">
        <f aca="false">IF(A594="","",IF(IF(K594="No","Does not balance | ","")&amp;IF(I594="","Not approved | ",IF(UPPER(TRIM(H594))=UPPER(TRIM(I594)),"Self-approved | ",""))&amp;IF(J594="","No support | ","")&amp;IF(WEEKDAY(B594,2)&gt;5,"Weekend posting | ","")&amp;IF(COUNTIF(Settings!$A$14:$A$43,B594)&gt;0,"Holiday posting | ","")&amp;IF(B594&gt;Settings!$C$8,"Posted after close | ","")&amp;IF(OR(B594&lt;Settings!$C$6,B594&gt;Settings!$C$7),"Outside period | ","")&amp;IF(COUNTIF(Settings!$E$14:$E$43,C594&amp;"")&gt;0,"Sensitive account | ","")&amp;IF(AND(MAX(N(E594),N(F594))&gt;=Settings!$C$9,MOD(MAX(N(E594),N(F594)),Settings!$C$10)=0),"Round amount | ","")="","",LEFT(IF(K594="No","Does not balance | ","")&amp;IF(I594="","Not approved | ",IF(UPPER(TRIM(H594))=UPPER(TRIM(I594)),"Self-approved | ",""))&amp;IF(J594="","No support | ","")&amp;IF(WEEKDAY(B594,2)&gt;5,"Weekend posting | ","")&amp;IF(COUNTIF(Settings!$A$14:$A$43,B594)&gt;0,"Holiday posting | ","")&amp;IF(B594&gt;Settings!$C$8,"Posted after close | ","")&amp;IF(OR(B594&lt;Settings!$C$6,B594&gt;Settings!$C$7),"Outside period | ","")&amp;IF(COUNTIF(Settings!$E$14:$E$43,C594&amp;"")&gt;0,"Sensitive account | ","")&amp;IF(AND(MAX(N(E594),N(F594))&gt;=Settings!$C$9,MOD(MAX(N(E594),N(F594)),Settings!$C$10)=0),"Round amount | ",""),LEN(IF(K594="No","Does not balance | ","")&amp;IF(I594="","Not approved | ",IF(UPPER(TRIM(H594))=UPPER(TRIM(I594)),"Self-approved | ",""))&amp;IF(J594="","No support | ","")&amp;IF(WEEKDAY(B594,2)&gt;5,"Weekend posting | ","")&amp;IF(COUNTIF(Settings!$A$14:$A$43,B594)&gt;0,"Holiday posting | ","")&amp;IF(B594&gt;Settings!$C$8,"Posted after close | ","")&amp;IF(OR(B594&lt;Settings!$C$6,B594&gt;Settings!$C$7),"Outside period | ","")&amp;IF(COUNTIF(Settings!$E$14:$E$43,C594&amp;"")&gt;0,"Sensitive account | ","")&amp;IF(AND(MAX(N(E594),N(F594))&gt;=Settings!$C$9,MOD(MAX(N(E594),N(F594)),Settings!$C$10)=0),"Round amount | ",""))-3)))</f>
        <v/>
      </c>
      <c r="M594" s="21" t="str">
        <f aca="false">IF(A594="","",IF(COUNTIF($A$9:A594,A594)=1,MAX($M$8:M593)+1,""))</f>
        <v/>
      </c>
    </row>
    <row r="595" customFormat="false" ht="15" hidden="false" customHeight="false" outlineLevel="0" collapsed="false">
      <c r="A595" s="8"/>
      <c r="B595" s="17"/>
      <c r="C595" s="19"/>
      <c r="D595" s="8"/>
      <c r="E595" s="18"/>
      <c r="F595" s="18"/>
      <c r="G595" s="8"/>
      <c r="H595" s="8"/>
      <c r="I595" s="8"/>
      <c r="J595" s="8"/>
      <c r="K595" s="10" t="str">
        <f aca="false">IF(A595="","",IF(ABS(SUMIFS($E$9:$E$2008,$A$9:$A$2008,A595)-SUMIFS($F$9:$F$2008,$A$9:$A$2008,A595))&lt;0.5,"Yes","No"))</f>
        <v/>
      </c>
      <c r="L595" s="10" t="str">
        <f aca="false">IF(A595="","",IF(IF(K595="No","Does not balance | ","")&amp;IF(I595="","Not approved | ",IF(UPPER(TRIM(H595))=UPPER(TRIM(I595)),"Self-approved | ",""))&amp;IF(J595="","No support | ","")&amp;IF(WEEKDAY(B595,2)&gt;5,"Weekend posting | ","")&amp;IF(COUNTIF(Settings!$A$14:$A$43,B595)&gt;0,"Holiday posting | ","")&amp;IF(B595&gt;Settings!$C$8,"Posted after close | ","")&amp;IF(OR(B595&lt;Settings!$C$6,B595&gt;Settings!$C$7),"Outside period | ","")&amp;IF(COUNTIF(Settings!$E$14:$E$43,C595&amp;"")&gt;0,"Sensitive account | ","")&amp;IF(AND(MAX(N(E595),N(F595))&gt;=Settings!$C$9,MOD(MAX(N(E595),N(F595)),Settings!$C$10)=0),"Round amount | ","")="","",LEFT(IF(K595="No","Does not balance | ","")&amp;IF(I595="","Not approved | ",IF(UPPER(TRIM(H595))=UPPER(TRIM(I595)),"Self-approved | ",""))&amp;IF(J595="","No support | ","")&amp;IF(WEEKDAY(B595,2)&gt;5,"Weekend posting | ","")&amp;IF(COUNTIF(Settings!$A$14:$A$43,B595)&gt;0,"Holiday posting | ","")&amp;IF(B595&gt;Settings!$C$8,"Posted after close | ","")&amp;IF(OR(B595&lt;Settings!$C$6,B595&gt;Settings!$C$7),"Outside period | ","")&amp;IF(COUNTIF(Settings!$E$14:$E$43,C595&amp;"")&gt;0,"Sensitive account | ","")&amp;IF(AND(MAX(N(E595),N(F595))&gt;=Settings!$C$9,MOD(MAX(N(E595),N(F595)),Settings!$C$10)=0),"Round amount | ",""),LEN(IF(K595="No","Does not balance | ","")&amp;IF(I595="","Not approved | ",IF(UPPER(TRIM(H595))=UPPER(TRIM(I595)),"Self-approved | ",""))&amp;IF(J595="","No support | ","")&amp;IF(WEEKDAY(B595,2)&gt;5,"Weekend posting | ","")&amp;IF(COUNTIF(Settings!$A$14:$A$43,B595)&gt;0,"Holiday posting | ","")&amp;IF(B595&gt;Settings!$C$8,"Posted after close | ","")&amp;IF(OR(B595&lt;Settings!$C$6,B595&gt;Settings!$C$7),"Outside period | ","")&amp;IF(COUNTIF(Settings!$E$14:$E$43,C595&amp;"")&gt;0,"Sensitive account | ","")&amp;IF(AND(MAX(N(E595),N(F595))&gt;=Settings!$C$9,MOD(MAX(N(E595),N(F595)),Settings!$C$10)=0),"Round amount | ",""))-3)))</f>
        <v/>
      </c>
      <c r="M595" s="21" t="str">
        <f aca="false">IF(A595="","",IF(COUNTIF($A$9:A595,A595)=1,MAX($M$8:M594)+1,""))</f>
        <v/>
      </c>
    </row>
    <row r="596" customFormat="false" ht="15" hidden="false" customHeight="false" outlineLevel="0" collapsed="false">
      <c r="A596" s="8"/>
      <c r="B596" s="17"/>
      <c r="C596" s="19"/>
      <c r="D596" s="8"/>
      <c r="E596" s="18"/>
      <c r="F596" s="18"/>
      <c r="G596" s="8"/>
      <c r="H596" s="8"/>
      <c r="I596" s="8"/>
      <c r="J596" s="8"/>
      <c r="K596" s="10" t="str">
        <f aca="false">IF(A596="","",IF(ABS(SUMIFS($E$9:$E$2008,$A$9:$A$2008,A596)-SUMIFS($F$9:$F$2008,$A$9:$A$2008,A596))&lt;0.5,"Yes","No"))</f>
        <v/>
      </c>
      <c r="L596" s="10" t="str">
        <f aca="false">IF(A596="","",IF(IF(K596="No","Does not balance | ","")&amp;IF(I596="","Not approved | ",IF(UPPER(TRIM(H596))=UPPER(TRIM(I596)),"Self-approved | ",""))&amp;IF(J596="","No support | ","")&amp;IF(WEEKDAY(B596,2)&gt;5,"Weekend posting | ","")&amp;IF(COUNTIF(Settings!$A$14:$A$43,B596)&gt;0,"Holiday posting | ","")&amp;IF(B596&gt;Settings!$C$8,"Posted after close | ","")&amp;IF(OR(B596&lt;Settings!$C$6,B596&gt;Settings!$C$7),"Outside period | ","")&amp;IF(COUNTIF(Settings!$E$14:$E$43,C596&amp;"")&gt;0,"Sensitive account | ","")&amp;IF(AND(MAX(N(E596),N(F596))&gt;=Settings!$C$9,MOD(MAX(N(E596),N(F596)),Settings!$C$10)=0),"Round amount | ","")="","",LEFT(IF(K596="No","Does not balance | ","")&amp;IF(I596="","Not approved | ",IF(UPPER(TRIM(H596))=UPPER(TRIM(I596)),"Self-approved | ",""))&amp;IF(J596="","No support | ","")&amp;IF(WEEKDAY(B596,2)&gt;5,"Weekend posting | ","")&amp;IF(COUNTIF(Settings!$A$14:$A$43,B596)&gt;0,"Holiday posting | ","")&amp;IF(B596&gt;Settings!$C$8,"Posted after close | ","")&amp;IF(OR(B596&lt;Settings!$C$6,B596&gt;Settings!$C$7),"Outside period | ","")&amp;IF(COUNTIF(Settings!$E$14:$E$43,C596&amp;"")&gt;0,"Sensitive account | ","")&amp;IF(AND(MAX(N(E596),N(F596))&gt;=Settings!$C$9,MOD(MAX(N(E596),N(F596)),Settings!$C$10)=0),"Round amount | ",""),LEN(IF(K596="No","Does not balance | ","")&amp;IF(I596="","Not approved | ",IF(UPPER(TRIM(H596))=UPPER(TRIM(I596)),"Self-approved | ",""))&amp;IF(J596="","No support | ","")&amp;IF(WEEKDAY(B596,2)&gt;5,"Weekend posting | ","")&amp;IF(COUNTIF(Settings!$A$14:$A$43,B596)&gt;0,"Holiday posting | ","")&amp;IF(B596&gt;Settings!$C$8,"Posted after close | ","")&amp;IF(OR(B596&lt;Settings!$C$6,B596&gt;Settings!$C$7),"Outside period | ","")&amp;IF(COUNTIF(Settings!$E$14:$E$43,C596&amp;"")&gt;0,"Sensitive account | ","")&amp;IF(AND(MAX(N(E596),N(F596))&gt;=Settings!$C$9,MOD(MAX(N(E596),N(F596)),Settings!$C$10)=0),"Round amount | ",""))-3)))</f>
        <v/>
      </c>
      <c r="M596" s="21" t="str">
        <f aca="false">IF(A596="","",IF(COUNTIF($A$9:A596,A596)=1,MAX($M$8:M595)+1,""))</f>
        <v/>
      </c>
    </row>
    <row r="597" customFormat="false" ht="15" hidden="false" customHeight="false" outlineLevel="0" collapsed="false">
      <c r="A597" s="8"/>
      <c r="B597" s="17"/>
      <c r="C597" s="19"/>
      <c r="D597" s="8"/>
      <c r="E597" s="18"/>
      <c r="F597" s="18"/>
      <c r="G597" s="8"/>
      <c r="H597" s="8"/>
      <c r="I597" s="8"/>
      <c r="J597" s="8"/>
      <c r="K597" s="10" t="str">
        <f aca="false">IF(A597="","",IF(ABS(SUMIFS($E$9:$E$2008,$A$9:$A$2008,A597)-SUMIFS($F$9:$F$2008,$A$9:$A$2008,A597))&lt;0.5,"Yes","No"))</f>
        <v/>
      </c>
      <c r="L597" s="10" t="str">
        <f aca="false">IF(A597="","",IF(IF(K597="No","Does not balance | ","")&amp;IF(I597="","Not approved | ",IF(UPPER(TRIM(H597))=UPPER(TRIM(I597)),"Self-approved | ",""))&amp;IF(J597="","No support | ","")&amp;IF(WEEKDAY(B597,2)&gt;5,"Weekend posting | ","")&amp;IF(COUNTIF(Settings!$A$14:$A$43,B597)&gt;0,"Holiday posting | ","")&amp;IF(B597&gt;Settings!$C$8,"Posted after close | ","")&amp;IF(OR(B597&lt;Settings!$C$6,B597&gt;Settings!$C$7),"Outside period | ","")&amp;IF(COUNTIF(Settings!$E$14:$E$43,C597&amp;"")&gt;0,"Sensitive account | ","")&amp;IF(AND(MAX(N(E597),N(F597))&gt;=Settings!$C$9,MOD(MAX(N(E597),N(F597)),Settings!$C$10)=0),"Round amount | ","")="","",LEFT(IF(K597="No","Does not balance | ","")&amp;IF(I597="","Not approved | ",IF(UPPER(TRIM(H597))=UPPER(TRIM(I597)),"Self-approved | ",""))&amp;IF(J597="","No support | ","")&amp;IF(WEEKDAY(B597,2)&gt;5,"Weekend posting | ","")&amp;IF(COUNTIF(Settings!$A$14:$A$43,B597)&gt;0,"Holiday posting | ","")&amp;IF(B597&gt;Settings!$C$8,"Posted after close | ","")&amp;IF(OR(B597&lt;Settings!$C$6,B597&gt;Settings!$C$7),"Outside period | ","")&amp;IF(COUNTIF(Settings!$E$14:$E$43,C597&amp;"")&gt;0,"Sensitive account | ","")&amp;IF(AND(MAX(N(E597),N(F597))&gt;=Settings!$C$9,MOD(MAX(N(E597),N(F597)),Settings!$C$10)=0),"Round amount | ",""),LEN(IF(K597="No","Does not balance | ","")&amp;IF(I597="","Not approved | ",IF(UPPER(TRIM(H597))=UPPER(TRIM(I597)),"Self-approved | ",""))&amp;IF(J597="","No support | ","")&amp;IF(WEEKDAY(B597,2)&gt;5,"Weekend posting | ","")&amp;IF(COUNTIF(Settings!$A$14:$A$43,B597)&gt;0,"Holiday posting | ","")&amp;IF(B597&gt;Settings!$C$8,"Posted after close | ","")&amp;IF(OR(B597&lt;Settings!$C$6,B597&gt;Settings!$C$7),"Outside period | ","")&amp;IF(COUNTIF(Settings!$E$14:$E$43,C597&amp;"")&gt;0,"Sensitive account | ","")&amp;IF(AND(MAX(N(E597),N(F597))&gt;=Settings!$C$9,MOD(MAX(N(E597),N(F597)),Settings!$C$10)=0),"Round amount | ",""))-3)))</f>
        <v/>
      </c>
      <c r="M597" s="21" t="str">
        <f aca="false">IF(A597="","",IF(COUNTIF($A$9:A597,A597)=1,MAX($M$8:M596)+1,""))</f>
        <v/>
      </c>
    </row>
    <row r="598" customFormat="false" ht="15" hidden="false" customHeight="false" outlineLevel="0" collapsed="false">
      <c r="A598" s="8"/>
      <c r="B598" s="17"/>
      <c r="C598" s="19"/>
      <c r="D598" s="8"/>
      <c r="E598" s="18"/>
      <c r="F598" s="18"/>
      <c r="G598" s="8"/>
      <c r="H598" s="8"/>
      <c r="I598" s="8"/>
      <c r="J598" s="8"/>
      <c r="K598" s="10" t="str">
        <f aca="false">IF(A598="","",IF(ABS(SUMIFS($E$9:$E$2008,$A$9:$A$2008,A598)-SUMIFS($F$9:$F$2008,$A$9:$A$2008,A598))&lt;0.5,"Yes","No"))</f>
        <v/>
      </c>
      <c r="L598" s="10" t="str">
        <f aca="false">IF(A598="","",IF(IF(K598="No","Does not balance | ","")&amp;IF(I598="","Not approved | ",IF(UPPER(TRIM(H598))=UPPER(TRIM(I598)),"Self-approved | ",""))&amp;IF(J598="","No support | ","")&amp;IF(WEEKDAY(B598,2)&gt;5,"Weekend posting | ","")&amp;IF(COUNTIF(Settings!$A$14:$A$43,B598)&gt;0,"Holiday posting | ","")&amp;IF(B598&gt;Settings!$C$8,"Posted after close | ","")&amp;IF(OR(B598&lt;Settings!$C$6,B598&gt;Settings!$C$7),"Outside period | ","")&amp;IF(COUNTIF(Settings!$E$14:$E$43,C598&amp;"")&gt;0,"Sensitive account | ","")&amp;IF(AND(MAX(N(E598),N(F598))&gt;=Settings!$C$9,MOD(MAX(N(E598),N(F598)),Settings!$C$10)=0),"Round amount | ","")="","",LEFT(IF(K598="No","Does not balance | ","")&amp;IF(I598="","Not approved | ",IF(UPPER(TRIM(H598))=UPPER(TRIM(I598)),"Self-approved | ",""))&amp;IF(J598="","No support | ","")&amp;IF(WEEKDAY(B598,2)&gt;5,"Weekend posting | ","")&amp;IF(COUNTIF(Settings!$A$14:$A$43,B598)&gt;0,"Holiday posting | ","")&amp;IF(B598&gt;Settings!$C$8,"Posted after close | ","")&amp;IF(OR(B598&lt;Settings!$C$6,B598&gt;Settings!$C$7),"Outside period | ","")&amp;IF(COUNTIF(Settings!$E$14:$E$43,C598&amp;"")&gt;0,"Sensitive account | ","")&amp;IF(AND(MAX(N(E598),N(F598))&gt;=Settings!$C$9,MOD(MAX(N(E598),N(F598)),Settings!$C$10)=0),"Round amount | ",""),LEN(IF(K598="No","Does not balance | ","")&amp;IF(I598="","Not approved | ",IF(UPPER(TRIM(H598))=UPPER(TRIM(I598)),"Self-approved | ",""))&amp;IF(J598="","No support | ","")&amp;IF(WEEKDAY(B598,2)&gt;5,"Weekend posting | ","")&amp;IF(COUNTIF(Settings!$A$14:$A$43,B598)&gt;0,"Holiday posting | ","")&amp;IF(B598&gt;Settings!$C$8,"Posted after close | ","")&amp;IF(OR(B598&lt;Settings!$C$6,B598&gt;Settings!$C$7),"Outside period | ","")&amp;IF(COUNTIF(Settings!$E$14:$E$43,C598&amp;"")&gt;0,"Sensitive account | ","")&amp;IF(AND(MAX(N(E598),N(F598))&gt;=Settings!$C$9,MOD(MAX(N(E598),N(F598)),Settings!$C$10)=0),"Round amount | ",""))-3)))</f>
        <v/>
      </c>
      <c r="M598" s="21" t="str">
        <f aca="false">IF(A598="","",IF(COUNTIF($A$9:A598,A598)=1,MAX($M$8:M597)+1,""))</f>
        <v/>
      </c>
    </row>
    <row r="599" customFormat="false" ht="15" hidden="false" customHeight="false" outlineLevel="0" collapsed="false">
      <c r="A599" s="8"/>
      <c r="B599" s="17"/>
      <c r="C599" s="19"/>
      <c r="D599" s="8"/>
      <c r="E599" s="18"/>
      <c r="F599" s="18"/>
      <c r="G599" s="8"/>
      <c r="H599" s="8"/>
      <c r="I599" s="8"/>
      <c r="J599" s="8"/>
      <c r="K599" s="10" t="str">
        <f aca="false">IF(A599="","",IF(ABS(SUMIFS($E$9:$E$2008,$A$9:$A$2008,A599)-SUMIFS($F$9:$F$2008,$A$9:$A$2008,A599))&lt;0.5,"Yes","No"))</f>
        <v/>
      </c>
      <c r="L599" s="10" t="str">
        <f aca="false">IF(A599="","",IF(IF(K599="No","Does not balance | ","")&amp;IF(I599="","Not approved | ",IF(UPPER(TRIM(H599))=UPPER(TRIM(I599)),"Self-approved | ",""))&amp;IF(J599="","No support | ","")&amp;IF(WEEKDAY(B599,2)&gt;5,"Weekend posting | ","")&amp;IF(COUNTIF(Settings!$A$14:$A$43,B599)&gt;0,"Holiday posting | ","")&amp;IF(B599&gt;Settings!$C$8,"Posted after close | ","")&amp;IF(OR(B599&lt;Settings!$C$6,B599&gt;Settings!$C$7),"Outside period | ","")&amp;IF(COUNTIF(Settings!$E$14:$E$43,C599&amp;"")&gt;0,"Sensitive account | ","")&amp;IF(AND(MAX(N(E599),N(F599))&gt;=Settings!$C$9,MOD(MAX(N(E599),N(F599)),Settings!$C$10)=0),"Round amount | ","")="","",LEFT(IF(K599="No","Does not balance | ","")&amp;IF(I599="","Not approved | ",IF(UPPER(TRIM(H599))=UPPER(TRIM(I599)),"Self-approved | ",""))&amp;IF(J599="","No support | ","")&amp;IF(WEEKDAY(B599,2)&gt;5,"Weekend posting | ","")&amp;IF(COUNTIF(Settings!$A$14:$A$43,B599)&gt;0,"Holiday posting | ","")&amp;IF(B599&gt;Settings!$C$8,"Posted after close | ","")&amp;IF(OR(B599&lt;Settings!$C$6,B599&gt;Settings!$C$7),"Outside period | ","")&amp;IF(COUNTIF(Settings!$E$14:$E$43,C599&amp;"")&gt;0,"Sensitive account | ","")&amp;IF(AND(MAX(N(E599),N(F599))&gt;=Settings!$C$9,MOD(MAX(N(E599),N(F599)),Settings!$C$10)=0),"Round amount | ",""),LEN(IF(K599="No","Does not balance | ","")&amp;IF(I599="","Not approved | ",IF(UPPER(TRIM(H599))=UPPER(TRIM(I599)),"Self-approved | ",""))&amp;IF(J599="","No support | ","")&amp;IF(WEEKDAY(B599,2)&gt;5,"Weekend posting | ","")&amp;IF(COUNTIF(Settings!$A$14:$A$43,B599)&gt;0,"Holiday posting | ","")&amp;IF(B599&gt;Settings!$C$8,"Posted after close | ","")&amp;IF(OR(B599&lt;Settings!$C$6,B599&gt;Settings!$C$7),"Outside period | ","")&amp;IF(COUNTIF(Settings!$E$14:$E$43,C599&amp;"")&gt;0,"Sensitive account | ","")&amp;IF(AND(MAX(N(E599),N(F599))&gt;=Settings!$C$9,MOD(MAX(N(E599),N(F599)),Settings!$C$10)=0),"Round amount | ",""))-3)))</f>
        <v/>
      </c>
      <c r="M599" s="21" t="str">
        <f aca="false">IF(A599="","",IF(COUNTIF($A$9:A599,A599)=1,MAX($M$8:M598)+1,""))</f>
        <v/>
      </c>
    </row>
    <row r="600" customFormat="false" ht="15" hidden="false" customHeight="false" outlineLevel="0" collapsed="false">
      <c r="A600" s="8"/>
      <c r="B600" s="17"/>
      <c r="C600" s="19"/>
      <c r="D600" s="8"/>
      <c r="E600" s="18"/>
      <c r="F600" s="18"/>
      <c r="G600" s="8"/>
      <c r="H600" s="8"/>
      <c r="I600" s="8"/>
      <c r="J600" s="8"/>
      <c r="K600" s="10" t="str">
        <f aca="false">IF(A600="","",IF(ABS(SUMIFS($E$9:$E$2008,$A$9:$A$2008,A600)-SUMIFS($F$9:$F$2008,$A$9:$A$2008,A600))&lt;0.5,"Yes","No"))</f>
        <v/>
      </c>
      <c r="L600" s="10" t="str">
        <f aca="false">IF(A600="","",IF(IF(K600="No","Does not balance | ","")&amp;IF(I600="","Not approved | ",IF(UPPER(TRIM(H600))=UPPER(TRIM(I600)),"Self-approved | ",""))&amp;IF(J600="","No support | ","")&amp;IF(WEEKDAY(B600,2)&gt;5,"Weekend posting | ","")&amp;IF(COUNTIF(Settings!$A$14:$A$43,B600)&gt;0,"Holiday posting | ","")&amp;IF(B600&gt;Settings!$C$8,"Posted after close | ","")&amp;IF(OR(B600&lt;Settings!$C$6,B600&gt;Settings!$C$7),"Outside period | ","")&amp;IF(COUNTIF(Settings!$E$14:$E$43,C600&amp;"")&gt;0,"Sensitive account | ","")&amp;IF(AND(MAX(N(E600),N(F600))&gt;=Settings!$C$9,MOD(MAX(N(E600),N(F600)),Settings!$C$10)=0),"Round amount | ","")="","",LEFT(IF(K600="No","Does not balance | ","")&amp;IF(I600="","Not approved | ",IF(UPPER(TRIM(H600))=UPPER(TRIM(I600)),"Self-approved | ",""))&amp;IF(J600="","No support | ","")&amp;IF(WEEKDAY(B600,2)&gt;5,"Weekend posting | ","")&amp;IF(COUNTIF(Settings!$A$14:$A$43,B600)&gt;0,"Holiday posting | ","")&amp;IF(B600&gt;Settings!$C$8,"Posted after close | ","")&amp;IF(OR(B600&lt;Settings!$C$6,B600&gt;Settings!$C$7),"Outside period | ","")&amp;IF(COUNTIF(Settings!$E$14:$E$43,C600&amp;"")&gt;0,"Sensitive account | ","")&amp;IF(AND(MAX(N(E600),N(F600))&gt;=Settings!$C$9,MOD(MAX(N(E600),N(F600)),Settings!$C$10)=0),"Round amount | ",""),LEN(IF(K600="No","Does not balance | ","")&amp;IF(I600="","Not approved | ",IF(UPPER(TRIM(H600))=UPPER(TRIM(I600)),"Self-approved | ",""))&amp;IF(J600="","No support | ","")&amp;IF(WEEKDAY(B600,2)&gt;5,"Weekend posting | ","")&amp;IF(COUNTIF(Settings!$A$14:$A$43,B600)&gt;0,"Holiday posting | ","")&amp;IF(B600&gt;Settings!$C$8,"Posted after close | ","")&amp;IF(OR(B600&lt;Settings!$C$6,B600&gt;Settings!$C$7),"Outside period | ","")&amp;IF(COUNTIF(Settings!$E$14:$E$43,C600&amp;"")&gt;0,"Sensitive account | ","")&amp;IF(AND(MAX(N(E600),N(F600))&gt;=Settings!$C$9,MOD(MAX(N(E600),N(F600)),Settings!$C$10)=0),"Round amount | ",""))-3)))</f>
        <v/>
      </c>
      <c r="M600" s="21" t="str">
        <f aca="false">IF(A600="","",IF(COUNTIF($A$9:A600,A600)=1,MAX($M$8:M599)+1,""))</f>
        <v/>
      </c>
    </row>
    <row r="601" customFormat="false" ht="15" hidden="false" customHeight="false" outlineLevel="0" collapsed="false">
      <c r="A601" s="8"/>
      <c r="B601" s="17"/>
      <c r="C601" s="19"/>
      <c r="D601" s="8"/>
      <c r="E601" s="18"/>
      <c r="F601" s="18"/>
      <c r="G601" s="8"/>
      <c r="H601" s="8"/>
      <c r="I601" s="8"/>
      <c r="J601" s="8"/>
      <c r="K601" s="10" t="str">
        <f aca="false">IF(A601="","",IF(ABS(SUMIFS($E$9:$E$2008,$A$9:$A$2008,A601)-SUMIFS($F$9:$F$2008,$A$9:$A$2008,A601))&lt;0.5,"Yes","No"))</f>
        <v/>
      </c>
      <c r="L601" s="10" t="str">
        <f aca="false">IF(A601="","",IF(IF(K601="No","Does not balance | ","")&amp;IF(I601="","Not approved | ",IF(UPPER(TRIM(H601))=UPPER(TRIM(I601)),"Self-approved | ",""))&amp;IF(J601="","No support | ","")&amp;IF(WEEKDAY(B601,2)&gt;5,"Weekend posting | ","")&amp;IF(COUNTIF(Settings!$A$14:$A$43,B601)&gt;0,"Holiday posting | ","")&amp;IF(B601&gt;Settings!$C$8,"Posted after close | ","")&amp;IF(OR(B601&lt;Settings!$C$6,B601&gt;Settings!$C$7),"Outside period | ","")&amp;IF(COUNTIF(Settings!$E$14:$E$43,C601&amp;"")&gt;0,"Sensitive account | ","")&amp;IF(AND(MAX(N(E601),N(F601))&gt;=Settings!$C$9,MOD(MAX(N(E601),N(F601)),Settings!$C$10)=0),"Round amount | ","")="","",LEFT(IF(K601="No","Does not balance | ","")&amp;IF(I601="","Not approved | ",IF(UPPER(TRIM(H601))=UPPER(TRIM(I601)),"Self-approved | ",""))&amp;IF(J601="","No support | ","")&amp;IF(WEEKDAY(B601,2)&gt;5,"Weekend posting | ","")&amp;IF(COUNTIF(Settings!$A$14:$A$43,B601)&gt;0,"Holiday posting | ","")&amp;IF(B601&gt;Settings!$C$8,"Posted after close | ","")&amp;IF(OR(B601&lt;Settings!$C$6,B601&gt;Settings!$C$7),"Outside period | ","")&amp;IF(COUNTIF(Settings!$E$14:$E$43,C601&amp;"")&gt;0,"Sensitive account | ","")&amp;IF(AND(MAX(N(E601),N(F601))&gt;=Settings!$C$9,MOD(MAX(N(E601),N(F601)),Settings!$C$10)=0),"Round amount | ",""),LEN(IF(K601="No","Does not balance | ","")&amp;IF(I601="","Not approved | ",IF(UPPER(TRIM(H601))=UPPER(TRIM(I601)),"Self-approved | ",""))&amp;IF(J601="","No support | ","")&amp;IF(WEEKDAY(B601,2)&gt;5,"Weekend posting | ","")&amp;IF(COUNTIF(Settings!$A$14:$A$43,B601)&gt;0,"Holiday posting | ","")&amp;IF(B601&gt;Settings!$C$8,"Posted after close | ","")&amp;IF(OR(B601&lt;Settings!$C$6,B601&gt;Settings!$C$7),"Outside period | ","")&amp;IF(COUNTIF(Settings!$E$14:$E$43,C601&amp;"")&gt;0,"Sensitive account | ","")&amp;IF(AND(MAX(N(E601),N(F601))&gt;=Settings!$C$9,MOD(MAX(N(E601),N(F601)),Settings!$C$10)=0),"Round amount | ",""))-3)))</f>
        <v/>
      </c>
      <c r="M601" s="21" t="str">
        <f aca="false">IF(A601="","",IF(COUNTIF($A$9:A601,A601)=1,MAX($M$8:M600)+1,""))</f>
        <v/>
      </c>
    </row>
    <row r="602" customFormat="false" ht="15" hidden="false" customHeight="false" outlineLevel="0" collapsed="false">
      <c r="A602" s="8"/>
      <c r="B602" s="17"/>
      <c r="C602" s="19"/>
      <c r="D602" s="8"/>
      <c r="E602" s="18"/>
      <c r="F602" s="18"/>
      <c r="G602" s="8"/>
      <c r="H602" s="8"/>
      <c r="I602" s="8"/>
      <c r="J602" s="8"/>
      <c r="K602" s="10" t="str">
        <f aca="false">IF(A602="","",IF(ABS(SUMIFS($E$9:$E$2008,$A$9:$A$2008,A602)-SUMIFS($F$9:$F$2008,$A$9:$A$2008,A602))&lt;0.5,"Yes","No"))</f>
        <v/>
      </c>
      <c r="L602" s="10" t="str">
        <f aca="false">IF(A602="","",IF(IF(K602="No","Does not balance | ","")&amp;IF(I602="","Not approved | ",IF(UPPER(TRIM(H602))=UPPER(TRIM(I602)),"Self-approved | ",""))&amp;IF(J602="","No support | ","")&amp;IF(WEEKDAY(B602,2)&gt;5,"Weekend posting | ","")&amp;IF(COUNTIF(Settings!$A$14:$A$43,B602)&gt;0,"Holiday posting | ","")&amp;IF(B602&gt;Settings!$C$8,"Posted after close | ","")&amp;IF(OR(B602&lt;Settings!$C$6,B602&gt;Settings!$C$7),"Outside period | ","")&amp;IF(COUNTIF(Settings!$E$14:$E$43,C602&amp;"")&gt;0,"Sensitive account | ","")&amp;IF(AND(MAX(N(E602),N(F602))&gt;=Settings!$C$9,MOD(MAX(N(E602),N(F602)),Settings!$C$10)=0),"Round amount | ","")="","",LEFT(IF(K602="No","Does not balance | ","")&amp;IF(I602="","Not approved | ",IF(UPPER(TRIM(H602))=UPPER(TRIM(I602)),"Self-approved | ",""))&amp;IF(J602="","No support | ","")&amp;IF(WEEKDAY(B602,2)&gt;5,"Weekend posting | ","")&amp;IF(COUNTIF(Settings!$A$14:$A$43,B602)&gt;0,"Holiday posting | ","")&amp;IF(B602&gt;Settings!$C$8,"Posted after close | ","")&amp;IF(OR(B602&lt;Settings!$C$6,B602&gt;Settings!$C$7),"Outside period | ","")&amp;IF(COUNTIF(Settings!$E$14:$E$43,C602&amp;"")&gt;0,"Sensitive account | ","")&amp;IF(AND(MAX(N(E602),N(F602))&gt;=Settings!$C$9,MOD(MAX(N(E602),N(F602)),Settings!$C$10)=0),"Round amount | ",""),LEN(IF(K602="No","Does not balance | ","")&amp;IF(I602="","Not approved | ",IF(UPPER(TRIM(H602))=UPPER(TRIM(I602)),"Self-approved | ",""))&amp;IF(J602="","No support | ","")&amp;IF(WEEKDAY(B602,2)&gt;5,"Weekend posting | ","")&amp;IF(COUNTIF(Settings!$A$14:$A$43,B602)&gt;0,"Holiday posting | ","")&amp;IF(B602&gt;Settings!$C$8,"Posted after close | ","")&amp;IF(OR(B602&lt;Settings!$C$6,B602&gt;Settings!$C$7),"Outside period | ","")&amp;IF(COUNTIF(Settings!$E$14:$E$43,C602&amp;"")&gt;0,"Sensitive account | ","")&amp;IF(AND(MAX(N(E602),N(F602))&gt;=Settings!$C$9,MOD(MAX(N(E602),N(F602)),Settings!$C$10)=0),"Round amount | ",""))-3)))</f>
        <v/>
      </c>
      <c r="M602" s="21" t="str">
        <f aca="false">IF(A602="","",IF(COUNTIF($A$9:A602,A602)=1,MAX($M$8:M601)+1,""))</f>
        <v/>
      </c>
    </row>
    <row r="603" customFormat="false" ht="15" hidden="false" customHeight="false" outlineLevel="0" collapsed="false">
      <c r="A603" s="8"/>
      <c r="B603" s="17"/>
      <c r="C603" s="19"/>
      <c r="D603" s="8"/>
      <c r="E603" s="18"/>
      <c r="F603" s="18"/>
      <c r="G603" s="8"/>
      <c r="H603" s="8"/>
      <c r="I603" s="8"/>
      <c r="J603" s="8"/>
      <c r="K603" s="10" t="str">
        <f aca="false">IF(A603="","",IF(ABS(SUMIFS($E$9:$E$2008,$A$9:$A$2008,A603)-SUMIFS($F$9:$F$2008,$A$9:$A$2008,A603))&lt;0.5,"Yes","No"))</f>
        <v/>
      </c>
      <c r="L603" s="10" t="str">
        <f aca="false">IF(A603="","",IF(IF(K603="No","Does not balance | ","")&amp;IF(I603="","Not approved | ",IF(UPPER(TRIM(H603))=UPPER(TRIM(I603)),"Self-approved | ",""))&amp;IF(J603="","No support | ","")&amp;IF(WEEKDAY(B603,2)&gt;5,"Weekend posting | ","")&amp;IF(COUNTIF(Settings!$A$14:$A$43,B603)&gt;0,"Holiday posting | ","")&amp;IF(B603&gt;Settings!$C$8,"Posted after close | ","")&amp;IF(OR(B603&lt;Settings!$C$6,B603&gt;Settings!$C$7),"Outside period | ","")&amp;IF(COUNTIF(Settings!$E$14:$E$43,C603&amp;"")&gt;0,"Sensitive account | ","")&amp;IF(AND(MAX(N(E603),N(F603))&gt;=Settings!$C$9,MOD(MAX(N(E603),N(F603)),Settings!$C$10)=0),"Round amount | ","")="","",LEFT(IF(K603="No","Does not balance | ","")&amp;IF(I603="","Not approved | ",IF(UPPER(TRIM(H603))=UPPER(TRIM(I603)),"Self-approved | ",""))&amp;IF(J603="","No support | ","")&amp;IF(WEEKDAY(B603,2)&gt;5,"Weekend posting | ","")&amp;IF(COUNTIF(Settings!$A$14:$A$43,B603)&gt;0,"Holiday posting | ","")&amp;IF(B603&gt;Settings!$C$8,"Posted after close | ","")&amp;IF(OR(B603&lt;Settings!$C$6,B603&gt;Settings!$C$7),"Outside period | ","")&amp;IF(COUNTIF(Settings!$E$14:$E$43,C603&amp;"")&gt;0,"Sensitive account | ","")&amp;IF(AND(MAX(N(E603),N(F603))&gt;=Settings!$C$9,MOD(MAX(N(E603),N(F603)),Settings!$C$10)=0),"Round amount | ",""),LEN(IF(K603="No","Does not balance | ","")&amp;IF(I603="","Not approved | ",IF(UPPER(TRIM(H603))=UPPER(TRIM(I603)),"Self-approved | ",""))&amp;IF(J603="","No support | ","")&amp;IF(WEEKDAY(B603,2)&gt;5,"Weekend posting | ","")&amp;IF(COUNTIF(Settings!$A$14:$A$43,B603)&gt;0,"Holiday posting | ","")&amp;IF(B603&gt;Settings!$C$8,"Posted after close | ","")&amp;IF(OR(B603&lt;Settings!$C$6,B603&gt;Settings!$C$7),"Outside period | ","")&amp;IF(COUNTIF(Settings!$E$14:$E$43,C603&amp;"")&gt;0,"Sensitive account | ","")&amp;IF(AND(MAX(N(E603),N(F603))&gt;=Settings!$C$9,MOD(MAX(N(E603),N(F603)),Settings!$C$10)=0),"Round amount | ",""))-3)))</f>
        <v/>
      </c>
      <c r="M603" s="21" t="str">
        <f aca="false">IF(A603="","",IF(COUNTIF($A$9:A603,A603)=1,MAX($M$8:M602)+1,""))</f>
        <v/>
      </c>
    </row>
    <row r="604" customFormat="false" ht="15" hidden="false" customHeight="false" outlineLevel="0" collapsed="false">
      <c r="A604" s="8"/>
      <c r="B604" s="17"/>
      <c r="C604" s="19"/>
      <c r="D604" s="8"/>
      <c r="E604" s="18"/>
      <c r="F604" s="18"/>
      <c r="G604" s="8"/>
      <c r="H604" s="8"/>
      <c r="I604" s="8"/>
      <c r="J604" s="8"/>
      <c r="K604" s="10" t="str">
        <f aca="false">IF(A604="","",IF(ABS(SUMIFS($E$9:$E$2008,$A$9:$A$2008,A604)-SUMIFS($F$9:$F$2008,$A$9:$A$2008,A604))&lt;0.5,"Yes","No"))</f>
        <v/>
      </c>
      <c r="L604" s="10" t="str">
        <f aca="false">IF(A604="","",IF(IF(K604="No","Does not balance | ","")&amp;IF(I604="","Not approved | ",IF(UPPER(TRIM(H604))=UPPER(TRIM(I604)),"Self-approved | ",""))&amp;IF(J604="","No support | ","")&amp;IF(WEEKDAY(B604,2)&gt;5,"Weekend posting | ","")&amp;IF(COUNTIF(Settings!$A$14:$A$43,B604)&gt;0,"Holiday posting | ","")&amp;IF(B604&gt;Settings!$C$8,"Posted after close | ","")&amp;IF(OR(B604&lt;Settings!$C$6,B604&gt;Settings!$C$7),"Outside period | ","")&amp;IF(COUNTIF(Settings!$E$14:$E$43,C604&amp;"")&gt;0,"Sensitive account | ","")&amp;IF(AND(MAX(N(E604),N(F604))&gt;=Settings!$C$9,MOD(MAX(N(E604),N(F604)),Settings!$C$10)=0),"Round amount | ","")="","",LEFT(IF(K604="No","Does not balance | ","")&amp;IF(I604="","Not approved | ",IF(UPPER(TRIM(H604))=UPPER(TRIM(I604)),"Self-approved | ",""))&amp;IF(J604="","No support | ","")&amp;IF(WEEKDAY(B604,2)&gt;5,"Weekend posting | ","")&amp;IF(COUNTIF(Settings!$A$14:$A$43,B604)&gt;0,"Holiday posting | ","")&amp;IF(B604&gt;Settings!$C$8,"Posted after close | ","")&amp;IF(OR(B604&lt;Settings!$C$6,B604&gt;Settings!$C$7),"Outside period | ","")&amp;IF(COUNTIF(Settings!$E$14:$E$43,C604&amp;"")&gt;0,"Sensitive account | ","")&amp;IF(AND(MAX(N(E604),N(F604))&gt;=Settings!$C$9,MOD(MAX(N(E604),N(F604)),Settings!$C$10)=0),"Round amount | ",""),LEN(IF(K604="No","Does not balance | ","")&amp;IF(I604="","Not approved | ",IF(UPPER(TRIM(H604))=UPPER(TRIM(I604)),"Self-approved | ",""))&amp;IF(J604="","No support | ","")&amp;IF(WEEKDAY(B604,2)&gt;5,"Weekend posting | ","")&amp;IF(COUNTIF(Settings!$A$14:$A$43,B604)&gt;0,"Holiday posting | ","")&amp;IF(B604&gt;Settings!$C$8,"Posted after close | ","")&amp;IF(OR(B604&lt;Settings!$C$6,B604&gt;Settings!$C$7),"Outside period | ","")&amp;IF(COUNTIF(Settings!$E$14:$E$43,C604&amp;"")&gt;0,"Sensitive account | ","")&amp;IF(AND(MAX(N(E604),N(F604))&gt;=Settings!$C$9,MOD(MAX(N(E604),N(F604)),Settings!$C$10)=0),"Round amount | ",""))-3)))</f>
        <v/>
      </c>
      <c r="M604" s="21" t="str">
        <f aca="false">IF(A604="","",IF(COUNTIF($A$9:A604,A604)=1,MAX($M$8:M603)+1,""))</f>
        <v/>
      </c>
    </row>
    <row r="605" customFormat="false" ht="15" hidden="false" customHeight="false" outlineLevel="0" collapsed="false">
      <c r="A605" s="8"/>
      <c r="B605" s="17"/>
      <c r="C605" s="19"/>
      <c r="D605" s="8"/>
      <c r="E605" s="18"/>
      <c r="F605" s="18"/>
      <c r="G605" s="8"/>
      <c r="H605" s="8"/>
      <c r="I605" s="8"/>
      <c r="J605" s="8"/>
      <c r="K605" s="10" t="str">
        <f aca="false">IF(A605="","",IF(ABS(SUMIFS($E$9:$E$2008,$A$9:$A$2008,A605)-SUMIFS($F$9:$F$2008,$A$9:$A$2008,A605))&lt;0.5,"Yes","No"))</f>
        <v/>
      </c>
      <c r="L605" s="10" t="str">
        <f aca="false">IF(A605="","",IF(IF(K605="No","Does not balance | ","")&amp;IF(I605="","Not approved | ",IF(UPPER(TRIM(H605))=UPPER(TRIM(I605)),"Self-approved | ",""))&amp;IF(J605="","No support | ","")&amp;IF(WEEKDAY(B605,2)&gt;5,"Weekend posting | ","")&amp;IF(COUNTIF(Settings!$A$14:$A$43,B605)&gt;0,"Holiday posting | ","")&amp;IF(B605&gt;Settings!$C$8,"Posted after close | ","")&amp;IF(OR(B605&lt;Settings!$C$6,B605&gt;Settings!$C$7),"Outside period | ","")&amp;IF(COUNTIF(Settings!$E$14:$E$43,C605&amp;"")&gt;0,"Sensitive account | ","")&amp;IF(AND(MAX(N(E605),N(F605))&gt;=Settings!$C$9,MOD(MAX(N(E605),N(F605)),Settings!$C$10)=0),"Round amount | ","")="","",LEFT(IF(K605="No","Does not balance | ","")&amp;IF(I605="","Not approved | ",IF(UPPER(TRIM(H605))=UPPER(TRIM(I605)),"Self-approved | ",""))&amp;IF(J605="","No support | ","")&amp;IF(WEEKDAY(B605,2)&gt;5,"Weekend posting | ","")&amp;IF(COUNTIF(Settings!$A$14:$A$43,B605)&gt;0,"Holiday posting | ","")&amp;IF(B605&gt;Settings!$C$8,"Posted after close | ","")&amp;IF(OR(B605&lt;Settings!$C$6,B605&gt;Settings!$C$7),"Outside period | ","")&amp;IF(COUNTIF(Settings!$E$14:$E$43,C605&amp;"")&gt;0,"Sensitive account | ","")&amp;IF(AND(MAX(N(E605),N(F605))&gt;=Settings!$C$9,MOD(MAX(N(E605),N(F605)),Settings!$C$10)=0),"Round amount | ",""),LEN(IF(K605="No","Does not balance | ","")&amp;IF(I605="","Not approved | ",IF(UPPER(TRIM(H605))=UPPER(TRIM(I605)),"Self-approved | ",""))&amp;IF(J605="","No support | ","")&amp;IF(WEEKDAY(B605,2)&gt;5,"Weekend posting | ","")&amp;IF(COUNTIF(Settings!$A$14:$A$43,B605)&gt;0,"Holiday posting | ","")&amp;IF(B605&gt;Settings!$C$8,"Posted after close | ","")&amp;IF(OR(B605&lt;Settings!$C$6,B605&gt;Settings!$C$7),"Outside period | ","")&amp;IF(COUNTIF(Settings!$E$14:$E$43,C605&amp;"")&gt;0,"Sensitive account | ","")&amp;IF(AND(MAX(N(E605),N(F605))&gt;=Settings!$C$9,MOD(MAX(N(E605),N(F605)),Settings!$C$10)=0),"Round amount | ",""))-3)))</f>
        <v/>
      </c>
      <c r="M605" s="21" t="str">
        <f aca="false">IF(A605="","",IF(COUNTIF($A$9:A605,A605)=1,MAX($M$8:M604)+1,""))</f>
        <v/>
      </c>
    </row>
    <row r="606" customFormat="false" ht="15" hidden="false" customHeight="false" outlineLevel="0" collapsed="false">
      <c r="A606" s="8"/>
      <c r="B606" s="17"/>
      <c r="C606" s="19"/>
      <c r="D606" s="8"/>
      <c r="E606" s="18"/>
      <c r="F606" s="18"/>
      <c r="G606" s="8"/>
      <c r="H606" s="8"/>
      <c r="I606" s="8"/>
      <c r="J606" s="8"/>
      <c r="K606" s="10" t="str">
        <f aca="false">IF(A606="","",IF(ABS(SUMIFS($E$9:$E$2008,$A$9:$A$2008,A606)-SUMIFS($F$9:$F$2008,$A$9:$A$2008,A606))&lt;0.5,"Yes","No"))</f>
        <v/>
      </c>
      <c r="L606" s="10" t="str">
        <f aca="false">IF(A606="","",IF(IF(K606="No","Does not balance | ","")&amp;IF(I606="","Not approved | ",IF(UPPER(TRIM(H606))=UPPER(TRIM(I606)),"Self-approved | ",""))&amp;IF(J606="","No support | ","")&amp;IF(WEEKDAY(B606,2)&gt;5,"Weekend posting | ","")&amp;IF(COUNTIF(Settings!$A$14:$A$43,B606)&gt;0,"Holiday posting | ","")&amp;IF(B606&gt;Settings!$C$8,"Posted after close | ","")&amp;IF(OR(B606&lt;Settings!$C$6,B606&gt;Settings!$C$7),"Outside period | ","")&amp;IF(COUNTIF(Settings!$E$14:$E$43,C606&amp;"")&gt;0,"Sensitive account | ","")&amp;IF(AND(MAX(N(E606),N(F606))&gt;=Settings!$C$9,MOD(MAX(N(E606),N(F606)),Settings!$C$10)=0),"Round amount | ","")="","",LEFT(IF(K606="No","Does not balance | ","")&amp;IF(I606="","Not approved | ",IF(UPPER(TRIM(H606))=UPPER(TRIM(I606)),"Self-approved | ",""))&amp;IF(J606="","No support | ","")&amp;IF(WEEKDAY(B606,2)&gt;5,"Weekend posting | ","")&amp;IF(COUNTIF(Settings!$A$14:$A$43,B606)&gt;0,"Holiday posting | ","")&amp;IF(B606&gt;Settings!$C$8,"Posted after close | ","")&amp;IF(OR(B606&lt;Settings!$C$6,B606&gt;Settings!$C$7),"Outside period | ","")&amp;IF(COUNTIF(Settings!$E$14:$E$43,C606&amp;"")&gt;0,"Sensitive account | ","")&amp;IF(AND(MAX(N(E606),N(F606))&gt;=Settings!$C$9,MOD(MAX(N(E606),N(F606)),Settings!$C$10)=0),"Round amount | ",""),LEN(IF(K606="No","Does not balance | ","")&amp;IF(I606="","Not approved | ",IF(UPPER(TRIM(H606))=UPPER(TRIM(I606)),"Self-approved | ",""))&amp;IF(J606="","No support | ","")&amp;IF(WEEKDAY(B606,2)&gt;5,"Weekend posting | ","")&amp;IF(COUNTIF(Settings!$A$14:$A$43,B606)&gt;0,"Holiday posting | ","")&amp;IF(B606&gt;Settings!$C$8,"Posted after close | ","")&amp;IF(OR(B606&lt;Settings!$C$6,B606&gt;Settings!$C$7),"Outside period | ","")&amp;IF(COUNTIF(Settings!$E$14:$E$43,C606&amp;"")&gt;0,"Sensitive account | ","")&amp;IF(AND(MAX(N(E606),N(F606))&gt;=Settings!$C$9,MOD(MAX(N(E606),N(F606)),Settings!$C$10)=0),"Round amount | ",""))-3)))</f>
        <v/>
      </c>
      <c r="M606" s="21" t="str">
        <f aca="false">IF(A606="","",IF(COUNTIF($A$9:A606,A606)=1,MAX($M$8:M605)+1,""))</f>
        <v/>
      </c>
    </row>
    <row r="607" customFormat="false" ht="15" hidden="false" customHeight="false" outlineLevel="0" collapsed="false">
      <c r="A607" s="8"/>
      <c r="B607" s="17"/>
      <c r="C607" s="19"/>
      <c r="D607" s="8"/>
      <c r="E607" s="18"/>
      <c r="F607" s="18"/>
      <c r="G607" s="8"/>
      <c r="H607" s="8"/>
      <c r="I607" s="8"/>
      <c r="J607" s="8"/>
      <c r="K607" s="10" t="str">
        <f aca="false">IF(A607="","",IF(ABS(SUMIFS($E$9:$E$2008,$A$9:$A$2008,A607)-SUMIFS($F$9:$F$2008,$A$9:$A$2008,A607))&lt;0.5,"Yes","No"))</f>
        <v/>
      </c>
      <c r="L607" s="10" t="str">
        <f aca="false">IF(A607="","",IF(IF(K607="No","Does not balance | ","")&amp;IF(I607="","Not approved | ",IF(UPPER(TRIM(H607))=UPPER(TRIM(I607)),"Self-approved | ",""))&amp;IF(J607="","No support | ","")&amp;IF(WEEKDAY(B607,2)&gt;5,"Weekend posting | ","")&amp;IF(COUNTIF(Settings!$A$14:$A$43,B607)&gt;0,"Holiday posting | ","")&amp;IF(B607&gt;Settings!$C$8,"Posted after close | ","")&amp;IF(OR(B607&lt;Settings!$C$6,B607&gt;Settings!$C$7),"Outside period | ","")&amp;IF(COUNTIF(Settings!$E$14:$E$43,C607&amp;"")&gt;0,"Sensitive account | ","")&amp;IF(AND(MAX(N(E607),N(F607))&gt;=Settings!$C$9,MOD(MAX(N(E607),N(F607)),Settings!$C$10)=0),"Round amount | ","")="","",LEFT(IF(K607="No","Does not balance | ","")&amp;IF(I607="","Not approved | ",IF(UPPER(TRIM(H607))=UPPER(TRIM(I607)),"Self-approved | ",""))&amp;IF(J607="","No support | ","")&amp;IF(WEEKDAY(B607,2)&gt;5,"Weekend posting | ","")&amp;IF(COUNTIF(Settings!$A$14:$A$43,B607)&gt;0,"Holiday posting | ","")&amp;IF(B607&gt;Settings!$C$8,"Posted after close | ","")&amp;IF(OR(B607&lt;Settings!$C$6,B607&gt;Settings!$C$7),"Outside period | ","")&amp;IF(COUNTIF(Settings!$E$14:$E$43,C607&amp;"")&gt;0,"Sensitive account | ","")&amp;IF(AND(MAX(N(E607),N(F607))&gt;=Settings!$C$9,MOD(MAX(N(E607),N(F607)),Settings!$C$10)=0),"Round amount | ",""),LEN(IF(K607="No","Does not balance | ","")&amp;IF(I607="","Not approved | ",IF(UPPER(TRIM(H607))=UPPER(TRIM(I607)),"Self-approved | ",""))&amp;IF(J607="","No support | ","")&amp;IF(WEEKDAY(B607,2)&gt;5,"Weekend posting | ","")&amp;IF(COUNTIF(Settings!$A$14:$A$43,B607)&gt;0,"Holiday posting | ","")&amp;IF(B607&gt;Settings!$C$8,"Posted after close | ","")&amp;IF(OR(B607&lt;Settings!$C$6,B607&gt;Settings!$C$7),"Outside period | ","")&amp;IF(COUNTIF(Settings!$E$14:$E$43,C607&amp;"")&gt;0,"Sensitive account | ","")&amp;IF(AND(MAX(N(E607),N(F607))&gt;=Settings!$C$9,MOD(MAX(N(E607),N(F607)),Settings!$C$10)=0),"Round amount | ",""))-3)))</f>
        <v/>
      </c>
      <c r="M607" s="21" t="str">
        <f aca="false">IF(A607="","",IF(COUNTIF($A$9:A607,A607)=1,MAX($M$8:M606)+1,""))</f>
        <v/>
      </c>
    </row>
    <row r="608" customFormat="false" ht="15" hidden="false" customHeight="false" outlineLevel="0" collapsed="false">
      <c r="A608" s="8"/>
      <c r="B608" s="17"/>
      <c r="C608" s="19"/>
      <c r="D608" s="8"/>
      <c r="E608" s="18"/>
      <c r="F608" s="18"/>
      <c r="G608" s="8"/>
      <c r="H608" s="8"/>
      <c r="I608" s="8"/>
      <c r="J608" s="8"/>
      <c r="K608" s="10" t="str">
        <f aca="false">IF(A608="","",IF(ABS(SUMIFS($E$9:$E$2008,$A$9:$A$2008,A608)-SUMIFS($F$9:$F$2008,$A$9:$A$2008,A608))&lt;0.5,"Yes","No"))</f>
        <v/>
      </c>
      <c r="L608" s="10" t="str">
        <f aca="false">IF(A608="","",IF(IF(K608="No","Does not balance | ","")&amp;IF(I608="","Not approved | ",IF(UPPER(TRIM(H608))=UPPER(TRIM(I608)),"Self-approved | ",""))&amp;IF(J608="","No support | ","")&amp;IF(WEEKDAY(B608,2)&gt;5,"Weekend posting | ","")&amp;IF(COUNTIF(Settings!$A$14:$A$43,B608)&gt;0,"Holiday posting | ","")&amp;IF(B608&gt;Settings!$C$8,"Posted after close | ","")&amp;IF(OR(B608&lt;Settings!$C$6,B608&gt;Settings!$C$7),"Outside period | ","")&amp;IF(COUNTIF(Settings!$E$14:$E$43,C608&amp;"")&gt;0,"Sensitive account | ","")&amp;IF(AND(MAX(N(E608),N(F608))&gt;=Settings!$C$9,MOD(MAX(N(E608),N(F608)),Settings!$C$10)=0),"Round amount | ","")="","",LEFT(IF(K608="No","Does not balance | ","")&amp;IF(I608="","Not approved | ",IF(UPPER(TRIM(H608))=UPPER(TRIM(I608)),"Self-approved | ",""))&amp;IF(J608="","No support | ","")&amp;IF(WEEKDAY(B608,2)&gt;5,"Weekend posting | ","")&amp;IF(COUNTIF(Settings!$A$14:$A$43,B608)&gt;0,"Holiday posting | ","")&amp;IF(B608&gt;Settings!$C$8,"Posted after close | ","")&amp;IF(OR(B608&lt;Settings!$C$6,B608&gt;Settings!$C$7),"Outside period | ","")&amp;IF(COUNTIF(Settings!$E$14:$E$43,C608&amp;"")&gt;0,"Sensitive account | ","")&amp;IF(AND(MAX(N(E608),N(F608))&gt;=Settings!$C$9,MOD(MAX(N(E608),N(F608)),Settings!$C$10)=0),"Round amount | ",""),LEN(IF(K608="No","Does not balance | ","")&amp;IF(I608="","Not approved | ",IF(UPPER(TRIM(H608))=UPPER(TRIM(I608)),"Self-approved | ",""))&amp;IF(J608="","No support | ","")&amp;IF(WEEKDAY(B608,2)&gt;5,"Weekend posting | ","")&amp;IF(COUNTIF(Settings!$A$14:$A$43,B608)&gt;0,"Holiday posting | ","")&amp;IF(B608&gt;Settings!$C$8,"Posted after close | ","")&amp;IF(OR(B608&lt;Settings!$C$6,B608&gt;Settings!$C$7),"Outside period | ","")&amp;IF(COUNTIF(Settings!$E$14:$E$43,C608&amp;"")&gt;0,"Sensitive account | ","")&amp;IF(AND(MAX(N(E608),N(F608))&gt;=Settings!$C$9,MOD(MAX(N(E608),N(F608)),Settings!$C$10)=0),"Round amount | ",""))-3)))</f>
        <v/>
      </c>
      <c r="M608" s="21" t="str">
        <f aca="false">IF(A608="","",IF(COUNTIF($A$9:A608,A608)=1,MAX($M$8:M607)+1,""))</f>
        <v/>
      </c>
    </row>
    <row r="609" customFormat="false" ht="15" hidden="false" customHeight="false" outlineLevel="0" collapsed="false">
      <c r="A609" s="8"/>
      <c r="B609" s="17"/>
      <c r="C609" s="19"/>
      <c r="D609" s="8"/>
      <c r="E609" s="18"/>
      <c r="F609" s="18"/>
      <c r="G609" s="8"/>
      <c r="H609" s="8"/>
      <c r="I609" s="8"/>
      <c r="J609" s="8"/>
      <c r="K609" s="10" t="str">
        <f aca="false">IF(A609="","",IF(ABS(SUMIFS($E$9:$E$2008,$A$9:$A$2008,A609)-SUMIFS($F$9:$F$2008,$A$9:$A$2008,A609))&lt;0.5,"Yes","No"))</f>
        <v/>
      </c>
      <c r="L609" s="10" t="str">
        <f aca="false">IF(A609="","",IF(IF(K609="No","Does not balance | ","")&amp;IF(I609="","Not approved | ",IF(UPPER(TRIM(H609))=UPPER(TRIM(I609)),"Self-approved | ",""))&amp;IF(J609="","No support | ","")&amp;IF(WEEKDAY(B609,2)&gt;5,"Weekend posting | ","")&amp;IF(COUNTIF(Settings!$A$14:$A$43,B609)&gt;0,"Holiday posting | ","")&amp;IF(B609&gt;Settings!$C$8,"Posted after close | ","")&amp;IF(OR(B609&lt;Settings!$C$6,B609&gt;Settings!$C$7),"Outside period | ","")&amp;IF(COUNTIF(Settings!$E$14:$E$43,C609&amp;"")&gt;0,"Sensitive account | ","")&amp;IF(AND(MAX(N(E609),N(F609))&gt;=Settings!$C$9,MOD(MAX(N(E609),N(F609)),Settings!$C$10)=0),"Round amount | ","")="","",LEFT(IF(K609="No","Does not balance | ","")&amp;IF(I609="","Not approved | ",IF(UPPER(TRIM(H609))=UPPER(TRIM(I609)),"Self-approved | ",""))&amp;IF(J609="","No support | ","")&amp;IF(WEEKDAY(B609,2)&gt;5,"Weekend posting | ","")&amp;IF(COUNTIF(Settings!$A$14:$A$43,B609)&gt;0,"Holiday posting | ","")&amp;IF(B609&gt;Settings!$C$8,"Posted after close | ","")&amp;IF(OR(B609&lt;Settings!$C$6,B609&gt;Settings!$C$7),"Outside period | ","")&amp;IF(COUNTIF(Settings!$E$14:$E$43,C609&amp;"")&gt;0,"Sensitive account | ","")&amp;IF(AND(MAX(N(E609),N(F609))&gt;=Settings!$C$9,MOD(MAX(N(E609),N(F609)),Settings!$C$10)=0),"Round amount | ",""),LEN(IF(K609="No","Does not balance | ","")&amp;IF(I609="","Not approved | ",IF(UPPER(TRIM(H609))=UPPER(TRIM(I609)),"Self-approved | ",""))&amp;IF(J609="","No support | ","")&amp;IF(WEEKDAY(B609,2)&gt;5,"Weekend posting | ","")&amp;IF(COUNTIF(Settings!$A$14:$A$43,B609)&gt;0,"Holiday posting | ","")&amp;IF(B609&gt;Settings!$C$8,"Posted after close | ","")&amp;IF(OR(B609&lt;Settings!$C$6,B609&gt;Settings!$C$7),"Outside period | ","")&amp;IF(COUNTIF(Settings!$E$14:$E$43,C609&amp;"")&gt;0,"Sensitive account | ","")&amp;IF(AND(MAX(N(E609),N(F609))&gt;=Settings!$C$9,MOD(MAX(N(E609),N(F609)),Settings!$C$10)=0),"Round amount | ",""))-3)))</f>
        <v/>
      </c>
      <c r="M609" s="21" t="str">
        <f aca="false">IF(A609="","",IF(COUNTIF($A$9:A609,A609)=1,MAX($M$8:M608)+1,""))</f>
        <v/>
      </c>
    </row>
    <row r="610" customFormat="false" ht="15" hidden="false" customHeight="false" outlineLevel="0" collapsed="false">
      <c r="A610" s="8"/>
      <c r="B610" s="17"/>
      <c r="C610" s="19"/>
      <c r="D610" s="8"/>
      <c r="E610" s="18"/>
      <c r="F610" s="18"/>
      <c r="G610" s="8"/>
      <c r="H610" s="8"/>
      <c r="I610" s="8"/>
      <c r="J610" s="8"/>
      <c r="K610" s="10" t="str">
        <f aca="false">IF(A610="","",IF(ABS(SUMIFS($E$9:$E$2008,$A$9:$A$2008,A610)-SUMIFS($F$9:$F$2008,$A$9:$A$2008,A610))&lt;0.5,"Yes","No"))</f>
        <v/>
      </c>
      <c r="L610" s="10" t="str">
        <f aca="false">IF(A610="","",IF(IF(K610="No","Does not balance | ","")&amp;IF(I610="","Not approved | ",IF(UPPER(TRIM(H610))=UPPER(TRIM(I610)),"Self-approved | ",""))&amp;IF(J610="","No support | ","")&amp;IF(WEEKDAY(B610,2)&gt;5,"Weekend posting | ","")&amp;IF(COUNTIF(Settings!$A$14:$A$43,B610)&gt;0,"Holiday posting | ","")&amp;IF(B610&gt;Settings!$C$8,"Posted after close | ","")&amp;IF(OR(B610&lt;Settings!$C$6,B610&gt;Settings!$C$7),"Outside period | ","")&amp;IF(COUNTIF(Settings!$E$14:$E$43,C610&amp;"")&gt;0,"Sensitive account | ","")&amp;IF(AND(MAX(N(E610),N(F610))&gt;=Settings!$C$9,MOD(MAX(N(E610),N(F610)),Settings!$C$10)=0),"Round amount | ","")="","",LEFT(IF(K610="No","Does not balance | ","")&amp;IF(I610="","Not approved | ",IF(UPPER(TRIM(H610))=UPPER(TRIM(I610)),"Self-approved | ",""))&amp;IF(J610="","No support | ","")&amp;IF(WEEKDAY(B610,2)&gt;5,"Weekend posting | ","")&amp;IF(COUNTIF(Settings!$A$14:$A$43,B610)&gt;0,"Holiday posting | ","")&amp;IF(B610&gt;Settings!$C$8,"Posted after close | ","")&amp;IF(OR(B610&lt;Settings!$C$6,B610&gt;Settings!$C$7),"Outside period | ","")&amp;IF(COUNTIF(Settings!$E$14:$E$43,C610&amp;"")&gt;0,"Sensitive account | ","")&amp;IF(AND(MAX(N(E610),N(F610))&gt;=Settings!$C$9,MOD(MAX(N(E610),N(F610)),Settings!$C$10)=0),"Round amount | ",""),LEN(IF(K610="No","Does not balance | ","")&amp;IF(I610="","Not approved | ",IF(UPPER(TRIM(H610))=UPPER(TRIM(I610)),"Self-approved | ",""))&amp;IF(J610="","No support | ","")&amp;IF(WEEKDAY(B610,2)&gt;5,"Weekend posting | ","")&amp;IF(COUNTIF(Settings!$A$14:$A$43,B610)&gt;0,"Holiday posting | ","")&amp;IF(B610&gt;Settings!$C$8,"Posted after close | ","")&amp;IF(OR(B610&lt;Settings!$C$6,B610&gt;Settings!$C$7),"Outside period | ","")&amp;IF(COUNTIF(Settings!$E$14:$E$43,C610&amp;"")&gt;0,"Sensitive account | ","")&amp;IF(AND(MAX(N(E610),N(F610))&gt;=Settings!$C$9,MOD(MAX(N(E610),N(F610)),Settings!$C$10)=0),"Round amount | ",""))-3)))</f>
        <v/>
      </c>
      <c r="M610" s="21" t="str">
        <f aca="false">IF(A610="","",IF(COUNTIF($A$9:A610,A610)=1,MAX($M$8:M609)+1,""))</f>
        <v/>
      </c>
    </row>
    <row r="611" customFormat="false" ht="15" hidden="false" customHeight="false" outlineLevel="0" collapsed="false">
      <c r="A611" s="8"/>
      <c r="B611" s="17"/>
      <c r="C611" s="19"/>
      <c r="D611" s="8"/>
      <c r="E611" s="18"/>
      <c r="F611" s="18"/>
      <c r="G611" s="8"/>
      <c r="H611" s="8"/>
      <c r="I611" s="8"/>
      <c r="J611" s="8"/>
      <c r="K611" s="10" t="str">
        <f aca="false">IF(A611="","",IF(ABS(SUMIFS($E$9:$E$2008,$A$9:$A$2008,A611)-SUMIFS($F$9:$F$2008,$A$9:$A$2008,A611))&lt;0.5,"Yes","No"))</f>
        <v/>
      </c>
      <c r="L611" s="10" t="str">
        <f aca="false">IF(A611="","",IF(IF(K611="No","Does not balance | ","")&amp;IF(I611="","Not approved | ",IF(UPPER(TRIM(H611))=UPPER(TRIM(I611)),"Self-approved | ",""))&amp;IF(J611="","No support | ","")&amp;IF(WEEKDAY(B611,2)&gt;5,"Weekend posting | ","")&amp;IF(COUNTIF(Settings!$A$14:$A$43,B611)&gt;0,"Holiday posting | ","")&amp;IF(B611&gt;Settings!$C$8,"Posted after close | ","")&amp;IF(OR(B611&lt;Settings!$C$6,B611&gt;Settings!$C$7),"Outside period | ","")&amp;IF(COUNTIF(Settings!$E$14:$E$43,C611&amp;"")&gt;0,"Sensitive account | ","")&amp;IF(AND(MAX(N(E611),N(F611))&gt;=Settings!$C$9,MOD(MAX(N(E611),N(F611)),Settings!$C$10)=0),"Round amount | ","")="","",LEFT(IF(K611="No","Does not balance | ","")&amp;IF(I611="","Not approved | ",IF(UPPER(TRIM(H611))=UPPER(TRIM(I611)),"Self-approved | ",""))&amp;IF(J611="","No support | ","")&amp;IF(WEEKDAY(B611,2)&gt;5,"Weekend posting | ","")&amp;IF(COUNTIF(Settings!$A$14:$A$43,B611)&gt;0,"Holiday posting | ","")&amp;IF(B611&gt;Settings!$C$8,"Posted after close | ","")&amp;IF(OR(B611&lt;Settings!$C$6,B611&gt;Settings!$C$7),"Outside period | ","")&amp;IF(COUNTIF(Settings!$E$14:$E$43,C611&amp;"")&gt;0,"Sensitive account | ","")&amp;IF(AND(MAX(N(E611),N(F611))&gt;=Settings!$C$9,MOD(MAX(N(E611),N(F611)),Settings!$C$10)=0),"Round amount | ",""),LEN(IF(K611="No","Does not balance | ","")&amp;IF(I611="","Not approved | ",IF(UPPER(TRIM(H611))=UPPER(TRIM(I611)),"Self-approved | ",""))&amp;IF(J611="","No support | ","")&amp;IF(WEEKDAY(B611,2)&gt;5,"Weekend posting | ","")&amp;IF(COUNTIF(Settings!$A$14:$A$43,B611)&gt;0,"Holiday posting | ","")&amp;IF(B611&gt;Settings!$C$8,"Posted after close | ","")&amp;IF(OR(B611&lt;Settings!$C$6,B611&gt;Settings!$C$7),"Outside period | ","")&amp;IF(COUNTIF(Settings!$E$14:$E$43,C611&amp;"")&gt;0,"Sensitive account | ","")&amp;IF(AND(MAX(N(E611),N(F611))&gt;=Settings!$C$9,MOD(MAX(N(E611),N(F611)),Settings!$C$10)=0),"Round amount | ",""))-3)))</f>
        <v/>
      </c>
      <c r="M611" s="21" t="str">
        <f aca="false">IF(A611="","",IF(COUNTIF($A$9:A611,A611)=1,MAX($M$8:M610)+1,""))</f>
        <v/>
      </c>
    </row>
    <row r="612" customFormat="false" ht="15" hidden="false" customHeight="false" outlineLevel="0" collapsed="false">
      <c r="A612" s="8"/>
      <c r="B612" s="17"/>
      <c r="C612" s="19"/>
      <c r="D612" s="8"/>
      <c r="E612" s="18"/>
      <c r="F612" s="18"/>
      <c r="G612" s="8"/>
      <c r="H612" s="8"/>
      <c r="I612" s="8"/>
      <c r="J612" s="8"/>
      <c r="K612" s="10" t="str">
        <f aca="false">IF(A612="","",IF(ABS(SUMIFS($E$9:$E$2008,$A$9:$A$2008,A612)-SUMIFS($F$9:$F$2008,$A$9:$A$2008,A612))&lt;0.5,"Yes","No"))</f>
        <v/>
      </c>
      <c r="L612" s="10" t="str">
        <f aca="false">IF(A612="","",IF(IF(K612="No","Does not balance | ","")&amp;IF(I612="","Not approved | ",IF(UPPER(TRIM(H612))=UPPER(TRIM(I612)),"Self-approved | ",""))&amp;IF(J612="","No support | ","")&amp;IF(WEEKDAY(B612,2)&gt;5,"Weekend posting | ","")&amp;IF(COUNTIF(Settings!$A$14:$A$43,B612)&gt;0,"Holiday posting | ","")&amp;IF(B612&gt;Settings!$C$8,"Posted after close | ","")&amp;IF(OR(B612&lt;Settings!$C$6,B612&gt;Settings!$C$7),"Outside period | ","")&amp;IF(COUNTIF(Settings!$E$14:$E$43,C612&amp;"")&gt;0,"Sensitive account | ","")&amp;IF(AND(MAX(N(E612),N(F612))&gt;=Settings!$C$9,MOD(MAX(N(E612),N(F612)),Settings!$C$10)=0),"Round amount | ","")="","",LEFT(IF(K612="No","Does not balance | ","")&amp;IF(I612="","Not approved | ",IF(UPPER(TRIM(H612))=UPPER(TRIM(I612)),"Self-approved | ",""))&amp;IF(J612="","No support | ","")&amp;IF(WEEKDAY(B612,2)&gt;5,"Weekend posting | ","")&amp;IF(COUNTIF(Settings!$A$14:$A$43,B612)&gt;0,"Holiday posting | ","")&amp;IF(B612&gt;Settings!$C$8,"Posted after close | ","")&amp;IF(OR(B612&lt;Settings!$C$6,B612&gt;Settings!$C$7),"Outside period | ","")&amp;IF(COUNTIF(Settings!$E$14:$E$43,C612&amp;"")&gt;0,"Sensitive account | ","")&amp;IF(AND(MAX(N(E612),N(F612))&gt;=Settings!$C$9,MOD(MAX(N(E612),N(F612)),Settings!$C$10)=0),"Round amount | ",""),LEN(IF(K612="No","Does not balance | ","")&amp;IF(I612="","Not approved | ",IF(UPPER(TRIM(H612))=UPPER(TRIM(I612)),"Self-approved | ",""))&amp;IF(J612="","No support | ","")&amp;IF(WEEKDAY(B612,2)&gt;5,"Weekend posting | ","")&amp;IF(COUNTIF(Settings!$A$14:$A$43,B612)&gt;0,"Holiday posting | ","")&amp;IF(B612&gt;Settings!$C$8,"Posted after close | ","")&amp;IF(OR(B612&lt;Settings!$C$6,B612&gt;Settings!$C$7),"Outside period | ","")&amp;IF(COUNTIF(Settings!$E$14:$E$43,C612&amp;"")&gt;0,"Sensitive account | ","")&amp;IF(AND(MAX(N(E612),N(F612))&gt;=Settings!$C$9,MOD(MAX(N(E612),N(F612)),Settings!$C$10)=0),"Round amount | ",""))-3)))</f>
        <v/>
      </c>
      <c r="M612" s="21" t="str">
        <f aca="false">IF(A612="","",IF(COUNTIF($A$9:A612,A612)=1,MAX($M$8:M611)+1,""))</f>
        <v/>
      </c>
    </row>
    <row r="613" customFormat="false" ht="15" hidden="false" customHeight="false" outlineLevel="0" collapsed="false">
      <c r="A613" s="8"/>
      <c r="B613" s="17"/>
      <c r="C613" s="19"/>
      <c r="D613" s="8"/>
      <c r="E613" s="18"/>
      <c r="F613" s="18"/>
      <c r="G613" s="8"/>
      <c r="H613" s="8"/>
      <c r="I613" s="8"/>
      <c r="J613" s="8"/>
      <c r="K613" s="10" t="str">
        <f aca="false">IF(A613="","",IF(ABS(SUMIFS($E$9:$E$2008,$A$9:$A$2008,A613)-SUMIFS($F$9:$F$2008,$A$9:$A$2008,A613))&lt;0.5,"Yes","No"))</f>
        <v/>
      </c>
      <c r="L613" s="10" t="str">
        <f aca="false">IF(A613="","",IF(IF(K613="No","Does not balance | ","")&amp;IF(I613="","Not approved | ",IF(UPPER(TRIM(H613))=UPPER(TRIM(I613)),"Self-approved | ",""))&amp;IF(J613="","No support | ","")&amp;IF(WEEKDAY(B613,2)&gt;5,"Weekend posting | ","")&amp;IF(COUNTIF(Settings!$A$14:$A$43,B613)&gt;0,"Holiday posting | ","")&amp;IF(B613&gt;Settings!$C$8,"Posted after close | ","")&amp;IF(OR(B613&lt;Settings!$C$6,B613&gt;Settings!$C$7),"Outside period | ","")&amp;IF(COUNTIF(Settings!$E$14:$E$43,C613&amp;"")&gt;0,"Sensitive account | ","")&amp;IF(AND(MAX(N(E613),N(F613))&gt;=Settings!$C$9,MOD(MAX(N(E613),N(F613)),Settings!$C$10)=0),"Round amount | ","")="","",LEFT(IF(K613="No","Does not balance | ","")&amp;IF(I613="","Not approved | ",IF(UPPER(TRIM(H613))=UPPER(TRIM(I613)),"Self-approved | ",""))&amp;IF(J613="","No support | ","")&amp;IF(WEEKDAY(B613,2)&gt;5,"Weekend posting | ","")&amp;IF(COUNTIF(Settings!$A$14:$A$43,B613)&gt;0,"Holiday posting | ","")&amp;IF(B613&gt;Settings!$C$8,"Posted after close | ","")&amp;IF(OR(B613&lt;Settings!$C$6,B613&gt;Settings!$C$7),"Outside period | ","")&amp;IF(COUNTIF(Settings!$E$14:$E$43,C613&amp;"")&gt;0,"Sensitive account | ","")&amp;IF(AND(MAX(N(E613),N(F613))&gt;=Settings!$C$9,MOD(MAX(N(E613),N(F613)),Settings!$C$10)=0),"Round amount | ",""),LEN(IF(K613="No","Does not balance | ","")&amp;IF(I613="","Not approved | ",IF(UPPER(TRIM(H613))=UPPER(TRIM(I613)),"Self-approved | ",""))&amp;IF(J613="","No support | ","")&amp;IF(WEEKDAY(B613,2)&gt;5,"Weekend posting | ","")&amp;IF(COUNTIF(Settings!$A$14:$A$43,B613)&gt;0,"Holiday posting | ","")&amp;IF(B613&gt;Settings!$C$8,"Posted after close | ","")&amp;IF(OR(B613&lt;Settings!$C$6,B613&gt;Settings!$C$7),"Outside period | ","")&amp;IF(COUNTIF(Settings!$E$14:$E$43,C613&amp;"")&gt;0,"Sensitive account | ","")&amp;IF(AND(MAX(N(E613),N(F613))&gt;=Settings!$C$9,MOD(MAX(N(E613),N(F613)),Settings!$C$10)=0),"Round amount | ",""))-3)))</f>
        <v/>
      </c>
      <c r="M613" s="21" t="str">
        <f aca="false">IF(A613="","",IF(COUNTIF($A$9:A613,A613)=1,MAX($M$8:M612)+1,""))</f>
        <v/>
      </c>
    </row>
    <row r="614" customFormat="false" ht="15" hidden="false" customHeight="false" outlineLevel="0" collapsed="false">
      <c r="A614" s="8"/>
      <c r="B614" s="17"/>
      <c r="C614" s="19"/>
      <c r="D614" s="8"/>
      <c r="E614" s="18"/>
      <c r="F614" s="18"/>
      <c r="G614" s="8"/>
      <c r="H614" s="8"/>
      <c r="I614" s="8"/>
      <c r="J614" s="8"/>
      <c r="K614" s="10" t="str">
        <f aca="false">IF(A614="","",IF(ABS(SUMIFS($E$9:$E$2008,$A$9:$A$2008,A614)-SUMIFS($F$9:$F$2008,$A$9:$A$2008,A614))&lt;0.5,"Yes","No"))</f>
        <v/>
      </c>
      <c r="L614" s="10" t="str">
        <f aca="false">IF(A614="","",IF(IF(K614="No","Does not balance | ","")&amp;IF(I614="","Not approved | ",IF(UPPER(TRIM(H614))=UPPER(TRIM(I614)),"Self-approved | ",""))&amp;IF(J614="","No support | ","")&amp;IF(WEEKDAY(B614,2)&gt;5,"Weekend posting | ","")&amp;IF(COUNTIF(Settings!$A$14:$A$43,B614)&gt;0,"Holiday posting | ","")&amp;IF(B614&gt;Settings!$C$8,"Posted after close | ","")&amp;IF(OR(B614&lt;Settings!$C$6,B614&gt;Settings!$C$7),"Outside period | ","")&amp;IF(COUNTIF(Settings!$E$14:$E$43,C614&amp;"")&gt;0,"Sensitive account | ","")&amp;IF(AND(MAX(N(E614),N(F614))&gt;=Settings!$C$9,MOD(MAX(N(E614),N(F614)),Settings!$C$10)=0),"Round amount | ","")="","",LEFT(IF(K614="No","Does not balance | ","")&amp;IF(I614="","Not approved | ",IF(UPPER(TRIM(H614))=UPPER(TRIM(I614)),"Self-approved | ",""))&amp;IF(J614="","No support | ","")&amp;IF(WEEKDAY(B614,2)&gt;5,"Weekend posting | ","")&amp;IF(COUNTIF(Settings!$A$14:$A$43,B614)&gt;0,"Holiday posting | ","")&amp;IF(B614&gt;Settings!$C$8,"Posted after close | ","")&amp;IF(OR(B614&lt;Settings!$C$6,B614&gt;Settings!$C$7),"Outside period | ","")&amp;IF(COUNTIF(Settings!$E$14:$E$43,C614&amp;"")&gt;0,"Sensitive account | ","")&amp;IF(AND(MAX(N(E614),N(F614))&gt;=Settings!$C$9,MOD(MAX(N(E614),N(F614)),Settings!$C$10)=0),"Round amount | ",""),LEN(IF(K614="No","Does not balance | ","")&amp;IF(I614="","Not approved | ",IF(UPPER(TRIM(H614))=UPPER(TRIM(I614)),"Self-approved | ",""))&amp;IF(J614="","No support | ","")&amp;IF(WEEKDAY(B614,2)&gt;5,"Weekend posting | ","")&amp;IF(COUNTIF(Settings!$A$14:$A$43,B614)&gt;0,"Holiday posting | ","")&amp;IF(B614&gt;Settings!$C$8,"Posted after close | ","")&amp;IF(OR(B614&lt;Settings!$C$6,B614&gt;Settings!$C$7),"Outside period | ","")&amp;IF(COUNTIF(Settings!$E$14:$E$43,C614&amp;"")&gt;0,"Sensitive account | ","")&amp;IF(AND(MAX(N(E614),N(F614))&gt;=Settings!$C$9,MOD(MAX(N(E614),N(F614)),Settings!$C$10)=0),"Round amount | ",""))-3)))</f>
        <v/>
      </c>
      <c r="M614" s="21" t="str">
        <f aca="false">IF(A614="","",IF(COUNTIF($A$9:A614,A614)=1,MAX($M$8:M613)+1,""))</f>
        <v/>
      </c>
    </row>
    <row r="615" customFormat="false" ht="15" hidden="false" customHeight="false" outlineLevel="0" collapsed="false">
      <c r="A615" s="8"/>
      <c r="B615" s="17"/>
      <c r="C615" s="19"/>
      <c r="D615" s="8"/>
      <c r="E615" s="18"/>
      <c r="F615" s="18"/>
      <c r="G615" s="8"/>
      <c r="H615" s="8"/>
      <c r="I615" s="8"/>
      <c r="J615" s="8"/>
      <c r="K615" s="10" t="str">
        <f aca="false">IF(A615="","",IF(ABS(SUMIFS($E$9:$E$2008,$A$9:$A$2008,A615)-SUMIFS($F$9:$F$2008,$A$9:$A$2008,A615))&lt;0.5,"Yes","No"))</f>
        <v/>
      </c>
      <c r="L615" s="10" t="str">
        <f aca="false">IF(A615="","",IF(IF(K615="No","Does not balance | ","")&amp;IF(I615="","Not approved | ",IF(UPPER(TRIM(H615))=UPPER(TRIM(I615)),"Self-approved | ",""))&amp;IF(J615="","No support | ","")&amp;IF(WEEKDAY(B615,2)&gt;5,"Weekend posting | ","")&amp;IF(COUNTIF(Settings!$A$14:$A$43,B615)&gt;0,"Holiday posting | ","")&amp;IF(B615&gt;Settings!$C$8,"Posted after close | ","")&amp;IF(OR(B615&lt;Settings!$C$6,B615&gt;Settings!$C$7),"Outside period | ","")&amp;IF(COUNTIF(Settings!$E$14:$E$43,C615&amp;"")&gt;0,"Sensitive account | ","")&amp;IF(AND(MAX(N(E615),N(F615))&gt;=Settings!$C$9,MOD(MAX(N(E615),N(F615)),Settings!$C$10)=0),"Round amount | ","")="","",LEFT(IF(K615="No","Does not balance | ","")&amp;IF(I615="","Not approved | ",IF(UPPER(TRIM(H615))=UPPER(TRIM(I615)),"Self-approved | ",""))&amp;IF(J615="","No support | ","")&amp;IF(WEEKDAY(B615,2)&gt;5,"Weekend posting | ","")&amp;IF(COUNTIF(Settings!$A$14:$A$43,B615)&gt;0,"Holiday posting | ","")&amp;IF(B615&gt;Settings!$C$8,"Posted after close | ","")&amp;IF(OR(B615&lt;Settings!$C$6,B615&gt;Settings!$C$7),"Outside period | ","")&amp;IF(COUNTIF(Settings!$E$14:$E$43,C615&amp;"")&gt;0,"Sensitive account | ","")&amp;IF(AND(MAX(N(E615),N(F615))&gt;=Settings!$C$9,MOD(MAX(N(E615),N(F615)),Settings!$C$10)=0),"Round amount | ",""),LEN(IF(K615="No","Does not balance | ","")&amp;IF(I615="","Not approved | ",IF(UPPER(TRIM(H615))=UPPER(TRIM(I615)),"Self-approved | ",""))&amp;IF(J615="","No support | ","")&amp;IF(WEEKDAY(B615,2)&gt;5,"Weekend posting | ","")&amp;IF(COUNTIF(Settings!$A$14:$A$43,B615)&gt;0,"Holiday posting | ","")&amp;IF(B615&gt;Settings!$C$8,"Posted after close | ","")&amp;IF(OR(B615&lt;Settings!$C$6,B615&gt;Settings!$C$7),"Outside period | ","")&amp;IF(COUNTIF(Settings!$E$14:$E$43,C615&amp;"")&gt;0,"Sensitive account | ","")&amp;IF(AND(MAX(N(E615),N(F615))&gt;=Settings!$C$9,MOD(MAX(N(E615),N(F615)),Settings!$C$10)=0),"Round amount | ",""))-3)))</f>
        <v/>
      </c>
      <c r="M615" s="21" t="str">
        <f aca="false">IF(A615="","",IF(COUNTIF($A$9:A615,A615)=1,MAX($M$8:M614)+1,""))</f>
        <v/>
      </c>
    </row>
    <row r="616" customFormat="false" ht="15" hidden="false" customHeight="false" outlineLevel="0" collapsed="false">
      <c r="A616" s="8"/>
      <c r="B616" s="17"/>
      <c r="C616" s="19"/>
      <c r="D616" s="8"/>
      <c r="E616" s="18"/>
      <c r="F616" s="18"/>
      <c r="G616" s="8"/>
      <c r="H616" s="8"/>
      <c r="I616" s="8"/>
      <c r="J616" s="8"/>
      <c r="K616" s="10" t="str">
        <f aca="false">IF(A616="","",IF(ABS(SUMIFS($E$9:$E$2008,$A$9:$A$2008,A616)-SUMIFS($F$9:$F$2008,$A$9:$A$2008,A616))&lt;0.5,"Yes","No"))</f>
        <v/>
      </c>
      <c r="L616" s="10" t="str">
        <f aca="false">IF(A616="","",IF(IF(K616="No","Does not balance | ","")&amp;IF(I616="","Not approved | ",IF(UPPER(TRIM(H616))=UPPER(TRIM(I616)),"Self-approved | ",""))&amp;IF(J616="","No support | ","")&amp;IF(WEEKDAY(B616,2)&gt;5,"Weekend posting | ","")&amp;IF(COUNTIF(Settings!$A$14:$A$43,B616)&gt;0,"Holiday posting | ","")&amp;IF(B616&gt;Settings!$C$8,"Posted after close | ","")&amp;IF(OR(B616&lt;Settings!$C$6,B616&gt;Settings!$C$7),"Outside period | ","")&amp;IF(COUNTIF(Settings!$E$14:$E$43,C616&amp;"")&gt;0,"Sensitive account | ","")&amp;IF(AND(MAX(N(E616),N(F616))&gt;=Settings!$C$9,MOD(MAX(N(E616),N(F616)),Settings!$C$10)=0),"Round amount | ","")="","",LEFT(IF(K616="No","Does not balance | ","")&amp;IF(I616="","Not approved | ",IF(UPPER(TRIM(H616))=UPPER(TRIM(I616)),"Self-approved | ",""))&amp;IF(J616="","No support | ","")&amp;IF(WEEKDAY(B616,2)&gt;5,"Weekend posting | ","")&amp;IF(COUNTIF(Settings!$A$14:$A$43,B616)&gt;0,"Holiday posting | ","")&amp;IF(B616&gt;Settings!$C$8,"Posted after close | ","")&amp;IF(OR(B616&lt;Settings!$C$6,B616&gt;Settings!$C$7),"Outside period | ","")&amp;IF(COUNTIF(Settings!$E$14:$E$43,C616&amp;"")&gt;0,"Sensitive account | ","")&amp;IF(AND(MAX(N(E616),N(F616))&gt;=Settings!$C$9,MOD(MAX(N(E616),N(F616)),Settings!$C$10)=0),"Round amount | ",""),LEN(IF(K616="No","Does not balance | ","")&amp;IF(I616="","Not approved | ",IF(UPPER(TRIM(H616))=UPPER(TRIM(I616)),"Self-approved | ",""))&amp;IF(J616="","No support | ","")&amp;IF(WEEKDAY(B616,2)&gt;5,"Weekend posting | ","")&amp;IF(COUNTIF(Settings!$A$14:$A$43,B616)&gt;0,"Holiday posting | ","")&amp;IF(B616&gt;Settings!$C$8,"Posted after close | ","")&amp;IF(OR(B616&lt;Settings!$C$6,B616&gt;Settings!$C$7),"Outside period | ","")&amp;IF(COUNTIF(Settings!$E$14:$E$43,C616&amp;"")&gt;0,"Sensitive account | ","")&amp;IF(AND(MAX(N(E616),N(F616))&gt;=Settings!$C$9,MOD(MAX(N(E616),N(F616)),Settings!$C$10)=0),"Round amount | ",""))-3)))</f>
        <v/>
      </c>
      <c r="M616" s="21" t="str">
        <f aca="false">IF(A616="","",IF(COUNTIF($A$9:A616,A616)=1,MAX($M$8:M615)+1,""))</f>
        <v/>
      </c>
    </row>
    <row r="617" customFormat="false" ht="15" hidden="false" customHeight="false" outlineLevel="0" collapsed="false">
      <c r="A617" s="8"/>
      <c r="B617" s="17"/>
      <c r="C617" s="19"/>
      <c r="D617" s="8"/>
      <c r="E617" s="18"/>
      <c r="F617" s="18"/>
      <c r="G617" s="8"/>
      <c r="H617" s="8"/>
      <c r="I617" s="8"/>
      <c r="J617" s="8"/>
      <c r="K617" s="10" t="str">
        <f aca="false">IF(A617="","",IF(ABS(SUMIFS($E$9:$E$2008,$A$9:$A$2008,A617)-SUMIFS($F$9:$F$2008,$A$9:$A$2008,A617))&lt;0.5,"Yes","No"))</f>
        <v/>
      </c>
      <c r="L617" s="10" t="str">
        <f aca="false">IF(A617="","",IF(IF(K617="No","Does not balance | ","")&amp;IF(I617="","Not approved | ",IF(UPPER(TRIM(H617))=UPPER(TRIM(I617)),"Self-approved | ",""))&amp;IF(J617="","No support | ","")&amp;IF(WEEKDAY(B617,2)&gt;5,"Weekend posting | ","")&amp;IF(COUNTIF(Settings!$A$14:$A$43,B617)&gt;0,"Holiday posting | ","")&amp;IF(B617&gt;Settings!$C$8,"Posted after close | ","")&amp;IF(OR(B617&lt;Settings!$C$6,B617&gt;Settings!$C$7),"Outside period | ","")&amp;IF(COUNTIF(Settings!$E$14:$E$43,C617&amp;"")&gt;0,"Sensitive account | ","")&amp;IF(AND(MAX(N(E617),N(F617))&gt;=Settings!$C$9,MOD(MAX(N(E617),N(F617)),Settings!$C$10)=0),"Round amount | ","")="","",LEFT(IF(K617="No","Does not balance | ","")&amp;IF(I617="","Not approved | ",IF(UPPER(TRIM(H617))=UPPER(TRIM(I617)),"Self-approved | ",""))&amp;IF(J617="","No support | ","")&amp;IF(WEEKDAY(B617,2)&gt;5,"Weekend posting | ","")&amp;IF(COUNTIF(Settings!$A$14:$A$43,B617)&gt;0,"Holiday posting | ","")&amp;IF(B617&gt;Settings!$C$8,"Posted after close | ","")&amp;IF(OR(B617&lt;Settings!$C$6,B617&gt;Settings!$C$7),"Outside period | ","")&amp;IF(COUNTIF(Settings!$E$14:$E$43,C617&amp;"")&gt;0,"Sensitive account | ","")&amp;IF(AND(MAX(N(E617),N(F617))&gt;=Settings!$C$9,MOD(MAX(N(E617),N(F617)),Settings!$C$10)=0),"Round amount | ",""),LEN(IF(K617="No","Does not balance | ","")&amp;IF(I617="","Not approved | ",IF(UPPER(TRIM(H617))=UPPER(TRIM(I617)),"Self-approved | ",""))&amp;IF(J617="","No support | ","")&amp;IF(WEEKDAY(B617,2)&gt;5,"Weekend posting | ","")&amp;IF(COUNTIF(Settings!$A$14:$A$43,B617)&gt;0,"Holiday posting | ","")&amp;IF(B617&gt;Settings!$C$8,"Posted after close | ","")&amp;IF(OR(B617&lt;Settings!$C$6,B617&gt;Settings!$C$7),"Outside period | ","")&amp;IF(COUNTIF(Settings!$E$14:$E$43,C617&amp;"")&gt;0,"Sensitive account | ","")&amp;IF(AND(MAX(N(E617),N(F617))&gt;=Settings!$C$9,MOD(MAX(N(E617),N(F617)),Settings!$C$10)=0),"Round amount | ",""))-3)))</f>
        <v/>
      </c>
      <c r="M617" s="21" t="str">
        <f aca="false">IF(A617="","",IF(COUNTIF($A$9:A617,A617)=1,MAX($M$8:M616)+1,""))</f>
        <v/>
      </c>
    </row>
    <row r="618" customFormat="false" ht="15" hidden="false" customHeight="false" outlineLevel="0" collapsed="false">
      <c r="A618" s="8"/>
      <c r="B618" s="17"/>
      <c r="C618" s="19"/>
      <c r="D618" s="8"/>
      <c r="E618" s="18"/>
      <c r="F618" s="18"/>
      <c r="G618" s="8"/>
      <c r="H618" s="8"/>
      <c r="I618" s="8"/>
      <c r="J618" s="8"/>
      <c r="K618" s="10" t="str">
        <f aca="false">IF(A618="","",IF(ABS(SUMIFS($E$9:$E$2008,$A$9:$A$2008,A618)-SUMIFS($F$9:$F$2008,$A$9:$A$2008,A618))&lt;0.5,"Yes","No"))</f>
        <v/>
      </c>
      <c r="L618" s="10" t="str">
        <f aca="false">IF(A618="","",IF(IF(K618="No","Does not balance | ","")&amp;IF(I618="","Not approved | ",IF(UPPER(TRIM(H618))=UPPER(TRIM(I618)),"Self-approved | ",""))&amp;IF(J618="","No support | ","")&amp;IF(WEEKDAY(B618,2)&gt;5,"Weekend posting | ","")&amp;IF(COUNTIF(Settings!$A$14:$A$43,B618)&gt;0,"Holiday posting | ","")&amp;IF(B618&gt;Settings!$C$8,"Posted after close | ","")&amp;IF(OR(B618&lt;Settings!$C$6,B618&gt;Settings!$C$7),"Outside period | ","")&amp;IF(COUNTIF(Settings!$E$14:$E$43,C618&amp;"")&gt;0,"Sensitive account | ","")&amp;IF(AND(MAX(N(E618),N(F618))&gt;=Settings!$C$9,MOD(MAX(N(E618),N(F618)),Settings!$C$10)=0),"Round amount | ","")="","",LEFT(IF(K618="No","Does not balance | ","")&amp;IF(I618="","Not approved | ",IF(UPPER(TRIM(H618))=UPPER(TRIM(I618)),"Self-approved | ",""))&amp;IF(J618="","No support | ","")&amp;IF(WEEKDAY(B618,2)&gt;5,"Weekend posting | ","")&amp;IF(COUNTIF(Settings!$A$14:$A$43,B618)&gt;0,"Holiday posting | ","")&amp;IF(B618&gt;Settings!$C$8,"Posted after close | ","")&amp;IF(OR(B618&lt;Settings!$C$6,B618&gt;Settings!$C$7),"Outside period | ","")&amp;IF(COUNTIF(Settings!$E$14:$E$43,C618&amp;"")&gt;0,"Sensitive account | ","")&amp;IF(AND(MAX(N(E618),N(F618))&gt;=Settings!$C$9,MOD(MAX(N(E618),N(F618)),Settings!$C$10)=0),"Round amount | ",""),LEN(IF(K618="No","Does not balance | ","")&amp;IF(I618="","Not approved | ",IF(UPPER(TRIM(H618))=UPPER(TRIM(I618)),"Self-approved | ",""))&amp;IF(J618="","No support | ","")&amp;IF(WEEKDAY(B618,2)&gt;5,"Weekend posting | ","")&amp;IF(COUNTIF(Settings!$A$14:$A$43,B618)&gt;0,"Holiday posting | ","")&amp;IF(B618&gt;Settings!$C$8,"Posted after close | ","")&amp;IF(OR(B618&lt;Settings!$C$6,B618&gt;Settings!$C$7),"Outside period | ","")&amp;IF(COUNTIF(Settings!$E$14:$E$43,C618&amp;"")&gt;0,"Sensitive account | ","")&amp;IF(AND(MAX(N(E618),N(F618))&gt;=Settings!$C$9,MOD(MAX(N(E618),N(F618)),Settings!$C$10)=0),"Round amount | ",""))-3)))</f>
        <v/>
      </c>
      <c r="M618" s="21" t="str">
        <f aca="false">IF(A618="","",IF(COUNTIF($A$9:A618,A618)=1,MAX($M$8:M617)+1,""))</f>
        <v/>
      </c>
    </row>
    <row r="619" customFormat="false" ht="15" hidden="false" customHeight="false" outlineLevel="0" collapsed="false">
      <c r="A619" s="8"/>
      <c r="B619" s="17"/>
      <c r="C619" s="19"/>
      <c r="D619" s="8"/>
      <c r="E619" s="18"/>
      <c r="F619" s="18"/>
      <c r="G619" s="8"/>
      <c r="H619" s="8"/>
      <c r="I619" s="8"/>
      <c r="J619" s="8"/>
      <c r="K619" s="10" t="str">
        <f aca="false">IF(A619="","",IF(ABS(SUMIFS($E$9:$E$2008,$A$9:$A$2008,A619)-SUMIFS($F$9:$F$2008,$A$9:$A$2008,A619))&lt;0.5,"Yes","No"))</f>
        <v/>
      </c>
      <c r="L619" s="10" t="str">
        <f aca="false">IF(A619="","",IF(IF(K619="No","Does not balance | ","")&amp;IF(I619="","Not approved | ",IF(UPPER(TRIM(H619))=UPPER(TRIM(I619)),"Self-approved | ",""))&amp;IF(J619="","No support | ","")&amp;IF(WEEKDAY(B619,2)&gt;5,"Weekend posting | ","")&amp;IF(COUNTIF(Settings!$A$14:$A$43,B619)&gt;0,"Holiday posting | ","")&amp;IF(B619&gt;Settings!$C$8,"Posted after close | ","")&amp;IF(OR(B619&lt;Settings!$C$6,B619&gt;Settings!$C$7),"Outside period | ","")&amp;IF(COUNTIF(Settings!$E$14:$E$43,C619&amp;"")&gt;0,"Sensitive account | ","")&amp;IF(AND(MAX(N(E619),N(F619))&gt;=Settings!$C$9,MOD(MAX(N(E619),N(F619)),Settings!$C$10)=0),"Round amount | ","")="","",LEFT(IF(K619="No","Does not balance | ","")&amp;IF(I619="","Not approved | ",IF(UPPER(TRIM(H619))=UPPER(TRIM(I619)),"Self-approved | ",""))&amp;IF(J619="","No support | ","")&amp;IF(WEEKDAY(B619,2)&gt;5,"Weekend posting | ","")&amp;IF(COUNTIF(Settings!$A$14:$A$43,B619)&gt;0,"Holiday posting | ","")&amp;IF(B619&gt;Settings!$C$8,"Posted after close | ","")&amp;IF(OR(B619&lt;Settings!$C$6,B619&gt;Settings!$C$7),"Outside period | ","")&amp;IF(COUNTIF(Settings!$E$14:$E$43,C619&amp;"")&gt;0,"Sensitive account | ","")&amp;IF(AND(MAX(N(E619),N(F619))&gt;=Settings!$C$9,MOD(MAX(N(E619),N(F619)),Settings!$C$10)=0),"Round amount | ",""),LEN(IF(K619="No","Does not balance | ","")&amp;IF(I619="","Not approved | ",IF(UPPER(TRIM(H619))=UPPER(TRIM(I619)),"Self-approved | ",""))&amp;IF(J619="","No support | ","")&amp;IF(WEEKDAY(B619,2)&gt;5,"Weekend posting | ","")&amp;IF(COUNTIF(Settings!$A$14:$A$43,B619)&gt;0,"Holiday posting | ","")&amp;IF(B619&gt;Settings!$C$8,"Posted after close | ","")&amp;IF(OR(B619&lt;Settings!$C$6,B619&gt;Settings!$C$7),"Outside period | ","")&amp;IF(COUNTIF(Settings!$E$14:$E$43,C619&amp;"")&gt;0,"Sensitive account | ","")&amp;IF(AND(MAX(N(E619),N(F619))&gt;=Settings!$C$9,MOD(MAX(N(E619),N(F619)),Settings!$C$10)=0),"Round amount | ",""))-3)))</f>
        <v/>
      </c>
      <c r="M619" s="21" t="str">
        <f aca="false">IF(A619="","",IF(COUNTIF($A$9:A619,A619)=1,MAX($M$8:M618)+1,""))</f>
        <v/>
      </c>
    </row>
    <row r="620" customFormat="false" ht="15" hidden="false" customHeight="false" outlineLevel="0" collapsed="false">
      <c r="A620" s="8"/>
      <c r="B620" s="17"/>
      <c r="C620" s="19"/>
      <c r="D620" s="8"/>
      <c r="E620" s="18"/>
      <c r="F620" s="18"/>
      <c r="G620" s="8"/>
      <c r="H620" s="8"/>
      <c r="I620" s="8"/>
      <c r="J620" s="8"/>
      <c r="K620" s="10" t="str">
        <f aca="false">IF(A620="","",IF(ABS(SUMIFS($E$9:$E$2008,$A$9:$A$2008,A620)-SUMIFS($F$9:$F$2008,$A$9:$A$2008,A620))&lt;0.5,"Yes","No"))</f>
        <v/>
      </c>
      <c r="L620" s="10" t="str">
        <f aca="false">IF(A620="","",IF(IF(K620="No","Does not balance | ","")&amp;IF(I620="","Not approved | ",IF(UPPER(TRIM(H620))=UPPER(TRIM(I620)),"Self-approved | ",""))&amp;IF(J620="","No support | ","")&amp;IF(WEEKDAY(B620,2)&gt;5,"Weekend posting | ","")&amp;IF(COUNTIF(Settings!$A$14:$A$43,B620)&gt;0,"Holiday posting | ","")&amp;IF(B620&gt;Settings!$C$8,"Posted after close | ","")&amp;IF(OR(B620&lt;Settings!$C$6,B620&gt;Settings!$C$7),"Outside period | ","")&amp;IF(COUNTIF(Settings!$E$14:$E$43,C620&amp;"")&gt;0,"Sensitive account | ","")&amp;IF(AND(MAX(N(E620),N(F620))&gt;=Settings!$C$9,MOD(MAX(N(E620),N(F620)),Settings!$C$10)=0),"Round amount | ","")="","",LEFT(IF(K620="No","Does not balance | ","")&amp;IF(I620="","Not approved | ",IF(UPPER(TRIM(H620))=UPPER(TRIM(I620)),"Self-approved | ",""))&amp;IF(J620="","No support | ","")&amp;IF(WEEKDAY(B620,2)&gt;5,"Weekend posting | ","")&amp;IF(COUNTIF(Settings!$A$14:$A$43,B620)&gt;0,"Holiday posting | ","")&amp;IF(B620&gt;Settings!$C$8,"Posted after close | ","")&amp;IF(OR(B620&lt;Settings!$C$6,B620&gt;Settings!$C$7),"Outside period | ","")&amp;IF(COUNTIF(Settings!$E$14:$E$43,C620&amp;"")&gt;0,"Sensitive account | ","")&amp;IF(AND(MAX(N(E620),N(F620))&gt;=Settings!$C$9,MOD(MAX(N(E620),N(F620)),Settings!$C$10)=0),"Round amount | ",""),LEN(IF(K620="No","Does not balance | ","")&amp;IF(I620="","Not approved | ",IF(UPPER(TRIM(H620))=UPPER(TRIM(I620)),"Self-approved | ",""))&amp;IF(J620="","No support | ","")&amp;IF(WEEKDAY(B620,2)&gt;5,"Weekend posting | ","")&amp;IF(COUNTIF(Settings!$A$14:$A$43,B620)&gt;0,"Holiday posting | ","")&amp;IF(B620&gt;Settings!$C$8,"Posted after close | ","")&amp;IF(OR(B620&lt;Settings!$C$6,B620&gt;Settings!$C$7),"Outside period | ","")&amp;IF(COUNTIF(Settings!$E$14:$E$43,C620&amp;"")&gt;0,"Sensitive account | ","")&amp;IF(AND(MAX(N(E620),N(F620))&gt;=Settings!$C$9,MOD(MAX(N(E620),N(F620)),Settings!$C$10)=0),"Round amount | ",""))-3)))</f>
        <v/>
      </c>
      <c r="M620" s="21" t="str">
        <f aca="false">IF(A620="","",IF(COUNTIF($A$9:A620,A620)=1,MAX($M$8:M619)+1,""))</f>
        <v/>
      </c>
    </row>
    <row r="621" customFormat="false" ht="15" hidden="false" customHeight="false" outlineLevel="0" collapsed="false">
      <c r="A621" s="8"/>
      <c r="B621" s="17"/>
      <c r="C621" s="19"/>
      <c r="D621" s="8"/>
      <c r="E621" s="18"/>
      <c r="F621" s="18"/>
      <c r="G621" s="8"/>
      <c r="H621" s="8"/>
      <c r="I621" s="8"/>
      <c r="J621" s="8"/>
      <c r="K621" s="10" t="str">
        <f aca="false">IF(A621="","",IF(ABS(SUMIFS($E$9:$E$2008,$A$9:$A$2008,A621)-SUMIFS($F$9:$F$2008,$A$9:$A$2008,A621))&lt;0.5,"Yes","No"))</f>
        <v/>
      </c>
      <c r="L621" s="10" t="str">
        <f aca="false">IF(A621="","",IF(IF(K621="No","Does not balance | ","")&amp;IF(I621="","Not approved | ",IF(UPPER(TRIM(H621))=UPPER(TRIM(I621)),"Self-approved | ",""))&amp;IF(J621="","No support | ","")&amp;IF(WEEKDAY(B621,2)&gt;5,"Weekend posting | ","")&amp;IF(COUNTIF(Settings!$A$14:$A$43,B621)&gt;0,"Holiday posting | ","")&amp;IF(B621&gt;Settings!$C$8,"Posted after close | ","")&amp;IF(OR(B621&lt;Settings!$C$6,B621&gt;Settings!$C$7),"Outside period | ","")&amp;IF(COUNTIF(Settings!$E$14:$E$43,C621&amp;"")&gt;0,"Sensitive account | ","")&amp;IF(AND(MAX(N(E621),N(F621))&gt;=Settings!$C$9,MOD(MAX(N(E621),N(F621)),Settings!$C$10)=0),"Round amount | ","")="","",LEFT(IF(K621="No","Does not balance | ","")&amp;IF(I621="","Not approved | ",IF(UPPER(TRIM(H621))=UPPER(TRIM(I621)),"Self-approved | ",""))&amp;IF(J621="","No support | ","")&amp;IF(WEEKDAY(B621,2)&gt;5,"Weekend posting | ","")&amp;IF(COUNTIF(Settings!$A$14:$A$43,B621)&gt;0,"Holiday posting | ","")&amp;IF(B621&gt;Settings!$C$8,"Posted after close | ","")&amp;IF(OR(B621&lt;Settings!$C$6,B621&gt;Settings!$C$7),"Outside period | ","")&amp;IF(COUNTIF(Settings!$E$14:$E$43,C621&amp;"")&gt;0,"Sensitive account | ","")&amp;IF(AND(MAX(N(E621),N(F621))&gt;=Settings!$C$9,MOD(MAX(N(E621),N(F621)),Settings!$C$10)=0),"Round amount | ",""),LEN(IF(K621="No","Does not balance | ","")&amp;IF(I621="","Not approved | ",IF(UPPER(TRIM(H621))=UPPER(TRIM(I621)),"Self-approved | ",""))&amp;IF(J621="","No support | ","")&amp;IF(WEEKDAY(B621,2)&gt;5,"Weekend posting | ","")&amp;IF(COUNTIF(Settings!$A$14:$A$43,B621)&gt;0,"Holiday posting | ","")&amp;IF(B621&gt;Settings!$C$8,"Posted after close | ","")&amp;IF(OR(B621&lt;Settings!$C$6,B621&gt;Settings!$C$7),"Outside period | ","")&amp;IF(COUNTIF(Settings!$E$14:$E$43,C621&amp;"")&gt;0,"Sensitive account | ","")&amp;IF(AND(MAX(N(E621),N(F621))&gt;=Settings!$C$9,MOD(MAX(N(E621),N(F621)),Settings!$C$10)=0),"Round amount | ",""))-3)))</f>
        <v/>
      </c>
      <c r="M621" s="21" t="str">
        <f aca="false">IF(A621="","",IF(COUNTIF($A$9:A621,A621)=1,MAX($M$8:M620)+1,""))</f>
        <v/>
      </c>
    </row>
    <row r="622" customFormat="false" ht="15" hidden="false" customHeight="false" outlineLevel="0" collapsed="false">
      <c r="A622" s="8"/>
      <c r="B622" s="17"/>
      <c r="C622" s="19"/>
      <c r="D622" s="8"/>
      <c r="E622" s="18"/>
      <c r="F622" s="18"/>
      <c r="G622" s="8"/>
      <c r="H622" s="8"/>
      <c r="I622" s="8"/>
      <c r="J622" s="8"/>
      <c r="K622" s="10" t="str">
        <f aca="false">IF(A622="","",IF(ABS(SUMIFS($E$9:$E$2008,$A$9:$A$2008,A622)-SUMIFS($F$9:$F$2008,$A$9:$A$2008,A622))&lt;0.5,"Yes","No"))</f>
        <v/>
      </c>
      <c r="L622" s="10" t="str">
        <f aca="false">IF(A622="","",IF(IF(K622="No","Does not balance | ","")&amp;IF(I622="","Not approved | ",IF(UPPER(TRIM(H622))=UPPER(TRIM(I622)),"Self-approved | ",""))&amp;IF(J622="","No support | ","")&amp;IF(WEEKDAY(B622,2)&gt;5,"Weekend posting | ","")&amp;IF(COUNTIF(Settings!$A$14:$A$43,B622)&gt;0,"Holiday posting | ","")&amp;IF(B622&gt;Settings!$C$8,"Posted after close | ","")&amp;IF(OR(B622&lt;Settings!$C$6,B622&gt;Settings!$C$7),"Outside period | ","")&amp;IF(COUNTIF(Settings!$E$14:$E$43,C622&amp;"")&gt;0,"Sensitive account | ","")&amp;IF(AND(MAX(N(E622),N(F622))&gt;=Settings!$C$9,MOD(MAX(N(E622),N(F622)),Settings!$C$10)=0),"Round amount | ","")="","",LEFT(IF(K622="No","Does not balance | ","")&amp;IF(I622="","Not approved | ",IF(UPPER(TRIM(H622))=UPPER(TRIM(I622)),"Self-approved | ",""))&amp;IF(J622="","No support | ","")&amp;IF(WEEKDAY(B622,2)&gt;5,"Weekend posting | ","")&amp;IF(COUNTIF(Settings!$A$14:$A$43,B622)&gt;0,"Holiday posting | ","")&amp;IF(B622&gt;Settings!$C$8,"Posted after close | ","")&amp;IF(OR(B622&lt;Settings!$C$6,B622&gt;Settings!$C$7),"Outside period | ","")&amp;IF(COUNTIF(Settings!$E$14:$E$43,C622&amp;"")&gt;0,"Sensitive account | ","")&amp;IF(AND(MAX(N(E622),N(F622))&gt;=Settings!$C$9,MOD(MAX(N(E622),N(F622)),Settings!$C$10)=0),"Round amount | ",""),LEN(IF(K622="No","Does not balance | ","")&amp;IF(I622="","Not approved | ",IF(UPPER(TRIM(H622))=UPPER(TRIM(I622)),"Self-approved | ",""))&amp;IF(J622="","No support | ","")&amp;IF(WEEKDAY(B622,2)&gt;5,"Weekend posting | ","")&amp;IF(COUNTIF(Settings!$A$14:$A$43,B622)&gt;0,"Holiday posting | ","")&amp;IF(B622&gt;Settings!$C$8,"Posted after close | ","")&amp;IF(OR(B622&lt;Settings!$C$6,B622&gt;Settings!$C$7),"Outside period | ","")&amp;IF(COUNTIF(Settings!$E$14:$E$43,C622&amp;"")&gt;0,"Sensitive account | ","")&amp;IF(AND(MAX(N(E622),N(F622))&gt;=Settings!$C$9,MOD(MAX(N(E622),N(F622)),Settings!$C$10)=0),"Round amount | ",""))-3)))</f>
        <v/>
      </c>
      <c r="M622" s="21" t="str">
        <f aca="false">IF(A622="","",IF(COUNTIF($A$9:A622,A622)=1,MAX($M$8:M621)+1,""))</f>
        <v/>
      </c>
    </row>
    <row r="623" customFormat="false" ht="15" hidden="false" customHeight="false" outlineLevel="0" collapsed="false">
      <c r="A623" s="8"/>
      <c r="B623" s="17"/>
      <c r="C623" s="19"/>
      <c r="D623" s="8"/>
      <c r="E623" s="18"/>
      <c r="F623" s="18"/>
      <c r="G623" s="8"/>
      <c r="H623" s="8"/>
      <c r="I623" s="8"/>
      <c r="J623" s="8"/>
      <c r="K623" s="10" t="str">
        <f aca="false">IF(A623="","",IF(ABS(SUMIFS($E$9:$E$2008,$A$9:$A$2008,A623)-SUMIFS($F$9:$F$2008,$A$9:$A$2008,A623))&lt;0.5,"Yes","No"))</f>
        <v/>
      </c>
      <c r="L623" s="10" t="str">
        <f aca="false">IF(A623="","",IF(IF(K623="No","Does not balance | ","")&amp;IF(I623="","Not approved | ",IF(UPPER(TRIM(H623))=UPPER(TRIM(I623)),"Self-approved | ",""))&amp;IF(J623="","No support | ","")&amp;IF(WEEKDAY(B623,2)&gt;5,"Weekend posting | ","")&amp;IF(COUNTIF(Settings!$A$14:$A$43,B623)&gt;0,"Holiday posting | ","")&amp;IF(B623&gt;Settings!$C$8,"Posted after close | ","")&amp;IF(OR(B623&lt;Settings!$C$6,B623&gt;Settings!$C$7),"Outside period | ","")&amp;IF(COUNTIF(Settings!$E$14:$E$43,C623&amp;"")&gt;0,"Sensitive account | ","")&amp;IF(AND(MAX(N(E623),N(F623))&gt;=Settings!$C$9,MOD(MAX(N(E623),N(F623)),Settings!$C$10)=0),"Round amount | ","")="","",LEFT(IF(K623="No","Does not balance | ","")&amp;IF(I623="","Not approved | ",IF(UPPER(TRIM(H623))=UPPER(TRIM(I623)),"Self-approved | ",""))&amp;IF(J623="","No support | ","")&amp;IF(WEEKDAY(B623,2)&gt;5,"Weekend posting | ","")&amp;IF(COUNTIF(Settings!$A$14:$A$43,B623)&gt;0,"Holiday posting | ","")&amp;IF(B623&gt;Settings!$C$8,"Posted after close | ","")&amp;IF(OR(B623&lt;Settings!$C$6,B623&gt;Settings!$C$7),"Outside period | ","")&amp;IF(COUNTIF(Settings!$E$14:$E$43,C623&amp;"")&gt;0,"Sensitive account | ","")&amp;IF(AND(MAX(N(E623),N(F623))&gt;=Settings!$C$9,MOD(MAX(N(E623),N(F623)),Settings!$C$10)=0),"Round amount | ",""),LEN(IF(K623="No","Does not balance | ","")&amp;IF(I623="","Not approved | ",IF(UPPER(TRIM(H623))=UPPER(TRIM(I623)),"Self-approved | ",""))&amp;IF(J623="","No support | ","")&amp;IF(WEEKDAY(B623,2)&gt;5,"Weekend posting | ","")&amp;IF(COUNTIF(Settings!$A$14:$A$43,B623)&gt;0,"Holiday posting | ","")&amp;IF(B623&gt;Settings!$C$8,"Posted after close | ","")&amp;IF(OR(B623&lt;Settings!$C$6,B623&gt;Settings!$C$7),"Outside period | ","")&amp;IF(COUNTIF(Settings!$E$14:$E$43,C623&amp;"")&gt;0,"Sensitive account | ","")&amp;IF(AND(MAX(N(E623),N(F623))&gt;=Settings!$C$9,MOD(MAX(N(E623),N(F623)),Settings!$C$10)=0),"Round amount | ",""))-3)))</f>
        <v/>
      </c>
      <c r="M623" s="21" t="str">
        <f aca="false">IF(A623="","",IF(COUNTIF($A$9:A623,A623)=1,MAX($M$8:M622)+1,""))</f>
        <v/>
      </c>
    </row>
    <row r="624" customFormat="false" ht="15" hidden="false" customHeight="false" outlineLevel="0" collapsed="false">
      <c r="A624" s="8"/>
      <c r="B624" s="17"/>
      <c r="C624" s="19"/>
      <c r="D624" s="8"/>
      <c r="E624" s="18"/>
      <c r="F624" s="18"/>
      <c r="G624" s="8"/>
      <c r="H624" s="8"/>
      <c r="I624" s="8"/>
      <c r="J624" s="8"/>
      <c r="K624" s="10" t="str">
        <f aca="false">IF(A624="","",IF(ABS(SUMIFS($E$9:$E$2008,$A$9:$A$2008,A624)-SUMIFS($F$9:$F$2008,$A$9:$A$2008,A624))&lt;0.5,"Yes","No"))</f>
        <v/>
      </c>
      <c r="L624" s="10" t="str">
        <f aca="false">IF(A624="","",IF(IF(K624="No","Does not balance | ","")&amp;IF(I624="","Not approved | ",IF(UPPER(TRIM(H624))=UPPER(TRIM(I624)),"Self-approved | ",""))&amp;IF(J624="","No support | ","")&amp;IF(WEEKDAY(B624,2)&gt;5,"Weekend posting | ","")&amp;IF(COUNTIF(Settings!$A$14:$A$43,B624)&gt;0,"Holiday posting | ","")&amp;IF(B624&gt;Settings!$C$8,"Posted after close | ","")&amp;IF(OR(B624&lt;Settings!$C$6,B624&gt;Settings!$C$7),"Outside period | ","")&amp;IF(COUNTIF(Settings!$E$14:$E$43,C624&amp;"")&gt;0,"Sensitive account | ","")&amp;IF(AND(MAX(N(E624),N(F624))&gt;=Settings!$C$9,MOD(MAX(N(E624),N(F624)),Settings!$C$10)=0),"Round amount | ","")="","",LEFT(IF(K624="No","Does not balance | ","")&amp;IF(I624="","Not approved | ",IF(UPPER(TRIM(H624))=UPPER(TRIM(I624)),"Self-approved | ",""))&amp;IF(J624="","No support | ","")&amp;IF(WEEKDAY(B624,2)&gt;5,"Weekend posting | ","")&amp;IF(COUNTIF(Settings!$A$14:$A$43,B624)&gt;0,"Holiday posting | ","")&amp;IF(B624&gt;Settings!$C$8,"Posted after close | ","")&amp;IF(OR(B624&lt;Settings!$C$6,B624&gt;Settings!$C$7),"Outside period | ","")&amp;IF(COUNTIF(Settings!$E$14:$E$43,C624&amp;"")&gt;0,"Sensitive account | ","")&amp;IF(AND(MAX(N(E624),N(F624))&gt;=Settings!$C$9,MOD(MAX(N(E624),N(F624)),Settings!$C$10)=0),"Round amount | ",""),LEN(IF(K624="No","Does not balance | ","")&amp;IF(I624="","Not approved | ",IF(UPPER(TRIM(H624))=UPPER(TRIM(I624)),"Self-approved | ",""))&amp;IF(J624="","No support | ","")&amp;IF(WEEKDAY(B624,2)&gt;5,"Weekend posting | ","")&amp;IF(COUNTIF(Settings!$A$14:$A$43,B624)&gt;0,"Holiday posting | ","")&amp;IF(B624&gt;Settings!$C$8,"Posted after close | ","")&amp;IF(OR(B624&lt;Settings!$C$6,B624&gt;Settings!$C$7),"Outside period | ","")&amp;IF(COUNTIF(Settings!$E$14:$E$43,C624&amp;"")&gt;0,"Sensitive account | ","")&amp;IF(AND(MAX(N(E624),N(F624))&gt;=Settings!$C$9,MOD(MAX(N(E624),N(F624)),Settings!$C$10)=0),"Round amount | ",""))-3)))</f>
        <v/>
      </c>
      <c r="M624" s="21" t="str">
        <f aca="false">IF(A624="","",IF(COUNTIF($A$9:A624,A624)=1,MAX($M$8:M623)+1,""))</f>
        <v/>
      </c>
    </row>
    <row r="625" customFormat="false" ht="15" hidden="false" customHeight="false" outlineLevel="0" collapsed="false">
      <c r="A625" s="8"/>
      <c r="B625" s="17"/>
      <c r="C625" s="19"/>
      <c r="D625" s="8"/>
      <c r="E625" s="18"/>
      <c r="F625" s="18"/>
      <c r="G625" s="8"/>
      <c r="H625" s="8"/>
      <c r="I625" s="8"/>
      <c r="J625" s="8"/>
      <c r="K625" s="10" t="str">
        <f aca="false">IF(A625="","",IF(ABS(SUMIFS($E$9:$E$2008,$A$9:$A$2008,A625)-SUMIFS($F$9:$F$2008,$A$9:$A$2008,A625))&lt;0.5,"Yes","No"))</f>
        <v/>
      </c>
      <c r="L625" s="10" t="str">
        <f aca="false">IF(A625="","",IF(IF(K625="No","Does not balance | ","")&amp;IF(I625="","Not approved | ",IF(UPPER(TRIM(H625))=UPPER(TRIM(I625)),"Self-approved | ",""))&amp;IF(J625="","No support | ","")&amp;IF(WEEKDAY(B625,2)&gt;5,"Weekend posting | ","")&amp;IF(COUNTIF(Settings!$A$14:$A$43,B625)&gt;0,"Holiday posting | ","")&amp;IF(B625&gt;Settings!$C$8,"Posted after close | ","")&amp;IF(OR(B625&lt;Settings!$C$6,B625&gt;Settings!$C$7),"Outside period | ","")&amp;IF(COUNTIF(Settings!$E$14:$E$43,C625&amp;"")&gt;0,"Sensitive account | ","")&amp;IF(AND(MAX(N(E625),N(F625))&gt;=Settings!$C$9,MOD(MAX(N(E625),N(F625)),Settings!$C$10)=0),"Round amount | ","")="","",LEFT(IF(K625="No","Does not balance | ","")&amp;IF(I625="","Not approved | ",IF(UPPER(TRIM(H625))=UPPER(TRIM(I625)),"Self-approved | ",""))&amp;IF(J625="","No support | ","")&amp;IF(WEEKDAY(B625,2)&gt;5,"Weekend posting | ","")&amp;IF(COUNTIF(Settings!$A$14:$A$43,B625)&gt;0,"Holiday posting | ","")&amp;IF(B625&gt;Settings!$C$8,"Posted after close | ","")&amp;IF(OR(B625&lt;Settings!$C$6,B625&gt;Settings!$C$7),"Outside period | ","")&amp;IF(COUNTIF(Settings!$E$14:$E$43,C625&amp;"")&gt;0,"Sensitive account | ","")&amp;IF(AND(MAX(N(E625),N(F625))&gt;=Settings!$C$9,MOD(MAX(N(E625),N(F625)),Settings!$C$10)=0),"Round amount | ",""),LEN(IF(K625="No","Does not balance | ","")&amp;IF(I625="","Not approved | ",IF(UPPER(TRIM(H625))=UPPER(TRIM(I625)),"Self-approved | ",""))&amp;IF(J625="","No support | ","")&amp;IF(WEEKDAY(B625,2)&gt;5,"Weekend posting | ","")&amp;IF(COUNTIF(Settings!$A$14:$A$43,B625)&gt;0,"Holiday posting | ","")&amp;IF(B625&gt;Settings!$C$8,"Posted after close | ","")&amp;IF(OR(B625&lt;Settings!$C$6,B625&gt;Settings!$C$7),"Outside period | ","")&amp;IF(COUNTIF(Settings!$E$14:$E$43,C625&amp;"")&gt;0,"Sensitive account | ","")&amp;IF(AND(MAX(N(E625),N(F625))&gt;=Settings!$C$9,MOD(MAX(N(E625),N(F625)),Settings!$C$10)=0),"Round amount | ",""))-3)))</f>
        <v/>
      </c>
      <c r="M625" s="21" t="str">
        <f aca="false">IF(A625="","",IF(COUNTIF($A$9:A625,A625)=1,MAX($M$8:M624)+1,""))</f>
        <v/>
      </c>
    </row>
    <row r="626" customFormat="false" ht="15" hidden="false" customHeight="false" outlineLevel="0" collapsed="false">
      <c r="A626" s="8"/>
      <c r="B626" s="17"/>
      <c r="C626" s="19"/>
      <c r="D626" s="8"/>
      <c r="E626" s="18"/>
      <c r="F626" s="18"/>
      <c r="G626" s="8"/>
      <c r="H626" s="8"/>
      <c r="I626" s="8"/>
      <c r="J626" s="8"/>
      <c r="K626" s="10" t="str">
        <f aca="false">IF(A626="","",IF(ABS(SUMIFS($E$9:$E$2008,$A$9:$A$2008,A626)-SUMIFS($F$9:$F$2008,$A$9:$A$2008,A626))&lt;0.5,"Yes","No"))</f>
        <v/>
      </c>
      <c r="L626" s="10" t="str">
        <f aca="false">IF(A626="","",IF(IF(K626="No","Does not balance | ","")&amp;IF(I626="","Not approved | ",IF(UPPER(TRIM(H626))=UPPER(TRIM(I626)),"Self-approved | ",""))&amp;IF(J626="","No support | ","")&amp;IF(WEEKDAY(B626,2)&gt;5,"Weekend posting | ","")&amp;IF(COUNTIF(Settings!$A$14:$A$43,B626)&gt;0,"Holiday posting | ","")&amp;IF(B626&gt;Settings!$C$8,"Posted after close | ","")&amp;IF(OR(B626&lt;Settings!$C$6,B626&gt;Settings!$C$7),"Outside period | ","")&amp;IF(COUNTIF(Settings!$E$14:$E$43,C626&amp;"")&gt;0,"Sensitive account | ","")&amp;IF(AND(MAX(N(E626),N(F626))&gt;=Settings!$C$9,MOD(MAX(N(E626),N(F626)),Settings!$C$10)=0),"Round amount | ","")="","",LEFT(IF(K626="No","Does not balance | ","")&amp;IF(I626="","Not approved | ",IF(UPPER(TRIM(H626))=UPPER(TRIM(I626)),"Self-approved | ",""))&amp;IF(J626="","No support | ","")&amp;IF(WEEKDAY(B626,2)&gt;5,"Weekend posting | ","")&amp;IF(COUNTIF(Settings!$A$14:$A$43,B626)&gt;0,"Holiday posting | ","")&amp;IF(B626&gt;Settings!$C$8,"Posted after close | ","")&amp;IF(OR(B626&lt;Settings!$C$6,B626&gt;Settings!$C$7),"Outside period | ","")&amp;IF(COUNTIF(Settings!$E$14:$E$43,C626&amp;"")&gt;0,"Sensitive account | ","")&amp;IF(AND(MAX(N(E626),N(F626))&gt;=Settings!$C$9,MOD(MAX(N(E626),N(F626)),Settings!$C$10)=0),"Round amount | ",""),LEN(IF(K626="No","Does not balance | ","")&amp;IF(I626="","Not approved | ",IF(UPPER(TRIM(H626))=UPPER(TRIM(I626)),"Self-approved | ",""))&amp;IF(J626="","No support | ","")&amp;IF(WEEKDAY(B626,2)&gt;5,"Weekend posting | ","")&amp;IF(COUNTIF(Settings!$A$14:$A$43,B626)&gt;0,"Holiday posting | ","")&amp;IF(B626&gt;Settings!$C$8,"Posted after close | ","")&amp;IF(OR(B626&lt;Settings!$C$6,B626&gt;Settings!$C$7),"Outside period | ","")&amp;IF(COUNTIF(Settings!$E$14:$E$43,C626&amp;"")&gt;0,"Sensitive account | ","")&amp;IF(AND(MAX(N(E626),N(F626))&gt;=Settings!$C$9,MOD(MAX(N(E626),N(F626)),Settings!$C$10)=0),"Round amount | ",""))-3)))</f>
        <v/>
      </c>
      <c r="M626" s="21" t="str">
        <f aca="false">IF(A626="","",IF(COUNTIF($A$9:A626,A626)=1,MAX($M$8:M625)+1,""))</f>
        <v/>
      </c>
    </row>
    <row r="627" customFormat="false" ht="15" hidden="false" customHeight="false" outlineLevel="0" collapsed="false">
      <c r="A627" s="8"/>
      <c r="B627" s="17"/>
      <c r="C627" s="19"/>
      <c r="D627" s="8"/>
      <c r="E627" s="18"/>
      <c r="F627" s="18"/>
      <c r="G627" s="8"/>
      <c r="H627" s="8"/>
      <c r="I627" s="8"/>
      <c r="J627" s="8"/>
      <c r="K627" s="10" t="str">
        <f aca="false">IF(A627="","",IF(ABS(SUMIFS($E$9:$E$2008,$A$9:$A$2008,A627)-SUMIFS($F$9:$F$2008,$A$9:$A$2008,A627))&lt;0.5,"Yes","No"))</f>
        <v/>
      </c>
      <c r="L627" s="10" t="str">
        <f aca="false">IF(A627="","",IF(IF(K627="No","Does not balance | ","")&amp;IF(I627="","Not approved | ",IF(UPPER(TRIM(H627))=UPPER(TRIM(I627)),"Self-approved | ",""))&amp;IF(J627="","No support | ","")&amp;IF(WEEKDAY(B627,2)&gt;5,"Weekend posting | ","")&amp;IF(COUNTIF(Settings!$A$14:$A$43,B627)&gt;0,"Holiday posting | ","")&amp;IF(B627&gt;Settings!$C$8,"Posted after close | ","")&amp;IF(OR(B627&lt;Settings!$C$6,B627&gt;Settings!$C$7),"Outside period | ","")&amp;IF(COUNTIF(Settings!$E$14:$E$43,C627&amp;"")&gt;0,"Sensitive account | ","")&amp;IF(AND(MAX(N(E627),N(F627))&gt;=Settings!$C$9,MOD(MAX(N(E627),N(F627)),Settings!$C$10)=0),"Round amount | ","")="","",LEFT(IF(K627="No","Does not balance | ","")&amp;IF(I627="","Not approved | ",IF(UPPER(TRIM(H627))=UPPER(TRIM(I627)),"Self-approved | ",""))&amp;IF(J627="","No support | ","")&amp;IF(WEEKDAY(B627,2)&gt;5,"Weekend posting | ","")&amp;IF(COUNTIF(Settings!$A$14:$A$43,B627)&gt;0,"Holiday posting | ","")&amp;IF(B627&gt;Settings!$C$8,"Posted after close | ","")&amp;IF(OR(B627&lt;Settings!$C$6,B627&gt;Settings!$C$7),"Outside period | ","")&amp;IF(COUNTIF(Settings!$E$14:$E$43,C627&amp;"")&gt;0,"Sensitive account | ","")&amp;IF(AND(MAX(N(E627),N(F627))&gt;=Settings!$C$9,MOD(MAX(N(E627),N(F627)),Settings!$C$10)=0),"Round amount | ",""),LEN(IF(K627="No","Does not balance | ","")&amp;IF(I627="","Not approved | ",IF(UPPER(TRIM(H627))=UPPER(TRIM(I627)),"Self-approved | ",""))&amp;IF(J627="","No support | ","")&amp;IF(WEEKDAY(B627,2)&gt;5,"Weekend posting | ","")&amp;IF(COUNTIF(Settings!$A$14:$A$43,B627)&gt;0,"Holiday posting | ","")&amp;IF(B627&gt;Settings!$C$8,"Posted after close | ","")&amp;IF(OR(B627&lt;Settings!$C$6,B627&gt;Settings!$C$7),"Outside period | ","")&amp;IF(COUNTIF(Settings!$E$14:$E$43,C627&amp;"")&gt;0,"Sensitive account | ","")&amp;IF(AND(MAX(N(E627),N(F627))&gt;=Settings!$C$9,MOD(MAX(N(E627),N(F627)),Settings!$C$10)=0),"Round amount | ",""))-3)))</f>
        <v/>
      </c>
      <c r="M627" s="21" t="str">
        <f aca="false">IF(A627="","",IF(COUNTIF($A$9:A627,A627)=1,MAX($M$8:M626)+1,""))</f>
        <v/>
      </c>
    </row>
    <row r="628" customFormat="false" ht="15" hidden="false" customHeight="false" outlineLevel="0" collapsed="false">
      <c r="A628" s="8"/>
      <c r="B628" s="17"/>
      <c r="C628" s="19"/>
      <c r="D628" s="8"/>
      <c r="E628" s="18"/>
      <c r="F628" s="18"/>
      <c r="G628" s="8"/>
      <c r="H628" s="8"/>
      <c r="I628" s="8"/>
      <c r="J628" s="8"/>
      <c r="K628" s="10" t="str">
        <f aca="false">IF(A628="","",IF(ABS(SUMIFS($E$9:$E$2008,$A$9:$A$2008,A628)-SUMIFS($F$9:$F$2008,$A$9:$A$2008,A628))&lt;0.5,"Yes","No"))</f>
        <v/>
      </c>
      <c r="L628" s="10" t="str">
        <f aca="false">IF(A628="","",IF(IF(K628="No","Does not balance | ","")&amp;IF(I628="","Not approved | ",IF(UPPER(TRIM(H628))=UPPER(TRIM(I628)),"Self-approved | ",""))&amp;IF(J628="","No support | ","")&amp;IF(WEEKDAY(B628,2)&gt;5,"Weekend posting | ","")&amp;IF(COUNTIF(Settings!$A$14:$A$43,B628)&gt;0,"Holiday posting | ","")&amp;IF(B628&gt;Settings!$C$8,"Posted after close | ","")&amp;IF(OR(B628&lt;Settings!$C$6,B628&gt;Settings!$C$7),"Outside period | ","")&amp;IF(COUNTIF(Settings!$E$14:$E$43,C628&amp;"")&gt;0,"Sensitive account | ","")&amp;IF(AND(MAX(N(E628),N(F628))&gt;=Settings!$C$9,MOD(MAX(N(E628),N(F628)),Settings!$C$10)=0),"Round amount | ","")="","",LEFT(IF(K628="No","Does not balance | ","")&amp;IF(I628="","Not approved | ",IF(UPPER(TRIM(H628))=UPPER(TRIM(I628)),"Self-approved | ",""))&amp;IF(J628="","No support | ","")&amp;IF(WEEKDAY(B628,2)&gt;5,"Weekend posting | ","")&amp;IF(COUNTIF(Settings!$A$14:$A$43,B628)&gt;0,"Holiday posting | ","")&amp;IF(B628&gt;Settings!$C$8,"Posted after close | ","")&amp;IF(OR(B628&lt;Settings!$C$6,B628&gt;Settings!$C$7),"Outside period | ","")&amp;IF(COUNTIF(Settings!$E$14:$E$43,C628&amp;"")&gt;0,"Sensitive account | ","")&amp;IF(AND(MAX(N(E628),N(F628))&gt;=Settings!$C$9,MOD(MAX(N(E628),N(F628)),Settings!$C$10)=0),"Round amount | ",""),LEN(IF(K628="No","Does not balance | ","")&amp;IF(I628="","Not approved | ",IF(UPPER(TRIM(H628))=UPPER(TRIM(I628)),"Self-approved | ",""))&amp;IF(J628="","No support | ","")&amp;IF(WEEKDAY(B628,2)&gt;5,"Weekend posting | ","")&amp;IF(COUNTIF(Settings!$A$14:$A$43,B628)&gt;0,"Holiday posting | ","")&amp;IF(B628&gt;Settings!$C$8,"Posted after close | ","")&amp;IF(OR(B628&lt;Settings!$C$6,B628&gt;Settings!$C$7),"Outside period | ","")&amp;IF(COUNTIF(Settings!$E$14:$E$43,C628&amp;"")&gt;0,"Sensitive account | ","")&amp;IF(AND(MAX(N(E628),N(F628))&gt;=Settings!$C$9,MOD(MAX(N(E628),N(F628)),Settings!$C$10)=0),"Round amount | ",""))-3)))</f>
        <v/>
      </c>
      <c r="M628" s="21" t="str">
        <f aca="false">IF(A628="","",IF(COUNTIF($A$9:A628,A628)=1,MAX($M$8:M627)+1,""))</f>
        <v/>
      </c>
    </row>
    <row r="629" customFormat="false" ht="15" hidden="false" customHeight="false" outlineLevel="0" collapsed="false">
      <c r="A629" s="8"/>
      <c r="B629" s="17"/>
      <c r="C629" s="19"/>
      <c r="D629" s="8"/>
      <c r="E629" s="18"/>
      <c r="F629" s="18"/>
      <c r="G629" s="8"/>
      <c r="H629" s="8"/>
      <c r="I629" s="8"/>
      <c r="J629" s="8"/>
      <c r="K629" s="10" t="str">
        <f aca="false">IF(A629="","",IF(ABS(SUMIFS($E$9:$E$2008,$A$9:$A$2008,A629)-SUMIFS($F$9:$F$2008,$A$9:$A$2008,A629))&lt;0.5,"Yes","No"))</f>
        <v/>
      </c>
      <c r="L629" s="10" t="str">
        <f aca="false">IF(A629="","",IF(IF(K629="No","Does not balance | ","")&amp;IF(I629="","Not approved | ",IF(UPPER(TRIM(H629))=UPPER(TRIM(I629)),"Self-approved | ",""))&amp;IF(J629="","No support | ","")&amp;IF(WEEKDAY(B629,2)&gt;5,"Weekend posting | ","")&amp;IF(COUNTIF(Settings!$A$14:$A$43,B629)&gt;0,"Holiday posting | ","")&amp;IF(B629&gt;Settings!$C$8,"Posted after close | ","")&amp;IF(OR(B629&lt;Settings!$C$6,B629&gt;Settings!$C$7),"Outside period | ","")&amp;IF(COUNTIF(Settings!$E$14:$E$43,C629&amp;"")&gt;0,"Sensitive account | ","")&amp;IF(AND(MAX(N(E629),N(F629))&gt;=Settings!$C$9,MOD(MAX(N(E629),N(F629)),Settings!$C$10)=0),"Round amount | ","")="","",LEFT(IF(K629="No","Does not balance | ","")&amp;IF(I629="","Not approved | ",IF(UPPER(TRIM(H629))=UPPER(TRIM(I629)),"Self-approved | ",""))&amp;IF(J629="","No support | ","")&amp;IF(WEEKDAY(B629,2)&gt;5,"Weekend posting | ","")&amp;IF(COUNTIF(Settings!$A$14:$A$43,B629)&gt;0,"Holiday posting | ","")&amp;IF(B629&gt;Settings!$C$8,"Posted after close | ","")&amp;IF(OR(B629&lt;Settings!$C$6,B629&gt;Settings!$C$7),"Outside period | ","")&amp;IF(COUNTIF(Settings!$E$14:$E$43,C629&amp;"")&gt;0,"Sensitive account | ","")&amp;IF(AND(MAX(N(E629),N(F629))&gt;=Settings!$C$9,MOD(MAX(N(E629),N(F629)),Settings!$C$10)=0),"Round amount | ",""),LEN(IF(K629="No","Does not balance | ","")&amp;IF(I629="","Not approved | ",IF(UPPER(TRIM(H629))=UPPER(TRIM(I629)),"Self-approved | ",""))&amp;IF(J629="","No support | ","")&amp;IF(WEEKDAY(B629,2)&gt;5,"Weekend posting | ","")&amp;IF(COUNTIF(Settings!$A$14:$A$43,B629)&gt;0,"Holiday posting | ","")&amp;IF(B629&gt;Settings!$C$8,"Posted after close | ","")&amp;IF(OR(B629&lt;Settings!$C$6,B629&gt;Settings!$C$7),"Outside period | ","")&amp;IF(COUNTIF(Settings!$E$14:$E$43,C629&amp;"")&gt;0,"Sensitive account | ","")&amp;IF(AND(MAX(N(E629),N(F629))&gt;=Settings!$C$9,MOD(MAX(N(E629),N(F629)),Settings!$C$10)=0),"Round amount | ",""))-3)))</f>
        <v/>
      </c>
      <c r="M629" s="21" t="str">
        <f aca="false">IF(A629="","",IF(COUNTIF($A$9:A629,A629)=1,MAX($M$8:M628)+1,""))</f>
        <v/>
      </c>
    </row>
    <row r="630" customFormat="false" ht="15" hidden="false" customHeight="false" outlineLevel="0" collapsed="false">
      <c r="A630" s="8"/>
      <c r="B630" s="17"/>
      <c r="C630" s="19"/>
      <c r="D630" s="8"/>
      <c r="E630" s="18"/>
      <c r="F630" s="18"/>
      <c r="G630" s="8"/>
      <c r="H630" s="8"/>
      <c r="I630" s="8"/>
      <c r="J630" s="8"/>
      <c r="K630" s="10" t="str">
        <f aca="false">IF(A630="","",IF(ABS(SUMIFS($E$9:$E$2008,$A$9:$A$2008,A630)-SUMIFS($F$9:$F$2008,$A$9:$A$2008,A630))&lt;0.5,"Yes","No"))</f>
        <v/>
      </c>
      <c r="L630" s="10" t="str">
        <f aca="false">IF(A630="","",IF(IF(K630="No","Does not balance | ","")&amp;IF(I630="","Not approved | ",IF(UPPER(TRIM(H630))=UPPER(TRIM(I630)),"Self-approved | ",""))&amp;IF(J630="","No support | ","")&amp;IF(WEEKDAY(B630,2)&gt;5,"Weekend posting | ","")&amp;IF(COUNTIF(Settings!$A$14:$A$43,B630)&gt;0,"Holiday posting | ","")&amp;IF(B630&gt;Settings!$C$8,"Posted after close | ","")&amp;IF(OR(B630&lt;Settings!$C$6,B630&gt;Settings!$C$7),"Outside period | ","")&amp;IF(COUNTIF(Settings!$E$14:$E$43,C630&amp;"")&gt;0,"Sensitive account | ","")&amp;IF(AND(MAX(N(E630),N(F630))&gt;=Settings!$C$9,MOD(MAX(N(E630),N(F630)),Settings!$C$10)=0),"Round amount | ","")="","",LEFT(IF(K630="No","Does not balance | ","")&amp;IF(I630="","Not approved | ",IF(UPPER(TRIM(H630))=UPPER(TRIM(I630)),"Self-approved | ",""))&amp;IF(J630="","No support | ","")&amp;IF(WEEKDAY(B630,2)&gt;5,"Weekend posting | ","")&amp;IF(COUNTIF(Settings!$A$14:$A$43,B630)&gt;0,"Holiday posting | ","")&amp;IF(B630&gt;Settings!$C$8,"Posted after close | ","")&amp;IF(OR(B630&lt;Settings!$C$6,B630&gt;Settings!$C$7),"Outside period | ","")&amp;IF(COUNTIF(Settings!$E$14:$E$43,C630&amp;"")&gt;0,"Sensitive account | ","")&amp;IF(AND(MAX(N(E630),N(F630))&gt;=Settings!$C$9,MOD(MAX(N(E630),N(F630)),Settings!$C$10)=0),"Round amount | ",""),LEN(IF(K630="No","Does not balance | ","")&amp;IF(I630="","Not approved | ",IF(UPPER(TRIM(H630))=UPPER(TRIM(I630)),"Self-approved | ",""))&amp;IF(J630="","No support | ","")&amp;IF(WEEKDAY(B630,2)&gt;5,"Weekend posting | ","")&amp;IF(COUNTIF(Settings!$A$14:$A$43,B630)&gt;0,"Holiday posting | ","")&amp;IF(B630&gt;Settings!$C$8,"Posted after close | ","")&amp;IF(OR(B630&lt;Settings!$C$6,B630&gt;Settings!$C$7),"Outside period | ","")&amp;IF(COUNTIF(Settings!$E$14:$E$43,C630&amp;"")&gt;0,"Sensitive account | ","")&amp;IF(AND(MAX(N(E630),N(F630))&gt;=Settings!$C$9,MOD(MAX(N(E630),N(F630)),Settings!$C$10)=0),"Round amount | ",""))-3)))</f>
        <v/>
      </c>
      <c r="M630" s="21" t="str">
        <f aca="false">IF(A630="","",IF(COUNTIF($A$9:A630,A630)=1,MAX($M$8:M629)+1,""))</f>
        <v/>
      </c>
    </row>
    <row r="631" customFormat="false" ht="15" hidden="false" customHeight="false" outlineLevel="0" collapsed="false">
      <c r="A631" s="8"/>
      <c r="B631" s="17"/>
      <c r="C631" s="19"/>
      <c r="D631" s="8"/>
      <c r="E631" s="18"/>
      <c r="F631" s="18"/>
      <c r="G631" s="8"/>
      <c r="H631" s="8"/>
      <c r="I631" s="8"/>
      <c r="J631" s="8"/>
      <c r="K631" s="10" t="str">
        <f aca="false">IF(A631="","",IF(ABS(SUMIFS($E$9:$E$2008,$A$9:$A$2008,A631)-SUMIFS($F$9:$F$2008,$A$9:$A$2008,A631))&lt;0.5,"Yes","No"))</f>
        <v/>
      </c>
      <c r="L631" s="10" t="str">
        <f aca="false">IF(A631="","",IF(IF(K631="No","Does not balance | ","")&amp;IF(I631="","Not approved | ",IF(UPPER(TRIM(H631))=UPPER(TRIM(I631)),"Self-approved | ",""))&amp;IF(J631="","No support | ","")&amp;IF(WEEKDAY(B631,2)&gt;5,"Weekend posting | ","")&amp;IF(COUNTIF(Settings!$A$14:$A$43,B631)&gt;0,"Holiday posting | ","")&amp;IF(B631&gt;Settings!$C$8,"Posted after close | ","")&amp;IF(OR(B631&lt;Settings!$C$6,B631&gt;Settings!$C$7),"Outside period | ","")&amp;IF(COUNTIF(Settings!$E$14:$E$43,C631&amp;"")&gt;0,"Sensitive account | ","")&amp;IF(AND(MAX(N(E631),N(F631))&gt;=Settings!$C$9,MOD(MAX(N(E631),N(F631)),Settings!$C$10)=0),"Round amount | ","")="","",LEFT(IF(K631="No","Does not balance | ","")&amp;IF(I631="","Not approved | ",IF(UPPER(TRIM(H631))=UPPER(TRIM(I631)),"Self-approved | ",""))&amp;IF(J631="","No support | ","")&amp;IF(WEEKDAY(B631,2)&gt;5,"Weekend posting | ","")&amp;IF(COUNTIF(Settings!$A$14:$A$43,B631)&gt;0,"Holiday posting | ","")&amp;IF(B631&gt;Settings!$C$8,"Posted after close | ","")&amp;IF(OR(B631&lt;Settings!$C$6,B631&gt;Settings!$C$7),"Outside period | ","")&amp;IF(COUNTIF(Settings!$E$14:$E$43,C631&amp;"")&gt;0,"Sensitive account | ","")&amp;IF(AND(MAX(N(E631),N(F631))&gt;=Settings!$C$9,MOD(MAX(N(E631),N(F631)),Settings!$C$10)=0),"Round amount | ",""),LEN(IF(K631="No","Does not balance | ","")&amp;IF(I631="","Not approved | ",IF(UPPER(TRIM(H631))=UPPER(TRIM(I631)),"Self-approved | ",""))&amp;IF(J631="","No support | ","")&amp;IF(WEEKDAY(B631,2)&gt;5,"Weekend posting | ","")&amp;IF(COUNTIF(Settings!$A$14:$A$43,B631)&gt;0,"Holiday posting | ","")&amp;IF(B631&gt;Settings!$C$8,"Posted after close | ","")&amp;IF(OR(B631&lt;Settings!$C$6,B631&gt;Settings!$C$7),"Outside period | ","")&amp;IF(COUNTIF(Settings!$E$14:$E$43,C631&amp;"")&gt;0,"Sensitive account | ","")&amp;IF(AND(MAX(N(E631),N(F631))&gt;=Settings!$C$9,MOD(MAX(N(E631),N(F631)),Settings!$C$10)=0),"Round amount | ",""))-3)))</f>
        <v/>
      </c>
      <c r="M631" s="21" t="str">
        <f aca="false">IF(A631="","",IF(COUNTIF($A$9:A631,A631)=1,MAX($M$8:M630)+1,""))</f>
        <v/>
      </c>
    </row>
    <row r="632" customFormat="false" ht="15" hidden="false" customHeight="false" outlineLevel="0" collapsed="false">
      <c r="A632" s="8"/>
      <c r="B632" s="17"/>
      <c r="C632" s="19"/>
      <c r="D632" s="8"/>
      <c r="E632" s="18"/>
      <c r="F632" s="18"/>
      <c r="G632" s="8"/>
      <c r="H632" s="8"/>
      <c r="I632" s="8"/>
      <c r="J632" s="8"/>
      <c r="K632" s="10" t="str">
        <f aca="false">IF(A632="","",IF(ABS(SUMIFS($E$9:$E$2008,$A$9:$A$2008,A632)-SUMIFS($F$9:$F$2008,$A$9:$A$2008,A632))&lt;0.5,"Yes","No"))</f>
        <v/>
      </c>
      <c r="L632" s="10" t="str">
        <f aca="false">IF(A632="","",IF(IF(K632="No","Does not balance | ","")&amp;IF(I632="","Not approved | ",IF(UPPER(TRIM(H632))=UPPER(TRIM(I632)),"Self-approved | ",""))&amp;IF(J632="","No support | ","")&amp;IF(WEEKDAY(B632,2)&gt;5,"Weekend posting | ","")&amp;IF(COUNTIF(Settings!$A$14:$A$43,B632)&gt;0,"Holiday posting | ","")&amp;IF(B632&gt;Settings!$C$8,"Posted after close | ","")&amp;IF(OR(B632&lt;Settings!$C$6,B632&gt;Settings!$C$7),"Outside period | ","")&amp;IF(COUNTIF(Settings!$E$14:$E$43,C632&amp;"")&gt;0,"Sensitive account | ","")&amp;IF(AND(MAX(N(E632),N(F632))&gt;=Settings!$C$9,MOD(MAX(N(E632),N(F632)),Settings!$C$10)=0),"Round amount | ","")="","",LEFT(IF(K632="No","Does not balance | ","")&amp;IF(I632="","Not approved | ",IF(UPPER(TRIM(H632))=UPPER(TRIM(I632)),"Self-approved | ",""))&amp;IF(J632="","No support | ","")&amp;IF(WEEKDAY(B632,2)&gt;5,"Weekend posting | ","")&amp;IF(COUNTIF(Settings!$A$14:$A$43,B632)&gt;0,"Holiday posting | ","")&amp;IF(B632&gt;Settings!$C$8,"Posted after close | ","")&amp;IF(OR(B632&lt;Settings!$C$6,B632&gt;Settings!$C$7),"Outside period | ","")&amp;IF(COUNTIF(Settings!$E$14:$E$43,C632&amp;"")&gt;0,"Sensitive account | ","")&amp;IF(AND(MAX(N(E632),N(F632))&gt;=Settings!$C$9,MOD(MAX(N(E632),N(F632)),Settings!$C$10)=0),"Round amount | ",""),LEN(IF(K632="No","Does not balance | ","")&amp;IF(I632="","Not approved | ",IF(UPPER(TRIM(H632))=UPPER(TRIM(I632)),"Self-approved | ",""))&amp;IF(J632="","No support | ","")&amp;IF(WEEKDAY(B632,2)&gt;5,"Weekend posting | ","")&amp;IF(COUNTIF(Settings!$A$14:$A$43,B632)&gt;0,"Holiday posting | ","")&amp;IF(B632&gt;Settings!$C$8,"Posted after close | ","")&amp;IF(OR(B632&lt;Settings!$C$6,B632&gt;Settings!$C$7),"Outside period | ","")&amp;IF(COUNTIF(Settings!$E$14:$E$43,C632&amp;"")&gt;0,"Sensitive account | ","")&amp;IF(AND(MAX(N(E632),N(F632))&gt;=Settings!$C$9,MOD(MAX(N(E632),N(F632)),Settings!$C$10)=0),"Round amount | ",""))-3)))</f>
        <v/>
      </c>
      <c r="M632" s="21" t="str">
        <f aca="false">IF(A632="","",IF(COUNTIF($A$9:A632,A632)=1,MAX($M$8:M631)+1,""))</f>
        <v/>
      </c>
    </row>
    <row r="633" customFormat="false" ht="15" hidden="false" customHeight="false" outlineLevel="0" collapsed="false">
      <c r="A633" s="8"/>
      <c r="B633" s="17"/>
      <c r="C633" s="19"/>
      <c r="D633" s="8"/>
      <c r="E633" s="18"/>
      <c r="F633" s="18"/>
      <c r="G633" s="8"/>
      <c r="H633" s="8"/>
      <c r="I633" s="8"/>
      <c r="J633" s="8"/>
      <c r="K633" s="10" t="str">
        <f aca="false">IF(A633="","",IF(ABS(SUMIFS($E$9:$E$2008,$A$9:$A$2008,A633)-SUMIFS($F$9:$F$2008,$A$9:$A$2008,A633))&lt;0.5,"Yes","No"))</f>
        <v/>
      </c>
      <c r="L633" s="10" t="str">
        <f aca="false">IF(A633="","",IF(IF(K633="No","Does not balance | ","")&amp;IF(I633="","Not approved | ",IF(UPPER(TRIM(H633))=UPPER(TRIM(I633)),"Self-approved | ",""))&amp;IF(J633="","No support | ","")&amp;IF(WEEKDAY(B633,2)&gt;5,"Weekend posting | ","")&amp;IF(COUNTIF(Settings!$A$14:$A$43,B633)&gt;0,"Holiday posting | ","")&amp;IF(B633&gt;Settings!$C$8,"Posted after close | ","")&amp;IF(OR(B633&lt;Settings!$C$6,B633&gt;Settings!$C$7),"Outside period | ","")&amp;IF(COUNTIF(Settings!$E$14:$E$43,C633&amp;"")&gt;0,"Sensitive account | ","")&amp;IF(AND(MAX(N(E633),N(F633))&gt;=Settings!$C$9,MOD(MAX(N(E633),N(F633)),Settings!$C$10)=0),"Round amount | ","")="","",LEFT(IF(K633="No","Does not balance | ","")&amp;IF(I633="","Not approved | ",IF(UPPER(TRIM(H633))=UPPER(TRIM(I633)),"Self-approved | ",""))&amp;IF(J633="","No support | ","")&amp;IF(WEEKDAY(B633,2)&gt;5,"Weekend posting | ","")&amp;IF(COUNTIF(Settings!$A$14:$A$43,B633)&gt;0,"Holiday posting | ","")&amp;IF(B633&gt;Settings!$C$8,"Posted after close | ","")&amp;IF(OR(B633&lt;Settings!$C$6,B633&gt;Settings!$C$7),"Outside period | ","")&amp;IF(COUNTIF(Settings!$E$14:$E$43,C633&amp;"")&gt;0,"Sensitive account | ","")&amp;IF(AND(MAX(N(E633),N(F633))&gt;=Settings!$C$9,MOD(MAX(N(E633),N(F633)),Settings!$C$10)=0),"Round amount | ",""),LEN(IF(K633="No","Does not balance | ","")&amp;IF(I633="","Not approved | ",IF(UPPER(TRIM(H633))=UPPER(TRIM(I633)),"Self-approved | ",""))&amp;IF(J633="","No support | ","")&amp;IF(WEEKDAY(B633,2)&gt;5,"Weekend posting | ","")&amp;IF(COUNTIF(Settings!$A$14:$A$43,B633)&gt;0,"Holiday posting | ","")&amp;IF(B633&gt;Settings!$C$8,"Posted after close | ","")&amp;IF(OR(B633&lt;Settings!$C$6,B633&gt;Settings!$C$7),"Outside period | ","")&amp;IF(COUNTIF(Settings!$E$14:$E$43,C633&amp;"")&gt;0,"Sensitive account | ","")&amp;IF(AND(MAX(N(E633),N(F633))&gt;=Settings!$C$9,MOD(MAX(N(E633),N(F633)),Settings!$C$10)=0),"Round amount | ",""))-3)))</f>
        <v/>
      </c>
      <c r="M633" s="21" t="str">
        <f aca="false">IF(A633="","",IF(COUNTIF($A$9:A633,A633)=1,MAX($M$8:M632)+1,""))</f>
        <v/>
      </c>
    </row>
    <row r="634" customFormat="false" ht="15" hidden="false" customHeight="false" outlineLevel="0" collapsed="false">
      <c r="A634" s="8"/>
      <c r="B634" s="17"/>
      <c r="C634" s="19"/>
      <c r="D634" s="8"/>
      <c r="E634" s="18"/>
      <c r="F634" s="18"/>
      <c r="G634" s="8"/>
      <c r="H634" s="8"/>
      <c r="I634" s="8"/>
      <c r="J634" s="8"/>
      <c r="K634" s="10" t="str">
        <f aca="false">IF(A634="","",IF(ABS(SUMIFS($E$9:$E$2008,$A$9:$A$2008,A634)-SUMIFS($F$9:$F$2008,$A$9:$A$2008,A634))&lt;0.5,"Yes","No"))</f>
        <v/>
      </c>
      <c r="L634" s="10" t="str">
        <f aca="false">IF(A634="","",IF(IF(K634="No","Does not balance | ","")&amp;IF(I634="","Not approved | ",IF(UPPER(TRIM(H634))=UPPER(TRIM(I634)),"Self-approved | ",""))&amp;IF(J634="","No support | ","")&amp;IF(WEEKDAY(B634,2)&gt;5,"Weekend posting | ","")&amp;IF(COUNTIF(Settings!$A$14:$A$43,B634)&gt;0,"Holiday posting | ","")&amp;IF(B634&gt;Settings!$C$8,"Posted after close | ","")&amp;IF(OR(B634&lt;Settings!$C$6,B634&gt;Settings!$C$7),"Outside period | ","")&amp;IF(COUNTIF(Settings!$E$14:$E$43,C634&amp;"")&gt;0,"Sensitive account | ","")&amp;IF(AND(MAX(N(E634),N(F634))&gt;=Settings!$C$9,MOD(MAX(N(E634),N(F634)),Settings!$C$10)=0),"Round amount | ","")="","",LEFT(IF(K634="No","Does not balance | ","")&amp;IF(I634="","Not approved | ",IF(UPPER(TRIM(H634))=UPPER(TRIM(I634)),"Self-approved | ",""))&amp;IF(J634="","No support | ","")&amp;IF(WEEKDAY(B634,2)&gt;5,"Weekend posting | ","")&amp;IF(COUNTIF(Settings!$A$14:$A$43,B634)&gt;0,"Holiday posting | ","")&amp;IF(B634&gt;Settings!$C$8,"Posted after close | ","")&amp;IF(OR(B634&lt;Settings!$C$6,B634&gt;Settings!$C$7),"Outside period | ","")&amp;IF(COUNTIF(Settings!$E$14:$E$43,C634&amp;"")&gt;0,"Sensitive account | ","")&amp;IF(AND(MAX(N(E634),N(F634))&gt;=Settings!$C$9,MOD(MAX(N(E634),N(F634)),Settings!$C$10)=0),"Round amount | ",""),LEN(IF(K634="No","Does not balance | ","")&amp;IF(I634="","Not approved | ",IF(UPPER(TRIM(H634))=UPPER(TRIM(I634)),"Self-approved | ",""))&amp;IF(J634="","No support | ","")&amp;IF(WEEKDAY(B634,2)&gt;5,"Weekend posting | ","")&amp;IF(COUNTIF(Settings!$A$14:$A$43,B634)&gt;0,"Holiday posting | ","")&amp;IF(B634&gt;Settings!$C$8,"Posted after close | ","")&amp;IF(OR(B634&lt;Settings!$C$6,B634&gt;Settings!$C$7),"Outside period | ","")&amp;IF(COUNTIF(Settings!$E$14:$E$43,C634&amp;"")&gt;0,"Sensitive account | ","")&amp;IF(AND(MAX(N(E634),N(F634))&gt;=Settings!$C$9,MOD(MAX(N(E634),N(F634)),Settings!$C$10)=0),"Round amount | ",""))-3)))</f>
        <v/>
      </c>
      <c r="M634" s="21" t="str">
        <f aca="false">IF(A634="","",IF(COUNTIF($A$9:A634,A634)=1,MAX($M$8:M633)+1,""))</f>
        <v/>
      </c>
    </row>
    <row r="635" customFormat="false" ht="15" hidden="false" customHeight="false" outlineLevel="0" collapsed="false">
      <c r="A635" s="8"/>
      <c r="B635" s="17"/>
      <c r="C635" s="19"/>
      <c r="D635" s="8"/>
      <c r="E635" s="18"/>
      <c r="F635" s="18"/>
      <c r="G635" s="8"/>
      <c r="H635" s="8"/>
      <c r="I635" s="8"/>
      <c r="J635" s="8"/>
      <c r="K635" s="10" t="str">
        <f aca="false">IF(A635="","",IF(ABS(SUMIFS($E$9:$E$2008,$A$9:$A$2008,A635)-SUMIFS($F$9:$F$2008,$A$9:$A$2008,A635))&lt;0.5,"Yes","No"))</f>
        <v/>
      </c>
      <c r="L635" s="10" t="str">
        <f aca="false">IF(A635="","",IF(IF(K635="No","Does not balance | ","")&amp;IF(I635="","Not approved | ",IF(UPPER(TRIM(H635))=UPPER(TRIM(I635)),"Self-approved | ",""))&amp;IF(J635="","No support | ","")&amp;IF(WEEKDAY(B635,2)&gt;5,"Weekend posting | ","")&amp;IF(COUNTIF(Settings!$A$14:$A$43,B635)&gt;0,"Holiday posting | ","")&amp;IF(B635&gt;Settings!$C$8,"Posted after close | ","")&amp;IF(OR(B635&lt;Settings!$C$6,B635&gt;Settings!$C$7),"Outside period | ","")&amp;IF(COUNTIF(Settings!$E$14:$E$43,C635&amp;"")&gt;0,"Sensitive account | ","")&amp;IF(AND(MAX(N(E635),N(F635))&gt;=Settings!$C$9,MOD(MAX(N(E635),N(F635)),Settings!$C$10)=0),"Round amount | ","")="","",LEFT(IF(K635="No","Does not balance | ","")&amp;IF(I635="","Not approved | ",IF(UPPER(TRIM(H635))=UPPER(TRIM(I635)),"Self-approved | ",""))&amp;IF(J635="","No support | ","")&amp;IF(WEEKDAY(B635,2)&gt;5,"Weekend posting | ","")&amp;IF(COUNTIF(Settings!$A$14:$A$43,B635)&gt;0,"Holiday posting | ","")&amp;IF(B635&gt;Settings!$C$8,"Posted after close | ","")&amp;IF(OR(B635&lt;Settings!$C$6,B635&gt;Settings!$C$7),"Outside period | ","")&amp;IF(COUNTIF(Settings!$E$14:$E$43,C635&amp;"")&gt;0,"Sensitive account | ","")&amp;IF(AND(MAX(N(E635),N(F635))&gt;=Settings!$C$9,MOD(MAX(N(E635),N(F635)),Settings!$C$10)=0),"Round amount | ",""),LEN(IF(K635="No","Does not balance | ","")&amp;IF(I635="","Not approved | ",IF(UPPER(TRIM(H635))=UPPER(TRIM(I635)),"Self-approved | ",""))&amp;IF(J635="","No support | ","")&amp;IF(WEEKDAY(B635,2)&gt;5,"Weekend posting | ","")&amp;IF(COUNTIF(Settings!$A$14:$A$43,B635)&gt;0,"Holiday posting | ","")&amp;IF(B635&gt;Settings!$C$8,"Posted after close | ","")&amp;IF(OR(B635&lt;Settings!$C$6,B635&gt;Settings!$C$7),"Outside period | ","")&amp;IF(COUNTIF(Settings!$E$14:$E$43,C635&amp;"")&gt;0,"Sensitive account | ","")&amp;IF(AND(MAX(N(E635),N(F635))&gt;=Settings!$C$9,MOD(MAX(N(E635),N(F635)),Settings!$C$10)=0),"Round amount | ",""))-3)))</f>
        <v/>
      </c>
      <c r="M635" s="21" t="str">
        <f aca="false">IF(A635="","",IF(COUNTIF($A$9:A635,A635)=1,MAX($M$8:M634)+1,""))</f>
        <v/>
      </c>
    </row>
    <row r="636" customFormat="false" ht="15" hidden="false" customHeight="false" outlineLevel="0" collapsed="false">
      <c r="A636" s="8"/>
      <c r="B636" s="17"/>
      <c r="C636" s="19"/>
      <c r="D636" s="8"/>
      <c r="E636" s="18"/>
      <c r="F636" s="18"/>
      <c r="G636" s="8"/>
      <c r="H636" s="8"/>
      <c r="I636" s="8"/>
      <c r="J636" s="8"/>
      <c r="K636" s="10" t="str">
        <f aca="false">IF(A636="","",IF(ABS(SUMIFS($E$9:$E$2008,$A$9:$A$2008,A636)-SUMIFS($F$9:$F$2008,$A$9:$A$2008,A636))&lt;0.5,"Yes","No"))</f>
        <v/>
      </c>
      <c r="L636" s="10" t="str">
        <f aca="false">IF(A636="","",IF(IF(K636="No","Does not balance | ","")&amp;IF(I636="","Not approved | ",IF(UPPER(TRIM(H636))=UPPER(TRIM(I636)),"Self-approved | ",""))&amp;IF(J636="","No support | ","")&amp;IF(WEEKDAY(B636,2)&gt;5,"Weekend posting | ","")&amp;IF(COUNTIF(Settings!$A$14:$A$43,B636)&gt;0,"Holiday posting | ","")&amp;IF(B636&gt;Settings!$C$8,"Posted after close | ","")&amp;IF(OR(B636&lt;Settings!$C$6,B636&gt;Settings!$C$7),"Outside period | ","")&amp;IF(COUNTIF(Settings!$E$14:$E$43,C636&amp;"")&gt;0,"Sensitive account | ","")&amp;IF(AND(MAX(N(E636),N(F636))&gt;=Settings!$C$9,MOD(MAX(N(E636),N(F636)),Settings!$C$10)=0),"Round amount | ","")="","",LEFT(IF(K636="No","Does not balance | ","")&amp;IF(I636="","Not approved | ",IF(UPPER(TRIM(H636))=UPPER(TRIM(I636)),"Self-approved | ",""))&amp;IF(J636="","No support | ","")&amp;IF(WEEKDAY(B636,2)&gt;5,"Weekend posting | ","")&amp;IF(COUNTIF(Settings!$A$14:$A$43,B636)&gt;0,"Holiday posting | ","")&amp;IF(B636&gt;Settings!$C$8,"Posted after close | ","")&amp;IF(OR(B636&lt;Settings!$C$6,B636&gt;Settings!$C$7),"Outside period | ","")&amp;IF(COUNTIF(Settings!$E$14:$E$43,C636&amp;"")&gt;0,"Sensitive account | ","")&amp;IF(AND(MAX(N(E636),N(F636))&gt;=Settings!$C$9,MOD(MAX(N(E636),N(F636)),Settings!$C$10)=0),"Round amount | ",""),LEN(IF(K636="No","Does not balance | ","")&amp;IF(I636="","Not approved | ",IF(UPPER(TRIM(H636))=UPPER(TRIM(I636)),"Self-approved | ",""))&amp;IF(J636="","No support | ","")&amp;IF(WEEKDAY(B636,2)&gt;5,"Weekend posting | ","")&amp;IF(COUNTIF(Settings!$A$14:$A$43,B636)&gt;0,"Holiday posting | ","")&amp;IF(B636&gt;Settings!$C$8,"Posted after close | ","")&amp;IF(OR(B636&lt;Settings!$C$6,B636&gt;Settings!$C$7),"Outside period | ","")&amp;IF(COUNTIF(Settings!$E$14:$E$43,C636&amp;"")&gt;0,"Sensitive account | ","")&amp;IF(AND(MAX(N(E636),N(F636))&gt;=Settings!$C$9,MOD(MAX(N(E636),N(F636)),Settings!$C$10)=0),"Round amount | ",""))-3)))</f>
        <v/>
      </c>
      <c r="M636" s="21" t="str">
        <f aca="false">IF(A636="","",IF(COUNTIF($A$9:A636,A636)=1,MAX($M$8:M635)+1,""))</f>
        <v/>
      </c>
    </row>
    <row r="637" customFormat="false" ht="15" hidden="false" customHeight="false" outlineLevel="0" collapsed="false">
      <c r="A637" s="8"/>
      <c r="B637" s="17"/>
      <c r="C637" s="19"/>
      <c r="D637" s="8"/>
      <c r="E637" s="18"/>
      <c r="F637" s="18"/>
      <c r="G637" s="8"/>
      <c r="H637" s="8"/>
      <c r="I637" s="8"/>
      <c r="J637" s="8"/>
      <c r="K637" s="10" t="str">
        <f aca="false">IF(A637="","",IF(ABS(SUMIFS($E$9:$E$2008,$A$9:$A$2008,A637)-SUMIFS($F$9:$F$2008,$A$9:$A$2008,A637))&lt;0.5,"Yes","No"))</f>
        <v/>
      </c>
      <c r="L637" s="10" t="str">
        <f aca="false">IF(A637="","",IF(IF(K637="No","Does not balance | ","")&amp;IF(I637="","Not approved | ",IF(UPPER(TRIM(H637))=UPPER(TRIM(I637)),"Self-approved | ",""))&amp;IF(J637="","No support | ","")&amp;IF(WEEKDAY(B637,2)&gt;5,"Weekend posting | ","")&amp;IF(COUNTIF(Settings!$A$14:$A$43,B637)&gt;0,"Holiday posting | ","")&amp;IF(B637&gt;Settings!$C$8,"Posted after close | ","")&amp;IF(OR(B637&lt;Settings!$C$6,B637&gt;Settings!$C$7),"Outside period | ","")&amp;IF(COUNTIF(Settings!$E$14:$E$43,C637&amp;"")&gt;0,"Sensitive account | ","")&amp;IF(AND(MAX(N(E637),N(F637))&gt;=Settings!$C$9,MOD(MAX(N(E637),N(F637)),Settings!$C$10)=0),"Round amount | ","")="","",LEFT(IF(K637="No","Does not balance | ","")&amp;IF(I637="","Not approved | ",IF(UPPER(TRIM(H637))=UPPER(TRIM(I637)),"Self-approved | ",""))&amp;IF(J637="","No support | ","")&amp;IF(WEEKDAY(B637,2)&gt;5,"Weekend posting | ","")&amp;IF(COUNTIF(Settings!$A$14:$A$43,B637)&gt;0,"Holiday posting | ","")&amp;IF(B637&gt;Settings!$C$8,"Posted after close | ","")&amp;IF(OR(B637&lt;Settings!$C$6,B637&gt;Settings!$C$7),"Outside period | ","")&amp;IF(COUNTIF(Settings!$E$14:$E$43,C637&amp;"")&gt;0,"Sensitive account | ","")&amp;IF(AND(MAX(N(E637),N(F637))&gt;=Settings!$C$9,MOD(MAX(N(E637),N(F637)),Settings!$C$10)=0),"Round amount | ",""),LEN(IF(K637="No","Does not balance | ","")&amp;IF(I637="","Not approved | ",IF(UPPER(TRIM(H637))=UPPER(TRIM(I637)),"Self-approved | ",""))&amp;IF(J637="","No support | ","")&amp;IF(WEEKDAY(B637,2)&gt;5,"Weekend posting | ","")&amp;IF(COUNTIF(Settings!$A$14:$A$43,B637)&gt;0,"Holiday posting | ","")&amp;IF(B637&gt;Settings!$C$8,"Posted after close | ","")&amp;IF(OR(B637&lt;Settings!$C$6,B637&gt;Settings!$C$7),"Outside period | ","")&amp;IF(COUNTIF(Settings!$E$14:$E$43,C637&amp;"")&gt;0,"Sensitive account | ","")&amp;IF(AND(MAX(N(E637),N(F637))&gt;=Settings!$C$9,MOD(MAX(N(E637),N(F637)),Settings!$C$10)=0),"Round amount | ",""))-3)))</f>
        <v/>
      </c>
      <c r="M637" s="21" t="str">
        <f aca="false">IF(A637="","",IF(COUNTIF($A$9:A637,A637)=1,MAX($M$8:M636)+1,""))</f>
        <v/>
      </c>
    </row>
    <row r="638" customFormat="false" ht="15" hidden="false" customHeight="false" outlineLevel="0" collapsed="false">
      <c r="A638" s="8"/>
      <c r="B638" s="17"/>
      <c r="C638" s="19"/>
      <c r="D638" s="8"/>
      <c r="E638" s="18"/>
      <c r="F638" s="18"/>
      <c r="G638" s="8"/>
      <c r="H638" s="8"/>
      <c r="I638" s="8"/>
      <c r="J638" s="8"/>
      <c r="K638" s="10" t="str">
        <f aca="false">IF(A638="","",IF(ABS(SUMIFS($E$9:$E$2008,$A$9:$A$2008,A638)-SUMIFS($F$9:$F$2008,$A$9:$A$2008,A638))&lt;0.5,"Yes","No"))</f>
        <v/>
      </c>
      <c r="L638" s="10" t="str">
        <f aca="false">IF(A638="","",IF(IF(K638="No","Does not balance | ","")&amp;IF(I638="","Not approved | ",IF(UPPER(TRIM(H638))=UPPER(TRIM(I638)),"Self-approved | ",""))&amp;IF(J638="","No support | ","")&amp;IF(WEEKDAY(B638,2)&gt;5,"Weekend posting | ","")&amp;IF(COUNTIF(Settings!$A$14:$A$43,B638)&gt;0,"Holiday posting | ","")&amp;IF(B638&gt;Settings!$C$8,"Posted after close | ","")&amp;IF(OR(B638&lt;Settings!$C$6,B638&gt;Settings!$C$7),"Outside period | ","")&amp;IF(COUNTIF(Settings!$E$14:$E$43,C638&amp;"")&gt;0,"Sensitive account | ","")&amp;IF(AND(MAX(N(E638),N(F638))&gt;=Settings!$C$9,MOD(MAX(N(E638),N(F638)),Settings!$C$10)=0),"Round amount | ","")="","",LEFT(IF(K638="No","Does not balance | ","")&amp;IF(I638="","Not approved | ",IF(UPPER(TRIM(H638))=UPPER(TRIM(I638)),"Self-approved | ",""))&amp;IF(J638="","No support | ","")&amp;IF(WEEKDAY(B638,2)&gt;5,"Weekend posting | ","")&amp;IF(COUNTIF(Settings!$A$14:$A$43,B638)&gt;0,"Holiday posting | ","")&amp;IF(B638&gt;Settings!$C$8,"Posted after close | ","")&amp;IF(OR(B638&lt;Settings!$C$6,B638&gt;Settings!$C$7),"Outside period | ","")&amp;IF(COUNTIF(Settings!$E$14:$E$43,C638&amp;"")&gt;0,"Sensitive account | ","")&amp;IF(AND(MAX(N(E638),N(F638))&gt;=Settings!$C$9,MOD(MAX(N(E638),N(F638)),Settings!$C$10)=0),"Round amount | ",""),LEN(IF(K638="No","Does not balance | ","")&amp;IF(I638="","Not approved | ",IF(UPPER(TRIM(H638))=UPPER(TRIM(I638)),"Self-approved | ",""))&amp;IF(J638="","No support | ","")&amp;IF(WEEKDAY(B638,2)&gt;5,"Weekend posting | ","")&amp;IF(COUNTIF(Settings!$A$14:$A$43,B638)&gt;0,"Holiday posting | ","")&amp;IF(B638&gt;Settings!$C$8,"Posted after close | ","")&amp;IF(OR(B638&lt;Settings!$C$6,B638&gt;Settings!$C$7),"Outside period | ","")&amp;IF(COUNTIF(Settings!$E$14:$E$43,C638&amp;"")&gt;0,"Sensitive account | ","")&amp;IF(AND(MAX(N(E638),N(F638))&gt;=Settings!$C$9,MOD(MAX(N(E638),N(F638)),Settings!$C$10)=0),"Round amount | ",""))-3)))</f>
        <v/>
      </c>
      <c r="M638" s="21" t="str">
        <f aca="false">IF(A638="","",IF(COUNTIF($A$9:A638,A638)=1,MAX($M$8:M637)+1,""))</f>
        <v/>
      </c>
    </row>
    <row r="639" customFormat="false" ht="15" hidden="false" customHeight="false" outlineLevel="0" collapsed="false">
      <c r="A639" s="8"/>
      <c r="B639" s="17"/>
      <c r="C639" s="19"/>
      <c r="D639" s="8"/>
      <c r="E639" s="18"/>
      <c r="F639" s="18"/>
      <c r="G639" s="8"/>
      <c r="H639" s="8"/>
      <c r="I639" s="8"/>
      <c r="J639" s="8"/>
      <c r="K639" s="10" t="str">
        <f aca="false">IF(A639="","",IF(ABS(SUMIFS($E$9:$E$2008,$A$9:$A$2008,A639)-SUMIFS($F$9:$F$2008,$A$9:$A$2008,A639))&lt;0.5,"Yes","No"))</f>
        <v/>
      </c>
      <c r="L639" s="10" t="str">
        <f aca="false">IF(A639="","",IF(IF(K639="No","Does not balance | ","")&amp;IF(I639="","Not approved | ",IF(UPPER(TRIM(H639))=UPPER(TRIM(I639)),"Self-approved | ",""))&amp;IF(J639="","No support | ","")&amp;IF(WEEKDAY(B639,2)&gt;5,"Weekend posting | ","")&amp;IF(COUNTIF(Settings!$A$14:$A$43,B639)&gt;0,"Holiday posting | ","")&amp;IF(B639&gt;Settings!$C$8,"Posted after close | ","")&amp;IF(OR(B639&lt;Settings!$C$6,B639&gt;Settings!$C$7),"Outside period | ","")&amp;IF(COUNTIF(Settings!$E$14:$E$43,C639&amp;"")&gt;0,"Sensitive account | ","")&amp;IF(AND(MAX(N(E639),N(F639))&gt;=Settings!$C$9,MOD(MAX(N(E639),N(F639)),Settings!$C$10)=0),"Round amount | ","")="","",LEFT(IF(K639="No","Does not balance | ","")&amp;IF(I639="","Not approved | ",IF(UPPER(TRIM(H639))=UPPER(TRIM(I639)),"Self-approved | ",""))&amp;IF(J639="","No support | ","")&amp;IF(WEEKDAY(B639,2)&gt;5,"Weekend posting | ","")&amp;IF(COUNTIF(Settings!$A$14:$A$43,B639)&gt;0,"Holiday posting | ","")&amp;IF(B639&gt;Settings!$C$8,"Posted after close | ","")&amp;IF(OR(B639&lt;Settings!$C$6,B639&gt;Settings!$C$7),"Outside period | ","")&amp;IF(COUNTIF(Settings!$E$14:$E$43,C639&amp;"")&gt;0,"Sensitive account | ","")&amp;IF(AND(MAX(N(E639),N(F639))&gt;=Settings!$C$9,MOD(MAX(N(E639),N(F639)),Settings!$C$10)=0),"Round amount | ",""),LEN(IF(K639="No","Does not balance | ","")&amp;IF(I639="","Not approved | ",IF(UPPER(TRIM(H639))=UPPER(TRIM(I639)),"Self-approved | ",""))&amp;IF(J639="","No support | ","")&amp;IF(WEEKDAY(B639,2)&gt;5,"Weekend posting | ","")&amp;IF(COUNTIF(Settings!$A$14:$A$43,B639)&gt;0,"Holiday posting | ","")&amp;IF(B639&gt;Settings!$C$8,"Posted after close | ","")&amp;IF(OR(B639&lt;Settings!$C$6,B639&gt;Settings!$C$7),"Outside period | ","")&amp;IF(COUNTIF(Settings!$E$14:$E$43,C639&amp;"")&gt;0,"Sensitive account | ","")&amp;IF(AND(MAX(N(E639),N(F639))&gt;=Settings!$C$9,MOD(MAX(N(E639),N(F639)),Settings!$C$10)=0),"Round amount | ",""))-3)))</f>
        <v/>
      </c>
      <c r="M639" s="21" t="str">
        <f aca="false">IF(A639="","",IF(COUNTIF($A$9:A639,A639)=1,MAX($M$8:M638)+1,""))</f>
        <v/>
      </c>
    </row>
    <row r="640" customFormat="false" ht="15" hidden="false" customHeight="false" outlineLevel="0" collapsed="false">
      <c r="A640" s="8"/>
      <c r="B640" s="17"/>
      <c r="C640" s="19"/>
      <c r="D640" s="8"/>
      <c r="E640" s="18"/>
      <c r="F640" s="18"/>
      <c r="G640" s="8"/>
      <c r="H640" s="8"/>
      <c r="I640" s="8"/>
      <c r="J640" s="8"/>
      <c r="K640" s="10" t="str">
        <f aca="false">IF(A640="","",IF(ABS(SUMIFS($E$9:$E$2008,$A$9:$A$2008,A640)-SUMIFS($F$9:$F$2008,$A$9:$A$2008,A640))&lt;0.5,"Yes","No"))</f>
        <v/>
      </c>
      <c r="L640" s="10" t="str">
        <f aca="false">IF(A640="","",IF(IF(K640="No","Does not balance | ","")&amp;IF(I640="","Not approved | ",IF(UPPER(TRIM(H640))=UPPER(TRIM(I640)),"Self-approved | ",""))&amp;IF(J640="","No support | ","")&amp;IF(WEEKDAY(B640,2)&gt;5,"Weekend posting | ","")&amp;IF(COUNTIF(Settings!$A$14:$A$43,B640)&gt;0,"Holiday posting | ","")&amp;IF(B640&gt;Settings!$C$8,"Posted after close | ","")&amp;IF(OR(B640&lt;Settings!$C$6,B640&gt;Settings!$C$7),"Outside period | ","")&amp;IF(COUNTIF(Settings!$E$14:$E$43,C640&amp;"")&gt;0,"Sensitive account | ","")&amp;IF(AND(MAX(N(E640),N(F640))&gt;=Settings!$C$9,MOD(MAX(N(E640),N(F640)),Settings!$C$10)=0),"Round amount | ","")="","",LEFT(IF(K640="No","Does not balance | ","")&amp;IF(I640="","Not approved | ",IF(UPPER(TRIM(H640))=UPPER(TRIM(I640)),"Self-approved | ",""))&amp;IF(J640="","No support | ","")&amp;IF(WEEKDAY(B640,2)&gt;5,"Weekend posting | ","")&amp;IF(COUNTIF(Settings!$A$14:$A$43,B640)&gt;0,"Holiday posting | ","")&amp;IF(B640&gt;Settings!$C$8,"Posted after close | ","")&amp;IF(OR(B640&lt;Settings!$C$6,B640&gt;Settings!$C$7),"Outside period | ","")&amp;IF(COUNTIF(Settings!$E$14:$E$43,C640&amp;"")&gt;0,"Sensitive account | ","")&amp;IF(AND(MAX(N(E640),N(F640))&gt;=Settings!$C$9,MOD(MAX(N(E640),N(F640)),Settings!$C$10)=0),"Round amount | ",""),LEN(IF(K640="No","Does not balance | ","")&amp;IF(I640="","Not approved | ",IF(UPPER(TRIM(H640))=UPPER(TRIM(I640)),"Self-approved | ",""))&amp;IF(J640="","No support | ","")&amp;IF(WEEKDAY(B640,2)&gt;5,"Weekend posting | ","")&amp;IF(COUNTIF(Settings!$A$14:$A$43,B640)&gt;0,"Holiday posting | ","")&amp;IF(B640&gt;Settings!$C$8,"Posted after close | ","")&amp;IF(OR(B640&lt;Settings!$C$6,B640&gt;Settings!$C$7),"Outside period | ","")&amp;IF(COUNTIF(Settings!$E$14:$E$43,C640&amp;"")&gt;0,"Sensitive account | ","")&amp;IF(AND(MAX(N(E640),N(F640))&gt;=Settings!$C$9,MOD(MAX(N(E640),N(F640)),Settings!$C$10)=0),"Round amount | ",""))-3)))</f>
        <v/>
      </c>
      <c r="M640" s="21" t="str">
        <f aca="false">IF(A640="","",IF(COUNTIF($A$9:A640,A640)=1,MAX($M$8:M639)+1,""))</f>
        <v/>
      </c>
    </row>
    <row r="641" customFormat="false" ht="15" hidden="false" customHeight="false" outlineLevel="0" collapsed="false">
      <c r="A641" s="8"/>
      <c r="B641" s="17"/>
      <c r="C641" s="19"/>
      <c r="D641" s="8"/>
      <c r="E641" s="18"/>
      <c r="F641" s="18"/>
      <c r="G641" s="8"/>
      <c r="H641" s="8"/>
      <c r="I641" s="8"/>
      <c r="J641" s="8"/>
      <c r="K641" s="10" t="str">
        <f aca="false">IF(A641="","",IF(ABS(SUMIFS($E$9:$E$2008,$A$9:$A$2008,A641)-SUMIFS($F$9:$F$2008,$A$9:$A$2008,A641))&lt;0.5,"Yes","No"))</f>
        <v/>
      </c>
      <c r="L641" s="10" t="str">
        <f aca="false">IF(A641="","",IF(IF(K641="No","Does not balance | ","")&amp;IF(I641="","Not approved | ",IF(UPPER(TRIM(H641))=UPPER(TRIM(I641)),"Self-approved | ",""))&amp;IF(J641="","No support | ","")&amp;IF(WEEKDAY(B641,2)&gt;5,"Weekend posting | ","")&amp;IF(COUNTIF(Settings!$A$14:$A$43,B641)&gt;0,"Holiday posting | ","")&amp;IF(B641&gt;Settings!$C$8,"Posted after close | ","")&amp;IF(OR(B641&lt;Settings!$C$6,B641&gt;Settings!$C$7),"Outside period | ","")&amp;IF(COUNTIF(Settings!$E$14:$E$43,C641&amp;"")&gt;0,"Sensitive account | ","")&amp;IF(AND(MAX(N(E641),N(F641))&gt;=Settings!$C$9,MOD(MAX(N(E641),N(F641)),Settings!$C$10)=0),"Round amount | ","")="","",LEFT(IF(K641="No","Does not balance | ","")&amp;IF(I641="","Not approved | ",IF(UPPER(TRIM(H641))=UPPER(TRIM(I641)),"Self-approved | ",""))&amp;IF(J641="","No support | ","")&amp;IF(WEEKDAY(B641,2)&gt;5,"Weekend posting | ","")&amp;IF(COUNTIF(Settings!$A$14:$A$43,B641)&gt;0,"Holiday posting | ","")&amp;IF(B641&gt;Settings!$C$8,"Posted after close | ","")&amp;IF(OR(B641&lt;Settings!$C$6,B641&gt;Settings!$C$7),"Outside period | ","")&amp;IF(COUNTIF(Settings!$E$14:$E$43,C641&amp;"")&gt;0,"Sensitive account | ","")&amp;IF(AND(MAX(N(E641),N(F641))&gt;=Settings!$C$9,MOD(MAX(N(E641),N(F641)),Settings!$C$10)=0),"Round amount | ",""),LEN(IF(K641="No","Does not balance | ","")&amp;IF(I641="","Not approved | ",IF(UPPER(TRIM(H641))=UPPER(TRIM(I641)),"Self-approved | ",""))&amp;IF(J641="","No support | ","")&amp;IF(WEEKDAY(B641,2)&gt;5,"Weekend posting | ","")&amp;IF(COUNTIF(Settings!$A$14:$A$43,B641)&gt;0,"Holiday posting | ","")&amp;IF(B641&gt;Settings!$C$8,"Posted after close | ","")&amp;IF(OR(B641&lt;Settings!$C$6,B641&gt;Settings!$C$7),"Outside period | ","")&amp;IF(COUNTIF(Settings!$E$14:$E$43,C641&amp;"")&gt;0,"Sensitive account | ","")&amp;IF(AND(MAX(N(E641),N(F641))&gt;=Settings!$C$9,MOD(MAX(N(E641),N(F641)),Settings!$C$10)=0),"Round amount | ",""))-3)))</f>
        <v/>
      </c>
      <c r="M641" s="21" t="str">
        <f aca="false">IF(A641="","",IF(COUNTIF($A$9:A641,A641)=1,MAX($M$8:M640)+1,""))</f>
        <v/>
      </c>
    </row>
    <row r="642" customFormat="false" ht="15" hidden="false" customHeight="false" outlineLevel="0" collapsed="false">
      <c r="A642" s="8"/>
      <c r="B642" s="17"/>
      <c r="C642" s="19"/>
      <c r="D642" s="8"/>
      <c r="E642" s="18"/>
      <c r="F642" s="18"/>
      <c r="G642" s="8"/>
      <c r="H642" s="8"/>
      <c r="I642" s="8"/>
      <c r="J642" s="8"/>
      <c r="K642" s="10" t="str">
        <f aca="false">IF(A642="","",IF(ABS(SUMIFS($E$9:$E$2008,$A$9:$A$2008,A642)-SUMIFS($F$9:$F$2008,$A$9:$A$2008,A642))&lt;0.5,"Yes","No"))</f>
        <v/>
      </c>
      <c r="L642" s="10" t="str">
        <f aca="false">IF(A642="","",IF(IF(K642="No","Does not balance | ","")&amp;IF(I642="","Not approved | ",IF(UPPER(TRIM(H642))=UPPER(TRIM(I642)),"Self-approved | ",""))&amp;IF(J642="","No support | ","")&amp;IF(WEEKDAY(B642,2)&gt;5,"Weekend posting | ","")&amp;IF(COUNTIF(Settings!$A$14:$A$43,B642)&gt;0,"Holiday posting | ","")&amp;IF(B642&gt;Settings!$C$8,"Posted after close | ","")&amp;IF(OR(B642&lt;Settings!$C$6,B642&gt;Settings!$C$7),"Outside period | ","")&amp;IF(COUNTIF(Settings!$E$14:$E$43,C642&amp;"")&gt;0,"Sensitive account | ","")&amp;IF(AND(MAX(N(E642),N(F642))&gt;=Settings!$C$9,MOD(MAX(N(E642),N(F642)),Settings!$C$10)=0),"Round amount | ","")="","",LEFT(IF(K642="No","Does not balance | ","")&amp;IF(I642="","Not approved | ",IF(UPPER(TRIM(H642))=UPPER(TRIM(I642)),"Self-approved | ",""))&amp;IF(J642="","No support | ","")&amp;IF(WEEKDAY(B642,2)&gt;5,"Weekend posting | ","")&amp;IF(COUNTIF(Settings!$A$14:$A$43,B642)&gt;0,"Holiday posting | ","")&amp;IF(B642&gt;Settings!$C$8,"Posted after close | ","")&amp;IF(OR(B642&lt;Settings!$C$6,B642&gt;Settings!$C$7),"Outside period | ","")&amp;IF(COUNTIF(Settings!$E$14:$E$43,C642&amp;"")&gt;0,"Sensitive account | ","")&amp;IF(AND(MAX(N(E642),N(F642))&gt;=Settings!$C$9,MOD(MAX(N(E642),N(F642)),Settings!$C$10)=0),"Round amount | ",""),LEN(IF(K642="No","Does not balance | ","")&amp;IF(I642="","Not approved | ",IF(UPPER(TRIM(H642))=UPPER(TRIM(I642)),"Self-approved | ",""))&amp;IF(J642="","No support | ","")&amp;IF(WEEKDAY(B642,2)&gt;5,"Weekend posting | ","")&amp;IF(COUNTIF(Settings!$A$14:$A$43,B642)&gt;0,"Holiday posting | ","")&amp;IF(B642&gt;Settings!$C$8,"Posted after close | ","")&amp;IF(OR(B642&lt;Settings!$C$6,B642&gt;Settings!$C$7),"Outside period | ","")&amp;IF(COUNTIF(Settings!$E$14:$E$43,C642&amp;"")&gt;0,"Sensitive account | ","")&amp;IF(AND(MAX(N(E642),N(F642))&gt;=Settings!$C$9,MOD(MAX(N(E642),N(F642)),Settings!$C$10)=0),"Round amount | ",""))-3)))</f>
        <v/>
      </c>
      <c r="M642" s="21" t="str">
        <f aca="false">IF(A642="","",IF(COUNTIF($A$9:A642,A642)=1,MAX($M$8:M641)+1,""))</f>
        <v/>
      </c>
    </row>
    <row r="643" customFormat="false" ht="15" hidden="false" customHeight="false" outlineLevel="0" collapsed="false">
      <c r="A643" s="8"/>
      <c r="B643" s="17"/>
      <c r="C643" s="19"/>
      <c r="D643" s="8"/>
      <c r="E643" s="18"/>
      <c r="F643" s="18"/>
      <c r="G643" s="8"/>
      <c r="H643" s="8"/>
      <c r="I643" s="8"/>
      <c r="J643" s="8"/>
      <c r="K643" s="10" t="str">
        <f aca="false">IF(A643="","",IF(ABS(SUMIFS($E$9:$E$2008,$A$9:$A$2008,A643)-SUMIFS($F$9:$F$2008,$A$9:$A$2008,A643))&lt;0.5,"Yes","No"))</f>
        <v/>
      </c>
      <c r="L643" s="10" t="str">
        <f aca="false">IF(A643="","",IF(IF(K643="No","Does not balance | ","")&amp;IF(I643="","Not approved | ",IF(UPPER(TRIM(H643))=UPPER(TRIM(I643)),"Self-approved | ",""))&amp;IF(J643="","No support | ","")&amp;IF(WEEKDAY(B643,2)&gt;5,"Weekend posting | ","")&amp;IF(COUNTIF(Settings!$A$14:$A$43,B643)&gt;0,"Holiday posting | ","")&amp;IF(B643&gt;Settings!$C$8,"Posted after close | ","")&amp;IF(OR(B643&lt;Settings!$C$6,B643&gt;Settings!$C$7),"Outside period | ","")&amp;IF(COUNTIF(Settings!$E$14:$E$43,C643&amp;"")&gt;0,"Sensitive account | ","")&amp;IF(AND(MAX(N(E643),N(F643))&gt;=Settings!$C$9,MOD(MAX(N(E643),N(F643)),Settings!$C$10)=0),"Round amount | ","")="","",LEFT(IF(K643="No","Does not balance | ","")&amp;IF(I643="","Not approved | ",IF(UPPER(TRIM(H643))=UPPER(TRIM(I643)),"Self-approved | ",""))&amp;IF(J643="","No support | ","")&amp;IF(WEEKDAY(B643,2)&gt;5,"Weekend posting | ","")&amp;IF(COUNTIF(Settings!$A$14:$A$43,B643)&gt;0,"Holiday posting | ","")&amp;IF(B643&gt;Settings!$C$8,"Posted after close | ","")&amp;IF(OR(B643&lt;Settings!$C$6,B643&gt;Settings!$C$7),"Outside period | ","")&amp;IF(COUNTIF(Settings!$E$14:$E$43,C643&amp;"")&gt;0,"Sensitive account | ","")&amp;IF(AND(MAX(N(E643),N(F643))&gt;=Settings!$C$9,MOD(MAX(N(E643),N(F643)),Settings!$C$10)=0),"Round amount | ",""),LEN(IF(K643="No","Does not balance | ","")&amp;IF(I643="","Not approved | ",IF(UPPER(TRIM(H643))=UPPER(TRIM(I643)),"Self-approved | ",""))&amp;IF(J643="","No support | ","")&amp;IF(WEEKDAY(B643,2)&gt;5,"Weekend posting | ","")&amp;IF(COUNTIF(Settings!$A$14:$A$43,B643)&gt;0,"Holiday posting | ","")&amp;IF(B643&gt;Settings!$C$8,"Posted after close | ","")&amp;IF(OR(B643&lt;Settings!$C$6,B643&gt;Settings!$C$7),"Outside period | ","")&amp;IF(COUNTIF(Settings!$E$14:$E$43,C643&amp;"")&gt;0,"Sensitive account | ","")&amp;IF(AND(MAX(N(E643),N(F643))&gt;=Settings!$C$9,MOD(MAX(N(E643),N(F643)),Settings!$C$10)=0),"Round amount | ",""))-3)))</f>
        <v/>
      </c>
      <c r="M643" s="21" t="str">
        <f aca="false">IF(A643="","",IF(COUNTIF($A$9:A643,A643)=1,MAX($M$8:M642)+1,""))</f>
        <v/>
      </c>
    </row>
    <row r="644" customFormat="false" ht="15" hidden="false" customHeight="false" outlineLevel="0" collapsed="false">
      <c r="A644" s="8"/>
      <c r="B644" s="17"/>
      <c r="C644" s="19"/>
      <c r="D644" s="8"/>
      <c r="E644" s="18"/>
      <c r="F644" s="18"/>
      <c r="G644" s="8"/>
      <c r="H644" s="8"/>
      <c r="I644" s="8"/>
      <c r="J644" s="8"/>
      <c r="K644" s="10" t="str">
        <f aca="false">IF(A644="","",IF(ABS(SUMIFS($E$9:$E$2008,$A$9:$A$2008,A644)-SUMIFS($F$9:$F$2008,$A$9:$A$2008,A644))&lt;0.5,"Yes","No"))</f>
        <v/>
      </c>
      <c r="L644" s="10" t="str">
        <f aca="false">IF(A644="","",IF(IF(K644="No","Does not balance | ","")&amp;IF(I644="","Not approved | ",IF(UPPER(TRIM(H644))=UPPER(TRIM(I644)),"Self-approved | ",""))&amp;IF(J644="","No support | ","")&amp;IF(WEEKDAY(B644,2)&gt;5,"Weekend posting | ","")&amp;IF(COUNTIF(Settings!$A$14:$A$43,B644)&gt;0,"Holiday posting | ","")&amp;IF(B644&gt;Settings!$C$8,"Posted after close | ","")&amp;IF(OR(B644&lt;Settings!$C$6,B644&gt;Settings!$C$7),"Outside period | ","")&amp;IF(COUNTIF(Settings!$E$14:$E$43,C644&amp;"")&gt;0,"Sensitive account | ","")&amp;IF(AND(MAX(N(E644),N(F644))&gt;=Settings!$C$9,MOD(MAX(N(E644),N(F644)),Settings!$C$10)=0),"Round amount | ","")="","",LEFT(IF(K644="No","Does not balance | ","")&amp;IF(I644="","Not approved | ",IF(UPPER(TRIM(H644))=UPPER(TRIM(I644)),"Self-approved | ",""))&amp;IF(J644="","No support | ","")&amp;IF(WEEKDAY(B644,2)&gt;5,"Weekend posting | ","")&amp;IF(COUNTIF(Settings!$A$14:$A$43,B644)&gt;0,"Holiday posting | ","")&amp;IF(B644&gt;Settings!$C$8,"Posted after close | ","")&amp;IF(OR(B644&lt;Settings!$C$6,B644&gt;Settings!$C$7),"Outside period | ","")&amp;IF(COUNTIF(Settings!$E$14:$E$43,C644&amp;"")&gt;0,"Sensitive account | ","")&amp;IF(AND(MAX(N(E644),N(F644))&gt;=Settings!$C$9,MOD(MAX(N(E644),N(F644)),Settings!$C$10)=0),"Round amount | ",""),LEN(IF(K644="No","Does not balance | ","")&amp;IF(I644="","Not approved | ",IF(UPPER(TRIM(H644))=UPPER(TRIM(I644)),"Self-approved | ",""))&amp;IF(J644="","No support | ","")&amp;IF(WEEKDAY(B644,2)&gt;5,"Weekend posting | ","")&amp;IF(COUNTIF(Settings!$A$14:$A$43,B644)&gt;0,"Holiday posting | ","")&amp;IF(B644&gt;Settings!$C$8,"Posted after close | ","")&amp;IF(OR(B644&lt;Settings!$C$6,B644&gt;Settings!$C$7),"Outside period | ","")&amp;IF(COUNTIF(Settings!$E$14:$E$43,C644&amp;"")&gt;0,"Sensitive account | ","")&amp;IF(AND(MAX(N(E644),N(F644))&gt;=Settings!$C$9,MOD(MAX(N(E644),N(F644)),Settings!$C$10)=0),"Round amount | ",""))-3)))</f>
        <v/>
      </c>
      <c r="M644" s="21" t="str">
        <f aca="false">IF(A644="","",IF(COUNTIF($A$9:A644,A644)=1,MAX($M$8:M643)+1,""))</f>
        <v/>
      </c>
    </row>
    <row r="645" customFormat="false" ht="15" hidden="false" customHeight="false" outlineLevel="0" collapsed="false">
      <c r="A645" s="8"/>
      <c r="B645" s="17"/>
      <c r="C645" s="19"/>
      <c r="D645" s="8"/>
      <c r="E645" s="18"/>
      <c r="F645" s="18"/>
      <c r="G645" s="8"/>
      <c r="H645" s="8"/>
      <c r="I645" s="8"/>
      <c r="J645" s="8"/>
      <c r="K645" s="10" t="str">
        <f aca="false">IF(A645="","",IF(ABS(SUMIFS($E$9:$E$2008,$A$9:$A$2008,A645)-SUMIFS($F$9:$F$2008,$A$9:$A$2008,A645))&lt;0.5,"Yes","No"))</f>
        <v/>
      </c>
      <c r="L645" s="10" t="str">
        <f aca="false">IF(A645="","",IF(IF(K645="No","Does not balance | ","")&amp;IF(I645="","Not approved | ",IF(UPPER(TRIM(H645))=UPPER(TRIM(I645)),"Self-approved | ",""))&amp;IF(J645="","No support | ","")&amp;IF(WEEKDAY(B645,2)&gt;5,"Weekend posting | ","")&amp;IF(COUNTIF(Settings!$A$14:$A$43,B645)&gt;0,"Holiday posting | ","")&amp;IF(B645&gt;Settings!$C$8,"Posted after close | ","")&amp;IF(OR(B645&lt;Settings!$C$6,B645&gt;Settings!$C$7),"Outside period | ","")&amp;IF(COUNTIF(Settings!$E$14:$E$43,C645&amp;"")&gt;0,"Sensitive account | ","")&amp;IF(AND(MAX(N(E645),N(F645))&gt;=Settings!$C$9,MOD(MAX(N(E645),N(F645)),Settings!$C$10)=0),"Round amount | ","")="","",LEFT(IF(K645="No","Does not balance | ","")&amp;IF(I645="","Not approved | ",IF(UPPER(TRIM(H645))=UPPER(TRIM(I645)),"Self-approved | ",""))&amp;IF(J645="","No support | ","")&amp;IF(WEEKDAY(B645,2)&gt;5,"Weekend posting | ","")&amp;IF(COUNTIF(Settings!$A$14:$A$43,B645)&gt;0,"Holiday posting | ","")&amp;IF(B645&gt;Settings!$C$8,"Posted after close | ","")&amp;IF(OR(B645&lt;Settings!$C$6,B645&gt;Settings!$C$7),"Outside period | ","")&amp;IF(COUNTIF(Settings!$E$14:$E$43,C645&amp;"")&gt;0,"Sensitive account | ","")&amp;IF(AND(MAX(N(E645),N(F645))&gt;=Settings!$C$9,MOD(MAX(N(E645),N(F645)),Settings!$C$10)=0),"Round amount | ",""),LEN(IF(K645="No","Does not balance | ","")&amp;IF(I645="","Not approved | ",IF(UPPER(TRIM(H645))=UPPER(TRIM(I645)),"Self-approved | ",""))&amp;IF(J645="","No support | ","")&amp;IF(WEEKDAY(B645,2)&gt;5,"Weekend posting | ","")&amp;IF(COUNTIF(Settings!$A$14:$A$43,B645)&gt;0,"Holiday posting | ","")&amp;IF(B645&gt;Settings!$C$8,"Posted after close | ","")&amp;IF(OR(B645&lt;Settings!$C$6,B645&gt;Settings!$C$7),"Outside period | ","")&amp;IF(COUNTIF(Settings!$E$14:$E$43,C645&amp;"")&gt;0,"Sensitive account | ","")&amp;IF(AND(MAX(N(E645),N(F645))&gt;=Settings!$C$9,MOD(MAX(N(E645),N(F645)),Settings!$C$10)=0),"Round amount | ",""))-3)))</f>
        <v/>
      </c>
      <c r="M645" s="21" t="str">
        <f aca="false">IF(A645="","",IF(COUNTIF($A$9:A645,A645)=1,MAX($M$8:M644)+1,""))</f>
        <v/>
      </c>
    </row>
    <row r="646" customFormat="false" ht="15" hidden="false" customHeight="false" outlineLevel="0" collapsed="false">
      <c r="A646" s="8"/>
      <c r="B646" s="17"/>
      <c r="C646" s="19"/>
      <c r="D646" s="8"/>
      <c r="E646" s="18"/>
      <c r="F646" s="18"/>
      <c r="G646" s="8"/>
      <c r="H646" s="8"/>
      <c r="I646" s="8"/>
      <c r="J646" s="8"/>
      <c r="K646" s="10" t="str">
        <f aca="false">IF(A646="","",IF(ABS(SUMIFS($E$9:$E$2008,$A$9:$A$2008,A646)-SUMIFS($F$9:$F$2008,$A$9:$A$2008,A646))&lt;0.5,"Yes","No"))</f>
        <v/>
      </c>
      <c r="L646" s="10" t="str">
        <f aca="false">IF(A646="","",IF(IF(K646="No","Does not balance | ","")&amp;IF(I646="","Not approved | ",IF(UPPER(TRIM(H646))=UPPER(TRIM(I646)),"Self-approved | ",""))&amp;IF(J646="","No support | ","")&amp;IF(WEEKDAY(B646,2)&gt;5,"Weekend posting | ","")&amp;IF(COUNTIF(Settings!$A$14:$A$43,B646)&gt;0,"Holiday posting | ","")&amp;IF(B646&gt;Settings!$C$8,"Posted after close | ","")&amp;IF(OR(B646&lt;Settings!$C$6,B646&gt;Settings!$C$7),"Outside period | ","")&amp;IF(COUNTIF(Settings!$E$14:$E$43,C646&amp;"")&gt;0,"Sensitive account | ","")&amp;IF(AND(MAX(N(E646),N(F646))&gt;=Settings!$C$9,MOD(MAX(N(E646),N(F646)),Settings!$C$10)=0),"Round amount | ","")="","",LEFT(IF(K646="No","Does not balance | ","")&amp;IF(I646="","Not approved | ",IF(UPPER(TRIM(H646))=UPPER(TRIM(I646)),"Self-approved | ",""))&amp;IF(J646="","No support | ","")&amp;IF(WEEKDAY(B646,2)&gt;5,"Weekend posting | ","")&amp;IF(COUNTIF(Settings!$A$14:$A$43,B646)&gt;0,"Holiday posting | ","")&amp;IF(B646&gt;Settings!$C$8,"Posted after close | ","")&amp;IF(OR(B646&lt;Settings!$C$6,B646&gt;Settings!$C$7),"Outside period | ","")&amp;IF(COUNTIF(Settings!$E$14:$E$43,C646&amp;"")&gt;0,"Sensitive account | ","")&amp;IF(AND(MAX(N(E646),N(F646))&gt;=Settings!$C$9,MOD(MAX(N(E646),N(F646)),Settings!$C$10)=0),"Round amount | ",""),LEN(IF(K646="No","Does not balance | ","")&amp;IF(I646="","Not approved | ",IF(UPPER(TRIM(H646))=UPPER(TRIM(I646)),"Self-approved | ",""))&amp;IF(J646="","No support | ","")&amp;IF(WEEKDAY(B646,2)&gt;5,"Weekend posting | ","")&amp;IF(COUNTIF(Settings!$A$14:$A$43,B646)&gt;0,"Holiday posting | ","")&amp;IF(B646&gt;Settings!$C$8,"Posted after close | ","")&amp;IF(OR(B646&lt;Settings!$C$6,B646&gt;Settings!$C$7),"Outside period | ","")&amp;IF(COUNTIF(Settings!$E$14:$E$43,C646&amp;"")&gt;0,"Sensitive account | ","")&amp;IF(AND(MAX(N(E646),N(F646))&gt;=Settings!$C$9,MOD(MAX(N(E646),N(F646)),Settings!$C$10)=0),"Round amount | ",""))-3)))</f>
        <v/>
      </c>
      <c r="M646" s="21" t="str">
        <f aca="false">IF(A646="","",IF(COUNTIF($A$9:A646,A646)=1,MAX($M$8:M645)+1,""))</f>
        <v/>
      </c>
    </row>
    <row r="647" customFormat="false" ht="15" hidden="false" customHeight="false" outlineLevel="0" collapsed="false">
      <c r="A647" s="8"/>
      <c r="B647" s="17"/>
      <c r="C647" s="19"/>
      <c r="D647" s="8"/>
      <c r="E647" s="18"/>
      <c r="F647" s="18"/>
      <c r="G647" s="8"/>
      <c r="H647" s="8"/>
      <c r="I647" s="8"/>
      <c r="J647" s="8"/>
      <c r="K647" s="10" t="str">
        <f aca="false">IF(A647="","",IF(ABS(SUMIFS($E$9:$E$2008,$A$9:$A$2008,A647)-SUMIFS($F$9:$F$2008,$A$9:$A$2008,A647))&lt;0.5,"Yes","No"))</f>
        <v/>
      </c>
      <c r="L647" s="10" t="str">
        <f aca="false">IF(A647="","",IF(IF(K647="No","Does not balance | ","")&amp;IF(I647="","Not approved | ",IF(UPPER(TRIM(H647))=UPPER(TRIM(I647)),"Self-approved | ",""))&amp;IF(J647="","No support | ","")&amp;IF(WEEKDAY(B647,2)&gt;5,"Weekend posting | ","")&amp;IF(COUNTIF(Settings!$A$14:$A$43,B647)&gt;0,"Holiday posting | ","")&amp;IF(B647&gt;Settings!$C$8,"Posted after close | ","")&amp;IF(OR(B647&lt;Settings!$C$6,B647&gt;Settings!$C$7),"Outside period | ","")&amp;IF(COUNTIF(Settings!$E$14:$E$43,C647&amp;"")&gt;0,"Sensitive account | ","")&amp;IF(AND(MAX(N(E647),N(F647))&gt;=Settings!$C$9,MOD(MAX(N(E647),N(F647)),Settings!$C$10)=0),"Round amount | ","")="","",LEFT(IF(K647="No","Does not balance | ","")&amp;IF(I647="","Not approved | ",IF(UPPER(TRIM(H647))=UPPER(TRIM(I647)),"Self-approved | ",""))&amp;IF(J647="","No support | ","")&amp;IF(WEEKDAY(B647,2)&gt;5,"Weekend posting | ","")&amp;IF(COUNTIF(Settings!$A$14:$A$43,B647)&gt;0,"Holiday posting | ","")&amp;IF(B647&gt;Settings!$C$8,"Posted after close | ","")&amp;IF(OR(B647&lt;Settings!$C$6,B647&gt;Settings!$C$7),"Outside period | ","")&amp;IF(COUNTIF(Settings!$E$14:$E$43,C647&amp;"")&gt;0,"Sensitive account | ","")&amp;IF(AND(MAX(N(E647),N(F647))&gt;=Settings!$C$9,MOD(MAX(N(E647),N(F647)),Settings!$C$10)=0),"Round amount | ",""),LEN(IF(K647="No","Does not balance | ","")&amp;IF(I647="","Not approved | ",IF(UPPER(TRIM(H647))=UPPER(TRIM(I647)),"Self-approved | ",""))&amp;IF(J647="","No support | ","")&amp;IF(WEEKDAY(B647,2)&gt;5,"Weekend posting | ","")&amp;IF(COUNTIF(Settings!$A$14:$A$43,B647)&gt;0,"Holiday posting | ","")&amp;IF(B647&gt;Settings!$C$8,"Posted after close | ","")&amp;IF(OR(B647&lt;Settings!$C$6,B647&gt;Settings!$C$7),"Outside period | ","")&amp;IF(COUNTIF(Settings!$E$14:$E$43,C647&amp;"")&gt;0,"Sensitive account | ","")&amp;IF(AND(MAX(N(E647),N(F647))&gt;=Settings!$C$9,MOD(MAX(N(E647),N(F647)),Settings!$C$10)=0),"Round amount | ",""))-3)))</f>
        <v/>
      </c>
      <c r="M647" s="21" t="str">
        <f aca="false">IF(A647="","",IF(COUNTIF($A$9:A647,A647)=1,MAX($M$8:M646)+1,""))</f>
        <v/>
      </c>
    </row>
    <row r="648" customFormat="false" ht="15" hidden="false" customHeight="false" outlineLevel="0" collapsed="false">
      <c r="A648" s="8"/>
      <c r="B648" s="17"/>
      <c r="C648" s="19"/>
      <c r="D648" s="8"/>
      <c r="E648" s="18"/>
      <c r="F648" s="18"/>
      <c r="G648" s="8"/>
      <c r="H648" s="8"/>
      <c r="I648" s="8"/>
      <c r="J648" s="8"/>
      <c r="K648" s="10" t="str">
        <f aca="false">IF(A648="","",IF(ABS(SUMIFS($E$9:$E$2008,$A$9:$A$2008,A648)-SUMIFS($F$9:$F$2008,$A$9:$A$2008,A648))&lt;0.5,"Yes","No"))</f>
        <v/>
      </c>
      <c r="L648" s="10" t="str">
        <f aca="false">IF(A648="","",IF(IF(K648="No","Does not balance | ","")&amp;IF(I648="","Not approved | ",IF(UPPER(TRIM(H648))=UPPER(TRIM(I648)),"Self-approved | ",""))&amp;IF(J648="","No support | ","")&amp;IF(WEEKDAY(B648,2)&gt;5,"Weekend posting | ","")&amp;IF(COUNTIF(Settings!$A$14:$A$43,B648)&gt;0,"Holiday posting | ","")&amp;IF(B648&gt;Settings!$C$8,"Posted after close | ","")&amp;IF(OR(B648&lt;Settings!$C$6,B648&gt;Settings!$C$7),"Outside period | ","")&amp;IF(COUNTIF(Settings!$E$14:$E$43,C648&amp;"")&gt;0,"Sensitive account | ","")&amp;IF(AND(MAX(N(E648),N(F648))&gt;=Settings!$C$9,MOD(MAX(N(E648),N(F648)),Settings!$C$10)=0),"Round amount | ","")="","",LEFT(IF(K648="No","Does not balance | ","")&amp;IF(I648="","Not approved | ",IF(UPPER(TRIM(H648))=UPPER(TRIM(I648)),"Self-approved | ",""))&amp;IF(J648="","No support | ","")&amp;IF(WEEKDAY(B648,2)&gt;5,"Weekend posting | ","")&amp;IF(COUNTIF(Settings!$A$14:$A$43,B648)&gt;0,"Holiday posting | ","")&amp;IF(B648&gt;Settings!$C$8,"Posted after close | ","")&amp;IF(OR(B648&lt;Settings!$C$6,B648&gt;Settings!$C$7),"Outside period | ","")&amp;IF(COUNTIF(Settings!$E$14:$E$43,C648&amp;"")&gt;0,"Sensitive account | ","")&amp;IF(AND(MAX(N(E648),N(F648))&gt;=Settings!$C$9,MOD(MAX(N(E648),N(F648)),Settings!$C$10)=0),"Round amount | ",""),LEN(IF(K648="No","Does not balance | ","")&amp;IF(I648="","Not approved | ",IF(UPPER(TRIM(H648))=UPPER(TRIM(I648)),"Self-approved | ",""))&amp;IF(J648="","No support | ","")&amp;IF(WEEKDAY(B648,2)&gt;5,"Weekend posting | ","")&amp;IF(COUNTIF(Settings!$A$14:$A$43,B648)&gt;0,"Holiday posting | ","")&amp;IF(B648&gt;Settings!$C$8,"Posted after close | ","")&amp;IF(OR(B648&lt;Settings!$C$6,B648&gt;Settings!$C$7),"Outside period | ","")&amp;IF(COUNTIF(Settings!$E$14:$E$43,C648&amp;"")&gt;0,"Sensitive account | ","")&amp;IF(AND(MAX(N(E648),N(F648))&gt;=Settings!$C$9,MOD(MAX(N(E648),N(F648)),Settings!$C$10)=0),"Round amount | ",""))-3)))</f>
        <v/>
      </c>
      <c r="M648" s="21" t="str">
        <f aca="false">IF(A648="","",IF(COUNTIF($A$9:A648,A648)=1,MAX($M$8:M647)+1,""))</f>
        <v/>
      </c>
    </row>
    <row r="649" customFormat="false" ht="15" hidden="false" customHeight="false" outlineLevel="0" collapsed="false">
      <c r="A649" s="8"/>
      <c r="B649" s="17"/>
      <c r="C649" s="19"/>
      <c r="D649" s="8"/>
      <c r="E649" s="18"/>
      <c r="F649" s="18"/>
      <c r="G649" s="8"/>
      <c r="H649" s="8"/>
      <c r="I649" s="8"/>
      <c r="J649" s="8"/>
      <c r="K649" s="10" t="str">
        <f aca="false">IF(A649="","",IF(ABS(SUMIFS($E$9:$E$2008,$A$9:$A$2008,A649)-SUMIFS($F$9:$F$2008,$A$9:$A$2008,A649))&lt;0.5,"Yes","No"))</f>
        <v/>
      </c>
      <c r="L649" s="10" t="str">
        <f aca="false">IF(A649="","",IF(IF(K649="No","Does not balance | ","")&amp;IF(I649="","Not approved | ",IF(UPPER(TRIM(H649))=UPPER(TRIM(I649)),"Self-approved | ",""))&amp;IF(J649="","No support | ","")&amp;IF(WEEKDAY(B649,2)&gt;5,"Weekend posting | ","")&amp;IF(COUNTIF(Settings!$A$14:$A$43,B649)&gt;0,"Holiday posting | ","")&amp;IF(B649&gt;Settings!$C$8,"Posted after close | ","")&amp;IF(OR(B649&lt;Settings!$C$6,B649&gt;Settings!$C$7),"Outside period | ","")&amp;IF(COUNTIF(Settings!$E$14:$E$43,C649&amp;"")&gt;0,"Sensitive account | ","")&amp;IF(AND(MAX(N(E649),N(F649))&gt;=Settings!$C$9,MOD(MAX(N(E649),N(F649)),Settings!$C$10)=0),"Round amount | ","")="","",LEFT(IF(K649="No","Does not balance | ","")&amp;IF(I649="","Not approved | ",IF(UPPER(TRIM(H649))=UPPER(TRIM(I649)),"Self-approved | ",""))&amp;IF(J649="","No support | ","")&amp;IF(WEEKDAY(B649,2)&gt;5,"Weekend posting | ","")&amp;IF(COUNTIF(Settings!$A$14:$A$43,B649)&gt;0,"Holiday posting | ","")&amp;IF(B649&gt;Settings!$C$8,"Posted after close | ","")&amp;IF(OR(B649&lt;Settings!$C$6,B649&gt;Settings!$C$7),"Outside period | ","")&amp;IF(COUNTIF(Settings!$E$14:$E$43,C649&amp;"")&gt;0,"Sensitive account | ","")&amp;IF(AND(MAX(N(E649),N(F649))&gt;=Settings!$C$9,MOD(MAX(N(E649),N(F649)),Settings!$C$10)=0),"Round amount | ",""),LEN(IF(K649="No","Does not balance | ","")&amp;IF(I649="","Not approved | ",IF(UPPER(TRIM(H649))=UPPER(TRIM(I649)),"Self-approved | ",""))&amp;IF(J649="","No support | ","")&amp;IF(WEEKDAY(B649,2)&gt;5,"Weekend posting | ","")&amp;IF(COUNTIF(Settings!$A$14:$A$43,B649)&gt;0,"Holiday posting | ","")&amp;IF(B649&gt;Settings!$C$8,"Posted after close | ","")&amp;IF(OR(B649&lt;Settings!$C$6,B649&gt;Settings!$C$7),"Outside period | ","")&amp;IF(COUNTIF(Settings!$E$14:$E$43,C649&amp;"")&gt;0,"Sensitive account | ","")&amp;IF(AND(MAX(N(E649),N(F649))&gt;=Settings!$C$9,MOD(MAX(N(E649),N(F649)),Settings!$C$10)=0),"Round amount | ",""))-3)))</f>
        <v/>
      </c>
      <c r="M649" s="21" t="str">
        <f aca="false">IF(A649="","",IF(COUNTIF($A$9:A649,A649)=1,MAX($M$8:M648)+1,""))</f>
        <v/>
      </c>
    </row>
    <row r="650" customFormat="false" ht="15" hidden="false" customHeight="false" outlineLevel="0" collapsed="false">
      <c r="A650" s="8"/>
      <c r="B650" s="17"/>
      <c r="C650" s="19"/>
      <c r="D650" s="8"/>
      <c r="E650" s="18"/>
      <c r="F650" s="18"/>
      <c r="G650" s="8"/>
      <c r="H650" s="8"/>
      <c r="I650" s="8"/>
      <c r="J650" s="8"/>
      <c r="K650" s="10" t="str">
        <f aca="false">IF(A650="","",IF(ABS(SUMIFS($E$9:$E$2008,$A$9:$A$2008,A650)-SUMIFS($F$9:$F$2008,$A$9:$A$2008,A650))&lt;0.5,"Yes","No"))</f>
        <v/>
      </c>
      <c r="L650" s="10" t="str">
        <f aca="false">IF(A650="","",IF(IF(K650="No","Does not balance | ","")&amp;IF(I650="","Not approved | ",IF(UPPER(TRIM(H650))=UPPER(TRIM(I650)),"Self-approved | ",""))&amp;IF(J650="","No support | ","")&amp;IF(WEEKDAY(B650,2)&gt;5,"Weekend posting | ","")&amp;IF(COUNTIF(Settings!$A$14:$A$43,B650)&gt;0,"Holiday posting | ","")&amp;IF(B650&gt;Settings!$C$8,"Posted after close | ","")&amp;IF(OR(B650&lt;Settings!$C$6,B650&gt;Settings!$C$7),"Outside period | ","")&amp;IF(COUNTIF(Settings!$E$14:$E$43,C650&amp;"")&gt;0,"Sensitive account | ","")&amp;IF(AND(MAX(N(E650),N(F650))&gt;=Settings!$C$9,MOD(MAX(N(E650),N(F650)),Settings!$C$10)=0),"Round amount | ","")="","",LEFT(IF(K650="No","Does not balance | ","")&amp;IF(I650="","Not approved | ",IF(UPPER(TRIM(H650))=UPPER(TRIM(I650)),"Self-approved | ",""))&amp;IF(J650="","No support | ","")&amp;IF(WEEKDAY(B650,2)&gt;5,"Weekend posting | ","")&amp;IF(COUNTIF(Settings!$A$14:$A$43,B650)&gt;0,"Holiday posting | ","")&amp;IF(B650&gt;Settings!$C$8,"Posted after close | ","")&amp;IF(OR(B650&lt;Settings!$C$6,B650&gt;Settings!$C$7),"Outside period | ","")&amp;IF(COUNTIF(Settings!$E$14:$E$43,C650&amp;"")&gt;0,"Sensitive account | ","")&amp;IF(AND(MAX(N(E650),N(F650))&gt;=Settings!$C$9,MOD(MAX(N(E650),N(F650)),Settings!$C$10)=0),"Round amount | ",""),LEN(IF(K650="No","Does not balance | ","")&amp;IF(I650="","Not approved | ",IF(UPPER(TRIM(H650))=UPPER(TRIM(I650)),"Self-approved | ",""))&amp;IF(J650="","No support | ","")&amp;IF(WEEKDAY(B650,2)&gt;5,"Weekend posting | ","")&amp;IF(COUNTIF(Settings!$A$14:$A$43,B650)&gt;0,"Holiday posting | ","")&amp;IF(B650&gt;Settings!$C$8,"Posted after close | ","")&amp;IF(OR(B650&lt;Settings!$C$6,B650&gt;Settings!$C$7),"Outside period | ","")&amp;IF(COUNTIF(Settings!$E$14:$E$43,C650&amp;"")&gt;0,"Sensitive account | ","")&amp;IF(AND(MAX(N(E650),N(F650))&gt;=Settings!$C$9,MOD(MAX(N(E650),N(F650)),Settings!$C$10)=0),"Round amount | ",""))-3)))</f>
        <v/>
      </c>
      <c r="M650" s="21" t="str">
        <f aca="false">IF(A650="","",IF(COUNTIF($A$9:A650,A650)=1,MAX($M$8:M649)+1,""))</f>
        <v/>
      </c>
    </row>
    <row r="651" customFormat="false" ht="15" hidden="false" customHeight="false" outlineLevel="0" collapsed="false">
      <c r="A651" s="8"/>
      <c r="B651" s="17"/>
      <c r="C651" s="19"/>
      <c r="D651" s="8"/>
      <c r="E651" s="18"/>
      <c r="F651" s="18"/>
      <c r="G651" s="8"/>
      <c r="H651" s="8"/>
      <c r="I651" s="8"/>
      <c r="J651" s="8"/>
      <c r="K651" s="10" t="str">
        <f aca="false">IF(A651="","",IF(ABS(SUMIFS($E$9:$E$2008,$A$9:$A$2008,A651)-SUMIFS($F$9:$F$2008,$A$9:$A$2008,A651))&lt;0.5,"Yes","No"))</f>
        <v/>
      </c>
      <c r="L651" s="10" t="str">
        <f aca="false">IF(A651="","",IF(IF(K651="No","Does not balance | ","")&amp;IF(I651="","Not approved | ",IF(UPPER(TRIM(H651))=UPPER(TRIM(I651)),"Self-approved | ",""))&amp;IF(J651="","No support | ","")&amp;IF(WEEKDAY(B651,2)&gt;5,"Weekend posting | ","")&amp;IF(COUNTIF(Settings!$A$14:$A$43,B651)&gt;0,"Holiday posting | ","")&amp;IF(B651&gt;Settings!$C$8,"Posted after close | ","")&amp;IF(OR(B651&lt;Settings!$C$6,B651&gt;Settings!$C$7),"Outside period | ","")&amp;IF(COUNTIF(Settings!$E$14:$E$43,C651&amp;"")&gt;0,"Sensitive account | ","")&amp;IF(AND(MAX(N(E651),N(F651))&gt;=Settings!$C$9,MOD(MAX(N(E651),N(F651)),Settings!$C$10)=0),"Round amount | ","")="","",LEFT(IF(K651="No","Does not balance | ","")&amp;IF(I651="","Not approved | ",IF(UPPER(TRIM(H651))=UPPER(TRIM(I651)),"Self-approved | ",""))&amp;IF(J651="","No support | ","")&amp;IF(WEEKDAY(B651,2)&gt;5,"Weekend posting | ","")&amp;IF(COUNTIF(Settings!$A$14:$A$43,B651)&gt;0,"Holiday posting | ","")&amp;IF(B651&gt;Settings!$C$8,"Posted after close | ","")&amp;IF(OR(B651&lt;Settings!$C$6,B651&gt;Settings!$C$7),"Outside period | ","")&amp;IF(COUNTIF(Settings!$E$14:$E$43,C651&amp;"")&gt;0,"Sensitive account | ","")&amp;IF(AND(MAX(N(E651),N(F651))&gt;=Settings!$C$9,MOD(MAX(N(E651),N(F651)),Settings!$C$10)=0),"Round amount | ",""),LEN(IF(K651="No","Does not balance | ","")&amp;IF(I651="","Not approved | ",IF(UPPER(TRIM(H651))=UPPER(TRIM(I651)),"Self-approved | ",""))&amp;IF(J651="","No support | ","")&amp;IF(WEEKDAY(B651,2)&gt;5,"Weekend posting | ","")&amp;IF(COUNTIF(Settings!$A$14:$A$43,B651)&gt;0,"Holiday posting | ","")&amp;IF(B651&gt;Settings!$C$8,"Posted after close | ","")&amp;IF(OR(B651&lt;Settings!$C$6,B651&gt;Settings!$C$7),"Outside period | ","")&amp;IF(COUNTIF(Settings!$E$14:$E$43,C651&amp;"")&gt;0,"Sensitive account | ","")&amp;IF(AND(MAX(N(E651),N(F651))&gt;=Settings!$C$9,MOD(MAX(N(E651),N(F651)),Settings!$C$10)=0),"Round amount | ",""))-3)))</f>
        <v/>
      </c>
      <c r="M651" s="21" t="str">
        <f aca="false">IF(A651="","",IF(COUNTIF($A$9:A651,A651)=1,MAX($M$8:M650)+1,""))</f>
        <v/>
      </c>
    </row>
    <row r="652" customFormat="false" ht="15" hidden="false" customHeight="false" outlineLevel="0" collapsed="false">
      <c r="A652" s="8"/>
      <c r="B652" s="17"/>
      <c r="C652" s="19"/>
      <c r="D652" s="8"/>
      <c r="E652" s="18"/>
      <c r="F652" s="18"/>
      <c r="G652" s="8"/>
      <c r="H652" s="8"/>
      <c r="I652" s="8"/>
      <c r="J652" s="8"/>
      <c r="K652" s="10" t="str">
        <f aca="false">IF(A652="","",IF(ABS(SUMIFS($E$9:$E$2008,$A$9:$A$2008,A652)-SUMIFS($F$9:$F$2008,$A$9:$A$2008,A652))&lt;0.5,"Yes","No"))</f>
        <v/>
      </c>
      <c r="L652" s="10" t="str">
        <f aca="false">IF(A652="","",IF(IF(K652="No","Does not balance | ","")&amp;IF(I652="","Not approved | ",IF(UPPER(TRIM(H652))=UPPER(TRIM(I652)),"Self-approved | ",""))&amp;IF(J652="","No support | ","")&amp;IF(WEEKDAY(B652,2)&gt;5,"Weekend posting | ","")&amp;IF(COUNTIF(Settings!$A$14:$A$43,B652)&gt;0,"Holiday posting | ","")&amp;IF(B652&gt;Settings!$C$8,"Posted after close | ","")&amp;IF(OR(B652&lt;Settings!$C$6,B652&gt;Settings!$C$7),"Outside period | ","")&amp;IF(COUNTIF(Settings!$E$14:$E$43,C652&amp;"")&gt;0,"Sensitive account | ","")&amp;IF(AND(MAX(N(E652),N(F652))&gt;=Settings!$C$9,MOD(MAX(N(E652),N(F652)),Settings!$C$10)=0),"Round amount | ","")="","",LEFT(IF(K652="No","Does not balance | ","")&amp;IF(I652="","Not approved | ",IF(UPPER(TRIM(H652))=UPPER(TRIM(I652)),"Self-approved | ",""))&amp;IF(J652="","No support | ","")&amp;IF(WEEKDAY(B652,2)&gt;5,"Weekend posting | ","")&amp;IF(COUNTIF(Settings!$A$14:$A$43,B652)&gt;0,"Holiday posting | ","")&amp;IF(B652&gt;Settings!$C$8,"Posted after close | ","")&amp;IF(OR(B652&lt;Settings!$C$6,B652&gt;Settings!$C$7),"Outside period | ","")&amp;IF(COUNTIF(Settings!$E$14:$E$43,C652&amp;"")&gt;0,"Sensitive account | ","")&amp;IF(AND(MAX(N(E652),N(F652))&gt;=Settings!$C$9,MOD(MAX(N(E652),N(F652)),Settings!$C$10)=0),"Round amount | ",""),LEN(IF(K652="No","Does not balance | ","")&amp;IF(I652="","Not approved | ",IF(UPPER(TRIM(H652))=UPPER(TRIM(I652)),"Self-approved | ",""))&amp;IF(J652="","No support | ","")&amp;IF(WEEKDAY(B652,2)&gt;5,"Weekend posting | ","")&amp;IF(COUNTIF(Settings!$A$14:$A$43,B652)&gt;0,"Holiday posting | ","")&amp;IF(B652&gt;Settings!$C$8,"Posted after close | ","")&amp;IF(OR(B652&lt;Settings!$C$6,B652&gt;Settings!$C$7),"Outside period | ","")&amp;IF(COUNTIF(Settings!$E$14:$E$43,C652&amp;"")&gt;0,"Sensitive account | ","")&amp;IF(AND(MAX(N(E652),N(F652))&gt;=Settings!$C$9,MOD(MAX(N(E652),N(F652)),Settings!$C$10)=0),"Round amount | ",""))-3)))</f>
        <v/>
      </c>
      <c r="M652" s="21" t="str">
        <f aca="false">IF(A652="","",IF(COUNTIF($A$9:A652,A652)=1,MAX($M$8:M651)+1,""))</f>
        <v/>
      </c>
    </row>
    <row r="653" customFormat="false" ht="15" hidden="false" customHeight="false" outlineLevel="0" collapsed="false">
      <c r="A653" s="8"/>
      <c r="B653" s="17"/>
      <c r="C653" s="19"/>
      <c r="D653" s="8"/>
      <c r="E653" s="18"/>
      <c r="F653" s="18"/>
      <c r="G653" s="8"/>
      <c r="H653" s="8"/>
      <c r="I653" s="8"/>
      <c r="J653" s="8"/>
      <c r="K653" s="10" t="str">
        <f aca="false">IF(A653="","",IF(ABS(SUMIFS($E$9:$E$2008,$A$9:$A$2008,A653)-SUMIFS($F$9:$F$2008,$A$9:$A$2008,A653))&lt;0.5,"Yes","No"))</f>
        <v/>
      </c>
      <c r="L653" s="10" t="str">
        <f aca="false">IF(A653="","",IF(IF(K653="No","Does not balance | ","")&amp;IF(I653="","Not approved | ",IF(UPPER(TRIM(H653))=UPPER(TRIM(I653)),"Self-approved | ",""))&amp;IF(J653="","No support | ","")&amp;IF(WEEKDAY(B653,2)&gt;5,"Weekend posting | ","")&amp;IF(COUNTIF(Settings!$A$14:$A$43,B653)&gt;0,"Holiday posting | ","")&amp;IF(B653&gt;Settings!$C$8,"Posted after close | ","")&amp;IF(OR(B653&lt;Settings!$C$6,B653&gt;Settings!$C$7),"Outside period | ","")&amp;IF(COUNTIF(Settings!$E$14:$E$43,C653&amp;"")&gt;0,"Sensitive account | ","")&amp;IF(AND(MAX(N(E653),N(F653))&gt;=Settings!$C$9,MOD(MAX(N(E653),N(F653)),Settings!$C$10)=0),"Round amount | ","")="","",LEFT(IF(K653="No","Does not balance | ","")&amp;IF(I653="","Not approved | ",IF(UPPER(TRIM(H653))=UPPER(TRIM(I653)),"Self-approved | ",""))&amp;IF(J653="","No support | ","")&amp;IF(WEEKDAY(B653,2)&gt;5,"Weekend posting | ","")&amp;IF(COUNTIF(Settings!$A$14:$A$43,B653)&gt;0,"Holiday posting | ","")&amp;IF(B653&gt;Settings!$C$8,"Posted after close | ","")&amp;IF(OR(B653&lt;Settings!$C$6,B653&gt;Settings!$C$7),"Outside period | ","")&amp;IF(COUNTIF(Settings!$E$14:$E$43,C653&amp;"")&gt;0,"Sensitive account | ","")&amp;IF(AND(MAX(N(E653),N(F653))&gt;=Settings!$C$9,MOD(MAX(N(E653),N(F653)),Settings!$C$10)=0),"Round amount | ",""),LEN(IF(K653="No","Does not balance | ","")&amp;IF(I653="","Not approved | ",IF(UPPER(TRIM(H653))=UPPER(TRIM(I653)),"Self-approved | ",""))&amp;IF(J653="","No support | ","")&amp;IF(WEEKDAY(B653,2)&gt;5,"Weekend posting | ","")&amp;IF(COUNTIF(Settings!$A$14:$A$43,B653)&gt;0,"Holiday posting | ","")&amp;IF(B653&gt;Settings!$C$8,"Posted after close | ","")&amp;IF(OR(B653&lt;Settings!$C$6,B653&gt;Settings!$C$7),"Outside period | ","")&amp;IF(COUNTIF(Settings!$E$14:$E$43,C653&amp;"")&gt;0,"Sensitive account | ","")&amp;IF(AND(MAX(N(E653),N(F653))&gt;=Settings!$C$9,MOD(MAX(N(E653),N(F653)),Settings!$C$10)=0),"Round amount | ",""))-3)))</f>
        <v/>
      </c>
      <c r="M653" s="21" t="str">
        <f aca="false">IF(A653="","",IF(COUNTIF($A$9:A653,A653)=1,MAX($M$8:M652)+1,""))</f>
        <v/>
      </c>
    </row>
    <row r="654" customFormat="false" ht="15" hidden="false" customHeight="false" outlineLevel="0" collapsed="false">
      <c r="A654" s="8"/>
      <c r="B654" s="17"/>
      <c r="C654" s="19"/>
      <c r="D654" s="8"/>
      <c r="E654" s="18"/>
      <c r="F654" s="18"/>
      <c r="G654" s="8"/>
      <c r="H654" s="8"/>
      <c r="I654" s="8"/>
      <c r="J654" s="8"/>
      <c r="K654" s="10" t="str">
        <f aca="false">IF(A654="","",IF(ABS(SUMIFS($E$9:$E$2008,$A$9:$A$2008,A654)-SUMIFS($F$9:$F$2008,$A$9:$A$2008,A654))&lt;0.5,"Yes","No"))</f>
        <v/>
      </c>
      <c r="L654" s="10" t="str">
        <f aca="false">IF(A654="","",IF(IF(K654="No","Does not balance | ","")&amp;IF(I654="","Not approved | ",IF(UPPER(TRIM(H654))=UPPER(TRIM(I654)),"Self-approved | ",""))&amp;IF(J654="","No support | ","")&amp;IF(WEEKDAY(B654,2)&gt;5,"Weekend posting | ","")&amp;IF(COUNTIF(Settings!$A$14:$A$43,B654)&gt;0,"Holiday posting | ","")&amp;IF(B654&gt;Settings!$C$8,"Posted after close | ","")&amp;IF(OR(B654&lt;Settings!$C$6,B654&gt;Settings!$C$7),"Outside period | ","")&amp;IF(COUNTIF(Settings!$E$14:$E$43,C654&amp;"")&gt;0,"Sensitive account | ","")&amp;IF(AND(MAX(N(E654),N(F654))&gt;=Settings!$C$9,MOD(MAX(N(E654),N(F654)),Settings!$C$10)=0),"Round amount | ","")="","",LEFT(IF(K654="No","Does not balance | ","")&amp;IF(I654="","Not approved | ",IF(UPPER(TRIM(H654))=UPPER(TRIM(I654)),"Self-approved | ",""))&amp;IF(J654="","No support | ","")&amp;IF(WEEKDAY(B654,2)&gt;5,"Weekend posting | ","")&amp;IF(COUNTIF(Settings!$A$14:$A$43,B654)&gt;0,"Holiday posting | ","")&amp;IF(B654&gt;Settings!$C$8,"Posted after close | ","")&amp;IF(OR(B654&lt;Settings!$C$6,B654&gt;Settings!$C$7),"Outside period | ","")&amp;IF(COUNTIF(Settings!$E$14:$E$43,C654&amp;"")&gt;0,"Sensitive account | ","")&amp;IF(AND(MAX(N(E654),N(F654))&gt;=Settings!$C$9,MOD(MAX(N(E654),N(F654)),Settings!$C$10)=0),"Round amount | ",""),LEN(IF(K654="No","Does not balance | ","")&amp;IF(I654="","Not approved | ",IF(UPPER(TRIM(H654))=UPPER(TRIM(I654)),"Self-approved | ",""))&amp;IF(J654="","No support | ","")&amp;IF(WEEKDAY(B654,2)&gt;5,"Weekend posting | ","")&amp;IF(COUNTIF(Settings!$A$14:$A$43,B654)&gt;0,"Holiday posting | ","")&amp;IF(B654&gt;Settings!$C$8,"Posted after close | ","")&amp;IF(OR(B654&lt;Settings!$C$6,B654&gt;Settings!$C$7),"Outside period | ","")&amp;IF(COUNTIF(Settings!$E$14:$E$43,C654&amp;"")&gt;0,"Sensitive account | ","")&amp;IF(AND(MAX(N(E654),N(F654))&gt;=Settings!$C$9,MOD(MAX(N(E654),N(F654)),Settings!$C$10)=0),"Round amount | ",""))-3)))</f>
        <v/>
      </c>
      <c r="M654" s="21" t="str">
        <f aca="false">IF(A654="","",IF(COUNTIF($A$9:A654,A654)=1,MAX($M$8:M653)+1,""))</f>
        <v/>
      </c>
    </row>
    <row r="655" customFormat="false" ht="15" hidden="false" customHeight="false" outlineLevel="0" collapsed="false">
      <c r="A655" s="8"/>
      <c r="B655" s="17"/>
      <c r="C655" s="19"/>
      <c r="D655" s="8"/>
      <c r="E655" s="18"/>
      <c r="F655" s="18"/>
      <c r="G655" s="8"/>
      <c r="H655" s="8"/>
      <c r="I655" s="8"/>
      <c r="J655" s="8"/>
      <c r="K655" s="10" t="str">
        <f aca="false">IF(A655="","",IF(ABS(SUMIFS($E$9:$E$2008,$A$9:$A$2008,A655)-SUMIFS($F$9:$F$2008,$A$9:$A$2008,A655))&lt;0.5,"Yes","No"))</f>
        <v/>
      </c>
      <c r="L655" s="10" t="str">
        <f aca="false">IF(A655="","",IF(IF(K655="No","Does not balance | ","")&amp;IF(I655="","Not approved | ",IF(UPPER(TRIM(H655))=UPPER(TRIM(I655)),"Self-approved | ",""))&amp;IF(J655="","No support | ","")&amp;IF(WEEKDAY(B655,2)&gt;5,"Weekend posting | ","")&amp;IF(COUNTIF(Settings!$A$14:$A$43,B655)&gt;0,"Holiday posting | ","")&amp;IF(B655&gt;Settings!$C$8,"Posted after close | ","")&amp;IF(OR(B655&lt;Settings!$C$6,B655&gt;Settings!$C$7),"Outside period | ","")&amp;IF(COUNTIF(Settings!$E$14:$E$43,C655&amp;"")&gt;0,"Sensitive account | ","")&amp;IF(AND(MAX(N(E655),N(F655))&gt;=Settings!$C$9,MOD(MAX(N(E655),N(F655)),Settings!$C$10)=0),"Round amount | ","")="","",LEFT(IF(K655="No","Does not balance | ","")&amp;IF(I655="","Not approved | ",IF(UPPER(TRIM(H655))=UPPER(TRIM(I655)),"Self-approved | ",""))&amp;IF(J655="","No support | ","")&amp;IF(WEEKDAY(B655,2)&gt;5,"Weekend posting | ","")&amp;IF(COUNTIF(Settings!$A$14:$A$43,B655)&gt;0,"Holiday posting | ","")&amp;IF(B655&gt;Settings!$C$8,"Posted after close | ","")&amp;IF(OR(B655&lt;Settings!$C$6,B655&gt;Settings!$C$7),"Outside period | ","")&amp;IF(COUNTIF(Settings!$E$14:$E$43,C655&amp;"")&gt;0,"Sensitive account | ","")&amp;IF(AND(MAX(N(E655),N(F655))&gt;=Settings!$C$9,MOD(MAX(N(E655),N(F655)),Settings!$C$10)=0),"Round amount | ",""),LEN(IF(K655="No","Does not balance | ","")&amp;IF(I655="","Not approved | ",IF(UPPER(TRIM(H655))=UPPER(TRIM(I655)),"Self-approved | ",""))&amp;IF(J655="","No support | ","")&amp;IF(WEEKDAY(B655,2)&gt;5,"Weekend posting | ","")&amp;IF(COUNTIF(Settings!$A$14:$A$43,B655)&gt;0,"Holiday posting | ","")&amp;IF(B655&gt;Settings!$C$8,"Posted after close | ","")&amp;IF(OR(B655&lt;Settings!$C$6,B655&gt;Settings!$C$7),"Outside period | ","")&amp;IF(COUNTIF(Settings!$E$14:$E$43,C655&amp;"")&gt;0,"Sensitive account | ","")&amp;IF(AND(MAX(N(E655),N(F655))&gt;=Settings!$C$9,MOD(MAX(N(E655),N(F655)),Settings!$C$10)=0),"Round amount | ",""))-3)))</f>
        <v/>
      </c>
      <c r="M655" s="21" t="str">
        <f aca="false">IF(A655="","",IF(COUNTIF($A$9:A655,A655)=1,MAX($M$8:M654)+1,""))</f>
        <v/>
      </c>
    </row>
    <row r="656" customFormat="false" ht="15" hidden="false" customHeight="false" outlineLevel="0" collapsed="false">
      <c r="A656" s="8"/>
      <c r="B656" s="17"/>
      <c r="C656" s="19"/>
      <c r="D656" s="8"/>
      <c r="E656" s="18"/>
      <c r="F656" s="18"/>
      <c r="G656" s="8"/>
      <c r="H656" s="8"/>
      <c r="I656" s="8"/>
      <c r="J656" s="8"/>
      <c r="K656" s="10" t="str">
        <f aca="false">IF(A656="","",IF(ABS(SUMIFS($E$9:$E$2008,$A$9:$A$2008,A656)-SUMIFS($F$9:$F$2008,$A$9:$A$2008,A656))&lt;0.5,"Yes","No"))</f>
        <v/>
      </c>
      <c r="L656" s="10" t="str">
        <f aca="false">IF(A656="","",IF(IF(K656="No","Does not balance | ","")&amp;IF(I656="","Not approved | ",IF(UPPER(TRIM(H656))=UPPER(TRIM(I656)),"Self-approved | ",""))&amp;IF(J656="","No support | ","")&amp;IF(WEEKDAY(B656,2)&gt;5,"Weekend posting | ","")&amp;IF(COUNTIF(Settings!$A$14:$A$43,B656)&gt;0,"Holiday posting | ","")&amp;IF(B656&gt;Settings!$C$8,"Posted after close | ","")&amp;IF(OR(B656&lt;Settings!$C$6,B656&gt;Settings!$C$7),"Outside period | ","")&amp;IF(COUNTIF(Settings!$E$14:$E$43,C656&amp;"")&gt;0,"Sensitive account | ","")&amp;IF(AND(MAX(N(E656),N(F656))&gt;=Settings!$C$9,MOD(MAX(N(E656),N(F656)),Settings!$C$10)=0),"Round amount | ","")="","",LEFT(IF(K656="No","Does not balance | ","")&amp;IF(I656="","Not approved | ",IF(UPPER(TRIM(H656))=UPPER(TRIM(I656)),"Self-approved | ",""))&amp;IF(J656="","No support | ","")&amp;IF(WEEKDAY(B656,2)&gt;5,"Weekend posting | ","")&amp;IF(COUNTIF(Settings!$A$14:$A$43,B656)&gt;0,"Holiday posting | ","")&amp;IF(B656&gt;Settings!$C$8,"Posted after close | ","")&amp;IF(OR(B656&lt;Settings!$C$6,B656&gt;Settings!$C$7),"Outside period | ","")&amp;IF(COUNTIF(Settings!$E$14:$E$43,C656&amp;"")&gt;0,"Sensitive account | ","")&amp;IF(AND(MAX(N(E656),N(F656))&gt;=Settings!$C$9,MOD(MAX(N(E656),N(F656)),Settings!$C$10)=0),"Round amount | ",""),LEN(IF(K656="No","Does not balance | ","")&amp;IF(I656="","Not approved | ",IF(UPPER(TRIM(H656))=UPPER(TRIM(I656)),"Self-approved | ",""))&amp;IF(J656="","No support | ","")&amp;IF(WEEKDAY(B656,2)&gt;5,"Weekend posting | ","")&amp;IF(COUNTIF(Settings!$A$14:$A$43,B656)&gt;0,"Holiday posting | ","")&amp;IF(B656&gt;Settings!$C$8,"Posted after close | ","")&amp;IF(OR(B656&lt;Settings!$C$6,B656&gt;Settings!$C$7),"Outside period | ","")&amp;IF(COUNTIF(Settings!$E$14:$E$43,C656&amp;"")&gt;0,"Sensitive account | ","")&amp;IF(AND(MAX(N(E656),N(F656))&gt;=Settings!$C$9,MOD(MAX(N(E656),N(F656)),Settings!$C$10)=0),"Round amount | ",""))-3)))</f>
        <v/>
      </c>
      <c r="M656" s="21" t="str">
        <f aca="false">IF(A656="","",IF(COUNTIF($A$9:A656,A656)=1,MAX($M$8:M655)+1,""))</f>
        <v/>
      </c>
    </row>
    <row r="657" customFormat="false" ht="15" hidden="false" customHeight="false" outlineLevel="0" collapsed="false">
      <c r="A657" s="8"/>
      <c r="B657" s="17"/>
      <c r="C657" s="19"/>
      <c r="D657" s="8"/>
      <c r="E657" s="18"/>
      <c r="F657" s="18"/>
      <c r="G657" s="8"/>
      <c r="H657" s="8"/>
      <c r="I657" s="8"/>
      <c r="J657" s="8"/>
      <c r="K657" s="10" t="str">
        <f aca="false">IF(A657="","",IF(ABS(SUMIFS($E$9:$E$2008,$A$9:$A$2008,A657)-SUMIFS($F$9:$F$2008,$A$9:$A$2008,A657))&lt;0.5,"Yes","No"))</f>
        <v/>
      </c>
      <c r="L657" s="10" t="str">
        <f aca="false">IF(A657="","",IF(IF(K657="No","Does not balance | ","")&amp;IF(I657="","Not approved | ",IF(UPPER(TRIM(H657))=UPPER(TRIM(I657)),"Self-approved | ",""))&amp;IF(J657="","No support | ","")&amp;IF(WEEKDAY(B657,2)&gt;5,"Weekend posting | ","")&amp;IF(COUNTIF(Settings!$A$14:$A$43,B657)&gt;0,"Holiday posting | ","")&amp;IF(B657&gt;Settings!$C$8,"Posted after close | ","")&amp;IF(OR(B657&lt;Settings!$C$6,B657&gt;Settings!$C$7),"Outside period | ","")&amp;IF(COUNTIF(Settings!$E$14:$E$43,C657&amp;"")&gt;0,"Sensitive account | ","")&amp;IF(AND(MAX(N(E657),N(F657))&gt;=Settings!$C$9,MOD(MAX(N(E657),N(F657)),Settings!$C$10)=0),"Round amount | ","")="","",LEFT(IF(K657="No","Does not balance | ","")&amp;IF(I657="","Not approved | ",IF(UPPER(TRIM(H657))=UPPER(TRIM(I657)),"Self-approved | ",""))&amp;IF(J657="","No support | ","")&amp;IF(WEEKDAY(B657,2)&gt;5,"Weekend posting | ","")&amp;IF(COUNTIF(Settings!$A$14:$A$43,B657)&gt;0,"Holiday posting | ","")&amp;IF(B657&gt;Settings!$C$8,"Posted after close | ","")&amp;IF(OR(B657&lt;Settings!$C$6,B657&gt;Settings!$C$7),"Outside period | ","")&amp;IF(COUNTIF(Settings!$E$14:$E$43,C657&amp;"")&gt;0,"Sensitive account | ","")&amp;IF(AND(MAX(N(E657),N(F657))&gt;=Settings!$C$9,MOD(MAX(N(E657),N(F657)),Settings!$C$10)=0),"Round amount | ",""),LEN(IF(K657="No","Does not balance | ","")&amp;IF(I657="","Not approved | ",IF(UPPER(TRIM(H657))=UPPER(TRIM(I657)),"Self-approved | ",""))&amp;IF(J657="","No support | ","")&amp;IF(WEEKDAY(B657,2)&gt;5,"Weekend posting | ","")&amp;IF(COUNTIF(Settings!$A$14:$A$43,B657)&gt;0,"Holiday posting | ","")&amp;IF(B657&gt;Settings!$C$8,"Posted after close | ","")&amp;IF(OR(B657&lt;Settings!$C$6,B657&gt;Settings!$C$7),"Outside period | ","")&amp;IF(COUNTIF(Settings!$E$14:$E$43,C657&amp;"")&gt;0,"Sensitive account | ","")&amp;IF(AND(MAX(N(E657),N(F657))&gt;=Settings!$C$9,MOD(MAX(N(E657),N(F657)),Settings!$C$10)=0),"Round amount | ",""))-3)))</f>
        <v/>
      </c>
      <c r="M657" s="21" t="str">
        <f aca="false">IF(A657="","",IF(COUNTIF($A$9:A657,A657)=1,MAX($M$8:M656)+1,""))</f>
        <v/>
      </c>
    </row>
    <row r="658" customFormat="false" ht="15" hidden="false" customHeight="false" outlineLevel="0" collapsed="false">
      <c r="A658" s="8"/>
      <c r="B658" s="17"/>
      <c r="C658" s="19"/>
      <c r="D658" s="8"/>
      <c r="E658" s="18"/>
      <c r="F658" s="18"/>
      <c r="G658" s="8"/>
      <c r="H658" s="8"/>
      <c r="I658" s="8"/>
      <c r="J658" s="8"/>
      <c r="K658" s="10" t="str">
        <f aca="false">IF(A658="","",IF(ABS(SUMIFS($E$9:$E$2008,$A$9:$A$2008,A658)-SUMIFS($F$9:$F$2008,$A$9:$A$2008,A658))&lt;0.5,"Yes","No"))</f>
        <v/>
      </c>
      <c r="L658" s="10" t="str">
        <f aca="false">IF(A658="","",IF(IF(K658="No","Does not balance | ","")&amp;IF(I658="","Not approved | ",IF(UPPER(TRIM(H658))=UPPER(TRIM(I658)),"Self-approved | ",""))&amp;IF(J658="","No support | ","")&amp;IF(WEEKDAY(B658,2)&gt;5,"Weekend posting | ","")&amp;IF(COUNTIF(Settings!$A$14:$A$43,B658)&gt;0,"Holiday posting | ","")&amp;IF(B658&gt;Settings!$C$8,"Posted after close | ","")&amp;IF(OR(B658&lt;Settings!$C$6,B658&gt;Settings!$C$7),"Outside period | ","")&amp;IF(COUNTIF(Settings!$E$14:$E$43,C658&amp;"")&gt;0,"Sensitive account | ","")&amp;IF(AND(MAX(N(E658),N(F658))&gt;=Settings!$C$9,MOD(MAX(N(E658),N(F658)),Settings!$C$10)=0),"Round amount | ","")="","",LEFT(IF(K658="No","Does not balance | ","")&amp;IF(I658="","Not approved | ",IF(UPPER(TRIM(H658))=UPPER(TRIM(I658)),"Self-approved | ",""))&amp;IF(J658="","No support | ","")&amp;IF(WEEKDAY(B658,2)&gt;5,"Weekend posting | ","")&amp;IF(COUNTIF(Settings!$A$14:$A$43,B658)&gt;0,"Holiday posting | ","")&amp;IF(B658&gt;Settings!$C$8,"Posted after close | ","")&amp;IF(OR(B658&lt;Settings!$C$6,B658&gt;Settings!$C$7),"Outside period | ","")&amp;IF(COUNTIF(Settings!$E$14:$E$43,C658&amp;"")&gt;0,"Sensitive account | ","")&amp;IF(AND(MAX(N(E658),N(F658))&gt;=Settings!$C$9,MOD(MAX(N(E658),N(F658)),Settings!$C$10)=0),"Round amount | ",""),LEN(IF(K658="No","Does not balance | ","")&amp;IF(I658="","Not approved | ",IF(UPPER(TRIM(H658))=UPPER(TRIM(I658)),"Self-approved | ",""))&amp;IF(J658="","No support | ","")&amp;IF(WEEKDAY(B658,2)&gt;5,"Weekend posting | ","")&amp;IF(COUNTIF(Settings!$A$14:$A$43,B658)&gt;0,"Holiday posting | ","")&amp;IF(B658&gt;Settings!$C$8,"Posted after close | ","")&amp;IF(OR(B658&lt;Settings!$C$6,B658&gt;Settings!$C$7),"Outside period | ","")&amp;IF(COUNTIF(Settings!$E$14:$E$43,C658&amp;"")&gt;0,"Sensitive account | ","")&amp;IF(AND(MAX(N(E658),N(F658))&gt;=Settings!$C$9,MOD(MAX(N(E658),N(F658)),Settings!$C$10)=0),"Round amount | ",""))-3)))</f>
        <v/>
      </c>
      <c r="M658" s="21" t="str">
        <f aca="false">IF(A658="","",IF(COUNTIF($A$9:A658,A658)=1,MAX($M$8:M657)+1,""))</f>
        <v/>
      </c>
    </row>
    <row r="659" customFormat="false" ht="15" hidden="false" customHeight="false" outlineLevel="0" collapsed="false">
      <c r="A659" s="8"/>
      <c r="B659" s="17"/>
      <c r="C659" s="19"/>
      <c r="D659" s="8"/>
      <c r="E659" s="18"/>
      <c r="F659" s="18"/>
      <c r="G659" s="8"/>
      <c r="H659" s="8"/>
      <c r="I659" s="8"/>
      <c r="J659" s="8"/>
      <c r="K659" s="10" t="str">
        <f aca="false">IF(A659="","",IF(ABS(SUMIFS($E$9:$E$2008,$A$9:$A$2008,A659)-SUMIFS($F$9:$F$2008,$A$9:$A$2008,A659))&lt;0.5,"Yes","No"))</f>
        <v/>
      </c>
      <c r="L659" s="10" t="str">
        <f aca="false">IF(A659="","",IF(IF(K659="No","Does not balance | ","")&amp;IF(I659="","Not approved | ",IF(UPPER(TRIM(H659))=UPPER(TRIM(I659)),"Self-approved | ",""))&amp;IF(J659="","No support | ","")&amp;IF(WEEKDAY(B659,2)&gt;5,"Weekend posting | ","")&amp;IF(COUNTIF(Settings!$A$14:$A$43,B659)&gt;0,"Holiday posting | ","")&amp;IF(B659&gt;Settings!$C$8,"Posted after close | ","")&amp;IF(OR(B659&lt;Settings!$C$6,B659&gt;Settings!$C$7),"Outside period | ","")&amp;IF(COUNTIF(Settings!$E$14:$E$43,C659&amp;"")&gt;0,"Sensitive account | ","")&amp;IF(AND(MAX(N(E659),N(F659))&gt;=Settings!$C$9,MOD(MAX(N(E659),N(F659)),Settings!$C$10)=0),"Round amount | ","")="","",LEFT(IF(K659="No","Does not balance | ","")&amp;IF(I659="","Not approved | ",IF(UPPER(TRIM(H659))=UPPER(TRIM(I659)),"Self-approved | ",""))&amp;IF(J659="","No support | ","")&amp;IF(WEEKDAY(B659,2)&gt;5,"Weekend posting | ","")&amp;IF(COUNTIF(Settings!$A$14:$A$43,B659)&gt;0,"Holiday posting | ","")&amp;IF(B659&gt;Settings!$C$8,"Posted after close | ","")&amp;IF(OR(B659&lt;Settings!$C$6,B659&gt;Settings!$C$7),"Outside period | ","")&amp;IF(COUNTIF(Settings!$E$14:$E$43,C659&amp;"")&gt;0,"Sensitive account | ","")&amp;IF(AND(MAX(N(E659),N(F659))&gt;=Settings!$C$9,MOD(MAX(N(E659),N(F659)),Settings!$C$10)=0),"Round amount | ",""),LEN(IF(K659="No","Does not balance | ","")&amp;IF(I659="","Not approved | ",IF(UPPER(TRIM(H659))=UPPER(TRIM(I659)),"Self-approved | ",""))&amp;IF(J659="","No support | ","")&amp;IF(WEEKDAY(B659,2)&gt;5,"Weekend posting | ","")&amp;IF(COUNTIF(Settings!$A$14:$A$43,B659)&gt;0,"Holiday posting | ","")&amp;IF(B659&gt;Settings!$C$8,"Posted after close | ","")&amp;IF(OR(B659&lt;Settings!$C$6,B659&gt;Settings!$C$7),"Outside period | ","")&amp;IF(COUNTIF(Settings!$E$14:$E$43,C659&amp;"")&gt;0,"Sensitive account | ","")&amp;IF(AND(MAX(N(E659),N(F659))&gt;=Settings!$C$9,MOD(MAX(N(E659),N(F659)),Settings!$C$10)=0),"Round amount | ",""))-3)))</f>
        <v/>
      </c>
      <c r="M659" s="21" t="str">
        <f aca="false">IF(A659="","",IF(COUNTIF($A$9:A659,A659)=1,MAX($M$8:M658)+1,""))</f>
        <v/>
      </c>
    </row>
    <row r="660" customFormat="false" ht="15" hidden="false" customHeight="false" outlineLevel="0" collapsed="false">
      <c r="A660" s="8"/>
      <c r="B660" s="17"/>
      <c r="C660" s="19"/>
      <c r="D660" s="8"/>
      <c r="E660" s="18"/>
      <c r="F660" s="18"/>
      <c r="G660" s="8"/>
      <c r="H660" s="8"/>
      <c r="I660" s="8"/>
      <c r="J660" s="8"/>
      <c r="K660" s="10" t="str">
        <f aca="false">IF(A660="","",IF(ABS(SUMIFS($E$9:$E$2008,$A$9:$A$2008,A660)-SUMIFS($F$9:$F$2008,$A$9:$A$2008,A660))&lt;0.5,"Yes","No"))</f>
        <v/>
      </c>
      <c r="L660" s="10" t="str">
        <f aca="false">IF(A660="","",IF(IF(K660="No","Does not balance | ","")&amp;IF(I660="","Not approved | ",IF(UPPER(TRIM(H660))=UPPER(TRIM(I660)),"Self-approved | ",""))&amp;IF(J660="","No support | ","")&amp;IF(WEEKDAY(B660,2)&gt;5,"Weekend posting | ","")&amp;IF(COUNTIF(Settings!$A$14:$A$43,B660)&gt;0,"Holiday posting | ","")&amp;IF(B660&gt;Settings!$C$8,"Posted after close | ","")&amp;IF(OR(B660&lt;Settings!$C$6,B660&gt;Settings!$C$7),"Outside period | ","")&amp;IF(COUNTIF(Settings!$E$14:$E$43,C660&amp;"")&gt;0,"Sensitive account | ","")&amp;IF(AND(MAX(N(E660),N(F660))&gt;=Settings!$C$9,MOD(MAX(N(E660),N(F660)),Settings!$C$10)=0),"Round amount | ","")="","",LEFT(IF(K660="No","Does not balance | ","")&amp;IF(I660="","Not approved | ",IF(UPPER(TRIM(H660))=UPPER(TRIM(I660)),"Self-approved | ",""))&amp;IF(J660="","No support | ","")&amp;IF(WEEKDAY(B660,2)&gt;5,"Weekend posting | ","")&amp;IF(COUNTIF(Settings!$A$14:$A$43,B660)&gt;0,"Holiday posting | ","")&amp;IF(B660&gt;Settings!$C$8,"Posted after close | ","")&amp;IF(OR(B660&lt;Settings!$C$6,B660&gt;Settings!$C$7),"Outside period | ","")&amp;IF(COUNTIF(Settings!$E$14:$E$43,C660&amp;"")&gt;0,"Sensitive account | ","")&amp;IF(AND(MAX(N(E660),N(F660))&gt;=Settings!$C$9,MOD(MAX(N(E660),N(F660)),Settings!$C$10)=0),"Round amount | ",""),LEN(IF(K660="No","Does not balance | ","")&amp;IF(I660="","Not approved | ",IF(UPPER(TRIM(H660))=UPPER(TRIM(I660)),"Self-approved | ",""))&amp;IF(J660="","No support | ","")&amp;IF(WEEKDAY(B660,2)&gt;5,"Weekend posting | ","")&amp;IF(COUNTIF(Settings!$A$14:$A$43,B660)&gt;0,"Holiday posting | ","")&amp;IF(B660&gt;Settings!$C$8,"Posted after close | ","")&amp;IF(OR(B660&lt;Settings!$C$6,B660&gt;Settings!$C$7),"Outside period | ","")&amp;IF(COUNTIF(Settings!$E$14:$E$43,C660&amp;"")&gt;0,"Sensitive account | ","")&amp;IF(AND(MAX(N(E660),N(F660))&gt;=Settings!$C$9,MOD(MAX(N(E660),N(F660)),Settings!$C$10)=0),"Round amount | ",""))-3)))</f>
        <v/>
      </c>
      <c r="M660" s="21" t="str">
        <f aca="false">IF(A660="","",IF(COUNTIF($A$9:A660,A660)=1,MAX($M$8:M659)+1,""))</f>
        <v/>
      </c>
    </row>
    <row r="661" customFormat="false" ht="15" hidden="false" customHeight="false" outlineLevel="0" collapsed="false">
      <c r="A661" s="8"/>
      <c r="B661" s="17"/>
      <c r="C661" s="19"/>
      <c r="D661" s="8"/>
      <c r="E661" s="18"/>
      <c r="F661" s="18"/>
      <c r="G661" s="8"/>
      <c r="H661" s="8"/>
      <c r="I661" s="8"/>
      <c r="J661" s="8"/>
      <c r="K661" s="10" t="str">
        <f aca="false">IF(A661="","",IF(ABS(SUMIFS($E$9:$E$2008,$A$9:$A$2008,A661)-SUMIFS($F$9:$F$2008,$A$9:$A$2008,A661))&lt;0.5,"Yes","No"))</f>
        <v/>
      </c>
      <c r="L661" s="10" t="str">
        <f aca="false">IF(A661="","",IF(IF(K661="No","Does not balance | ","")&amp;IF(I661="","Not approved | ",IF(UPPER(TRIM(H661))=UPPER(TRIM(I661)),"Self-approved | ",""))&amp;IF(J661="","No support | ","")&amp;IF(WEEKDAY(B661,2)&gt;5,"Weekend posting | ","")&amp;IF(COUNTIF(Settings!$A$14:$A$43,B661)&gt;0,"Holiday posting | ","")&amp;IF(B661&gt;Settings!$C$8,"Posted after close | ","")&amp;IF(OR(B661&lt;Settings!$C$6,B661&gt;Settings!$C$7),"Outside period | ","")&amp;IF(COUNTIF(Settings!$E$14:$E$43,C661&amp;"")&gt;0,"Sensitive account | ","")&amp;IF(AND(MAX(N(E661),N(F661))&gt;=Settings!$C$9,MOD(MAX(N(E661),N(F661)),Settings!$C$10)=0),"Round amount | ","")="","",LEFT(IF(K661="No","Does not balance | ","")&amp;IF(I661="","Not approved | ",IF(UPPER(TRIM(H661))=UPPER(TRIM(I661)),"Self-approved | ",""))&amp;IF(J661="","No support | ","")&amp;IF(WEEKDAY(B661,2)&gt;5,"Weekend posting | ","")&amp;IF(COUNTIF(Settings!$A$14:$A$43,B661)&gt;0,"Holiday posting | ","")&amp;IF(B661&gt;Settings!$C$8,"Posted after close | ","")&amp;IF(OR(B661&lt;Settings!$C$6,B661&gt;Settings!$C$7),"Outside period | ","")&amp;IF(COUNTIF(Settings!$E$14:$E$43,C661&amp;"")&gt;0,"Sensitive account | ","")&amp;IF(AND(MAX(N(E661),N(F661))&gt;=Settings!$C$9,MOD(MAX(N(E661),N(F661)),Settings!$C$10)=0),"Round amount | ",""),LEN(IF(K661="No","Does not balance | ","")&amp;IF(I661="","Not approved | ",IF(UPPER(TRIM(H661))=UPPER(TRIM(I661)),"Self-approved | ",""))&amp;IF(J661="","No support | ","")&amp;IF(WEEKDAY(B661,2)&gt;5,"Weekend posting | ","")&amp;IF(COUNTIF(Settings!$A$14:$A$43,B661)&gt;0,"Holiday posting | ","")&amp;IF(B661&gt;Settings!$C$8,"Posted after close | ","")&amp;IF(OR(B661&lt;Settings!$C$6,B661&gt;Settings!$C$7),"Outside period | ","")&amp;IF(COUNTIF(Settings!$E$14:$E$43,C661&amp;"")&gt;0,"Sensitive account | ","")&amp;IF(AND(MAX(N(E661),N(F661))&gt;=Settings!$C$9,MOD(MAX(N(E661),N(F661)),Settings!$C$10)=0),"Round amount | ",""))-3)))</f>
        <v/>
      </c>
      <c r="M661" s="21" t="str">
        <f aca="false">IF(A661="","",IF(COUNTIF($A$9:A661,A661)=1,MAX($M$8:M660)+1,""))</f>
        <v/>
      </c>
    </row>
    <row r="662" customFormat="false" ht="15" hidden="false" customHeight="false" outlineLevel="0" collapsed="false">
      <c r="A662" s="8"/>
      <c r="B662" s="17"/>
      <c r="C662" s="19"/>
      <c r="D662" s="8"/>
      <c r="E662" s="18"/>
      <c r="F662" s="18"/>
      <c r="G662" s="8"/>
      <c r="H662" s="8"/>
      <c r="I662" s="8"/>
      <c r="J662" s="8"/>
      <c r="K662" s="10" t="str">
        <f aca="false">IF(A662="","",IF(ABS(SUMIFS($E$9:$E$2008,$A$9:$A$2008,A662)-SUMIFS($F$9:$F$2008,$A$9:$A$2008,A662))&lt;0.5,"Yes","No"))</f>
        <v/>
      </c>
      <c r="L662" s="10" t="str">
        <f aca="false">IF(A662="","",IF(IF(K662="No","Does not balance | ","")&amp;IF(I662="","Not approved | ",IF(UPPER(TRIM(H662))=UPPER(TRIM(I662)),"Self-approved | ",""))&amp;IF(J662="","No support | ","")&amp;IF(WEEKDAY(B662,2)&gt;5,"Weekend posting | ","")&amp;IF(COUNTIF(Settings!$A$14:$A$43,B662)&gt;0,"Holiday posting | ","")&amp;IF(B662&gt;Settings!$C$8,"Posted after close | ","")&amp;IF(OR(B662&lt;Settings!$C$6,B662&gt;Settings!$C$7),"Outside period | ","")&amp;IF(COUNTIF(Settings!$E$14:$E$43,C662&amp;"")&gt;0,"Sensitive account | ","")&amp;IF(AND(MAX(N(E662),N(F662))&gt;=Settings!$C$9,MOD(MAX(N(E662),N(F662)),Settings!$C$10)=0),"Round amount | ","")="","",LEFT(IF(K662="No","Does not balance | ","")&amp;IF(I662="","Not approved | ",IF(UPPER(TRIM(H662))=UPPER(TRIM(I662)),"Self-approved | ",""))&amp;IF(J662="","No support | ","")&amp;IF(WEEKDAY(B662,2)&gt;5,"Weekend posting | ","")&amp;IF(COUNTIF(Settings!$A$14:$A$43,B662)&gt;0,"Holiday posting | ","")&amp;IF(B662&gt;Settings!$C$8,"Posted after close | ","")&amp;IF(OR(B662&lt;Settings!$C$6,B662&gt;Settings!$C$7),"Outside period | ","")&amp;IF(COUNTIF(Settings!$E$14:$E$43,C662&amp;"")&gt;0,"Sensitive account | ","")&amp;IF(AND(MAX(N(E662),N(F662))&gt;=Settings!$C$9,MOD(MAX(N(E662),N(F662)),Settings!$C$10)=0),"Round amount | ",""),LEN(IF(K662="No","Does not balance | ","")&amp;IF(I662="","Not approved | ",IF(UPPER(TRIM(H662))=UPPER(TRIM(I662)),"Self-approved | ",""))&amp;IF(J662="","No support | ","")&amp;IF(WEEKDAY(B662,2)&gt;5,"Weekend posting | ","")&amp;IF(COUNTIF(Settings!$A$14:$A$43,B662)&gt;0,"Holiday posting | ","")&amp;IF(B662&gt;Settings!$C$8,"Posted after close | ","")&amp;IF(OR(B662&lt;Settings!$C$6,B662&gt;Settings!$C$7),"Outside period | ","")&amp;IF(COUNTIF(Settings!$E$14:$E$43,C662&amp;"")&gt;0,"Sensitive account | ","")&amp;IF(AND(MAX(N(E662),N(F662))&gt;=Settings!$C$9,MOD(MAX(N(E662),N(F662)),Settings!$C$10)=0),"Round amount | ",""))-3)))</f>
        <v/>
      </c>
      <c r="M662" s="21" t="str">
        <f aca="false">IF(A662="","",IF(COUNTIF($A$9:A662,A662)=1,MAX($M$8:M661)+1,""))</f>
        <v/>
      </c>
    </row>
    <row r="663" customFormat="false" ht="15" hidden="false" customHeight="false" outlineLevel="0" collapsed="false">
      <c r="A663" s="8"/>
      <c r="B663" s="17"/>
      <c r="C663" s="19"/>
      <c r="D663" s="8"/>
      <c r="E663" s="18"/>
      <c r="F663" s="18"/>
      <c r="G663" s="8"/>
      <c r="H663" s="8"/>
      <c r="I663" s="8"/>
      <c r="J663" s="8"/>
      <c r="K663" s="10" t="str">
        <f aca="false">IF(A663="","",IF(ABS(SUMIFS($E$9:$E$2008,$A$9:$A$2008,A663)-SUMIFS($F$9:$F$2008,$A$9:$A$2008,A663))&lt;0.5,"Yes","No"))</f>
        <v/>
      </c>
      <c r="L663" s="10" t="str">
        <f aca="false">IF(A663="","",IF(IF(K663="No","Does not balance | ","")&amp;IF(I663="","Not approved | ",IF(UPPER(TRIM(H663))=UPPER(TRIM(I663)),"Self-approved | ",""))&amp;IF(J663="","No support | ","")&amp;IF(WEEKDAY(B663,2)&gt;5,"Weekend posting | ","")&amp;IF(COUNTIF(Settings!$A$14:$A$43,B663)&gt;0,"Holiday posting | ","")&amp;IF(B663&gt;Settings!$C$8,"Posted after close | ","")&amp;IF(OR(B663&lt;Settings!$C$6,B663&gt;Settings!$C$7),"Outside period | ","")&amp;IF(COUNTIF(Settings!$E$14:$E$43,C663&amp;"")&gt;0,"Sensitive account | ","")&amp;IF(AND(MAX(N(E663),N(F663))&gt;=Settings!$C$9,MOD(MAX(N(E663),N(F663)),Settings!$C$10)=0),"Round amount | ","")="","",LEFT(IF(K663="No","Does not balance | ","")&amp;IF(I663="","Not approved | ",IF(UPPER(TRIM(H663))=UPPER(TRIM(I663)),"Self-approved | ",""))&amp;IF(J663="","No support | ","")&amp;IF(WEEKDAY(B663,2)&gt;5,"Weekend posting | ","")&amp;IF(COUNTIF(Settings!$A$14:$A$43,B663)&gt;0,"Holiday posting | ","")&amp;IF(B663&gt;Settings!$C$8,"Posted after close | ","")&amp;IF(OR(B663&lt;Settings!$C$6,B663&gt;Settings!$C$7),"Outside period | ","")&amp;IF(COUNTIF(Settings!$E$14:$E$43,C663&amp;"")&gt;0,"Sensitive account | ","")&amp;IF(AND(MAX(N(E663),N(F663))&gt;=Settings!$C$9,MOD(MAX(N(E663),N(F663)),Settings!$C$10)=0),"Round amount | ",""),LEN(IF(K663="No","Does not balance | ","")&amp;IF(I663="","Not approved | ",IF(UPPER(TRIM(H663))=UPPER(TRIM(I663)),"Self-approved | ",""))&amp;IF(J663="","No support | ","")&amp;IF(WEEKDAY(B663,2)&gt;5,"Weekend posting | ","")&amp;IF(COUNTIF(Settings!$A$14:$A$43,B663)&gt;0,"Holiday posting | ","")&amp;IF(B663&gt;Settings!$C$8,"Posted after close | ","")&amp;IF(OR(B663&lt;Settings!$C$6,B663&gt;Settings!$C$7),"Outside period | ","")&amp;IF(COUNTIF(Settings!$E$14:$E$43,C663&amp;"")&gt;0,"Sensitive account | ","")&amp;IF(AND(MAX(N(E663),N(F663))&gt;=Settings!$C$9,MOD(MAX(N(E663),N(F663)),Settings!$C$10)=0),"Round amount | ",""))-3)))</f>
        <v/>
      </c>
      <c r="M663" s="21" t="str">
        <f aca="false">IF(A663="","",IF(COUNTIF($A$9:A663,A663)=1,MAX($M$8:M662)+1,""))</f>
        <v/>
      </c>
    </row>
    <row r="664" customFormat="false" ht="15" hidden="false" customHeight="false" outlineLevel="0" collapsed="false">
      <c r="A664" s="8"/>
      <c r="B664" s="17"/>
      <c r="C664" s="19"/>
      <c r="D664" s="8"/>
      <c r="E664" s="18"/>
      <c r="F664" s="18"/>
      <c r="G664" s="8"/>
      <c r="H664" s="8"/>
      <c r="I664" s="8"/>
      <c r="J664" s="8"/>
      <c r="K664" s="10" t="str">
        <f aca="false">IF(A664="","",IF(ABS(SUMIFS($E$9:$E$2008,$A$9:$A$2008,A664)-SUMIFS($F$9:$F$2008,$A$9:$A$2008,A664))&lt;0.5,"Yes","No"))</f>
        <v/>
      </c>
      <c r="L664" s="10" t="str">
        <f aca="false">IF(A664="","",IF(IF(K664="No","Does not balance | ","")&amp;IF(I664="","Not approved | ",IF(UPPER(TRIM(H664))=UPPER(TRIM(I664)),"Self-approved | ",""))&amp;IF(J664="","No support | ","")&amp;IF(WEEKDAY(B664,2)&gt;5,"Weekend posting | ","")&amp;IF(COUNTIF(Settings!$A$14:$A$43,B664)&gt;0,"Holiday posting | ","")&amp;IF(B664&gt;Settings!$C$8,"Posted after close | ","")&amp;IF(OR(B664&lt;Settings!$C$6,B664&gt;Settings!$C$7),"Outside period | ","")&amp;IF(COUNTIF(Settings!$E$14:$E$43,C664&amp;"")&gt;0,"Sensitive account | ","")&amp;IF(AND(MAX(N(E664),N(F664))&gt;=Settings!$C$9,MOD(MAX(N(E664),N(F664)),Settings!$C$10)=0),"Round amount | ","")="","",LEFT(IF(K664="No","Does not balance | ","")&amp;IF(I664="","Not approved | ",IF(UPPER(TRIM(H664))=UPPER(TRIM(I664)),"Self-approved | ",""))&amp;IF(J664="","No support | ","")&amp;IF(WEEKDAY(B664,2)&gt;5,"Weekend posting | ","")&amp;IF(COUNTIF(Settings!$A$14:$A$43,B664)&gt;0,"Holiday posting | ","")&amp;IF(B664&gt;Settings!$C$8,"Posted after close | ","")&amp;IF(OR(B664&lt;Settings!$C$6,B664&gt;Settings!$C$7),"Outside period | ","")&amp;IF(COUNTIF(Settings!$E$14:$E$43,C664&amp;"")&gt;0,"Sensitive account | ","")&amp;IF(AND(MAX(N(E664),N(F664))&gt;=Settings!$C$9,MOD(MAX(N(E664),N(F664)),Settings!$C$10)=0),"Round amount | ",""),LEN(IF(K664="No","Does not balance | ","")&amp;IF(I664="","Not approved | ",IF(UPPER(TRIM(H664))=UPPER(TRIM(I664)),"Self-approved | ",""))&amp;IF(J664="","No support | ","")&amp;IF(WEEKDAY(B664,2)&gt;5,"Weekend posting | ","")&amp;IF(COUNTIF(Settings!$A$14:$A$43,B664)&gt;0,"Holiday posting | ","")&amp;IF(B664&gt;Settings!$C$8,"Posted after close | ","")&amp;IF(OR(B664&lt;Settings!$C$6,B664&gt;Settings!$C$7),"Outside period | ","")&amp;IF(COUNTIF(Settings!$E$14:$E$43,C664&amp;"")&gt;0,"Sensitive account | ","")&amp;IF(AND(MAX(N(E664),N(F664))&gt;=Settings!$C$9,MOD(MAX(N(E664),N(F664)),Settings!$C$10)=0),"Round amount | ",""))-3)))</f>
        <v/>
      </c>
      <c r="M664" s="21" t="str">
        <f aca="false">IF(A664="","",IF(COUNTIF($A$9:A664,A664)=1,MAX($M$8:M663)+1,""))</f>
        <v/>
      </c>
    </row>
    <row r="665" customFormat="false" ht="15" hidden="false" customHeight="false" outlineLevel="0" collapsed="false">
      <c r="A665" s="8"/>
      <c r="B665" s="17"/>
      <c r="C665" s="19"/>
      <c r="D665" s="8"/>
      <c r="E665" s="18"/>
      <c r="F665" s="18"/>
      <c r="G665" s="8"/>
      <c r="H665" s="8"/>
      <c r="I665" s="8"/>
      <c r="J665" s="8"/>
      <c r="K665" s="10" t="str">
        <f aca="false">IF(A665="","",IF(ABS(SUMIFS($E$9:$E$2008,$A$9:$A$2008,A665)-SUMIFS($F$9:$F$2008,$A$9:$A$2008,A665))&lt;0.5,"Yes","No"))</f>
        <v/>
      </c>
      <c r="L665" s="10" t="str">
        <f aca="false">IF(A665="","",IF(IF(K665="No","Does not balance | ","")&amp;IF(I665="","Not approved | ",IF(UPPER(TRIM(H665))=UPPER(TRIM(I665)),"Self-approved | ",""))&amp;IF(J665="","No support | ","")&amp;IF(WEEKDAY(B665,2)&gt;5,"Weekend posting | ","")&amp;IF(COUNTIF(Settings!$A$14:$A$43,B665)&gt;0,"Holiday posting | ","")&amp;IF(B665&gt;Settings!$C$8,"Posted after close | ","")&amp;IF(OR(B665&lt;Settings!$C$6,B665&gt;Settings!$C$7),"Outside period | ","")&amp;IF(COUNTIF(Settings!$E$14:$E$43,C665&amp;"")&gt;0,"Sensitive account | ","")&amp;IF(AND(MAX(N(E665),N(F665))&gt;=Settings!$C$9,MOD(MAX(N(E665),N(F665)),Settings!$C$10)=0),"Round amount | ","")="","",LEFT(IF(K665="No","Does not balance | ","")&amp;IF(I665="","Not approved | ",IF(UPPER(TRIM(H665))=UPPER(TRIM(I665)),"Self-approved | ",""))&amp;IF(J665="","No support | ","")&amp;IF(WEEKDAY(B665,2)&gt;5,"Weekend posting | ","")&amp;IF(COUNTIF(Settings!$A$14:$A$43,B665)&gt;0,"Holiday posting | ","")&amp;IF(B665&gt;Settings!$C$8,"Posted after close | ","")&amp;IF(OR(B665&lt;Settings!$C$6,B665&gt;Settings!$C$7),"Outside period | ","")&amp;IF(COUNTIF(Settings!$E$14:$E$43,C665&amp;"")&gt;0,"Sensitive account | ","")&amp;IF(AND(MAX(N(E665),N(F665))&gt;=Settings!$C$9,MOD(MAX(N(E665),N(F665)),Settings!$C$10)=0),"Round amount | ",""),LEN(IF(K665="No","Does not balance | ","")&amp;IF(I665="","Not approved | ",IF(UPPER(TRIM(H665))=UPPER(TRIM(I665)),"Self-approved | ",""))&amp;IF(J665="","No support | ","")&amp;IF(WEEKDAY(B665,2)&gt;5,"Weekend posting | ","")&amp;IF(COUNTIF(Settings!$A$14:$A$43,B665)&gt;0,"Holiday posting | ","")&amp;IF(B665&gt;Settings!$C$8,"Posted after close | ","")&amp;IF(OR(B665&lt;Settings!$C$6,B665&gt;Settings!$C$7),"Outside period | ","")&amp;IF(COUNTIF(Settings!$E$14:$E$43,C665&amp;"")&gt;0,"Sensitive account | ","")&amp;IF(AND(MAX(N(E665),N(F665))&gt;=Settings!$C$9,MOD(MAX(N(E665),N(F665)),Settings!$C$10)=0),"Round amount | ",""))-3)))</f>
        <v/>
      </c>
      <c r="M665" s="21" t="str">
        <f aca="false">IF(A665="","",IF(COUNTIF($A$9:A665,A665)=1,MAX($M$8:M664)+1,""))</f>
        <v/>
      </c>
    </row>
    <row r="666" customFormat="false" ht="15" hidden="false" customHeight="false" outlineLevel="0" collapsed="false">
      <c r="A666" s="8"/>
      <c r="B666" s="17"/>
      <c r="C666" s="19"/>
      <c r="D666" s="8"/>
      <c r="E666" s="18"/>
      <c r="F666" s="18"/>
      <c r="G666" s="8"/>
      <c r="H666" s="8"/>
      <c r="I666" s="8"/>
      <c r="J666" s="8"/>
      <c r="K666" s="10" t="str">
        <f aca="false">IF(A666="","",IF(ABS(SUMIFS($E$9:$E$2008,$A$9:$A$2008,A666)-SUMIFS($F$9:$F$2008,$A$9:$A$2008,A666))&lt;0.5,"Yes","No"))</f>
        <v/>
      </c>
      <c r="L666" s="10" t="str">
        <f aca="false">IF(A666="","",IF(IF(K666="No","Does not balance | ","")&amp;IF(I666="","Not approved | ",IF(UPPER(TRIM(H666))=UPPER(TRIM(I666)),"Self-approved | ",""))&amp;IF(J666="","No support | ","")&amp;IF(WEEKDAY(B666,2)&gt;5,"Weekend posting | ","")&amp;IF(COUNTIF(Settings!$A$14:$A$43,B666)&gt;0,"Holiday posting | ","")&amp;IF(B666&gt;Settings!$C$8,"Posted after close | ","")&amp;IF(OR(B666&lt;Settings!$C$6,B666&gt;Settings!$C$7),"Outside period | ","")&amp;IF(COUNTIF(Settings!$E$14:$E$43,C666&amp;"")&gt;0,"Sensitive account | ","")&amp;IF(AND(MAX(N(E666),N(F666))&gt;=Settings!$C$9,MOD(MAX(N(E666),N(F666)),Settings!$C$10)=0),"Round amount | ","")="","",LEFT(IF(K666="No","Does not balance | ","")&amp;IF(I666="","Not approved | ",IF(UPPER(TRIM(H666))=UPPER(TRIM(I666)),"Self-approved | ",""))&amp;IF(J666="","No support | ","")&amp;IF(WEEKDAY(B666,2)&gt;5,"Weekend posting | ","")&amp;IF(COUNTIF(Settings!$A$14:$A$43,B666)&gt;0,"Holiday posting | ","")&amp;IF(B666&gt;Settings!$C$8,"Posted after close | ","")&amp;IF(OR(B666&lt;Settings!$C$6,B666&gt;Settings!$C$7),"Outside period | ","")&amp;IF(COUNTIF(Settings!$E$14:$E$43,C666&amp;"")&gt;0,"Sensitive account | ","")&amp;IF(AND(MAX(N(E666),N(F666))&gt;=Settings!$C$9,MOD(MAX(N(E666),N(F666)),Settings!$C$10)=0),"Round amount | ",""),LEN(IF(K666="No","Does not balance | ","")&amp;IF(I666="","Not approved | ",IF(UPPER(TRIM(H666))=UPPER(TRIM(I666)),"Self-approved | ",""))&amp;IF(J666="","No support | ","")&amp;IF(WEEKDAY(B666,2)&gt;5,"Weekend posting | ","")&amp;IF(COUNTIF(Settings!$A$14:$A$43,B666)&gt;0,"Holiday posting | ","")&amp;IF(B666&gt;Settings!$C$8,"Posted after close | ","")&amp;IF(OR(B666&lt;Settings!$C$6,B666&gt;Settings!$C$7),"Outside period | ","")&amp;IF(COUNTIF(Settings!$E$14:$E$43,C666&amp;"")&gt;0,"Sensitive account | ","")&amp;IF(AND(MAX(N(E666),N(F666))&gt;=Settings!$C$9,MOD(MAX(N(E666),N(F666)),Settings!$C$10)=0),"Round amount | ",""))-3)))</f>
        <v/>
      </c>
      <c r="M666" s="21" t="str">
        <f aca="false">IF(A666="","",IF(COUNTIF($A$9:A666,A666)=1,MAX($M$8:M665)+1,""))</f>
        <v/>
      </c>
    </row>
    <row r="667" customFormat="false" ht="15" hidden="false" customHeight="false" outlineLevel="0" collapsed="false">
      <c r="A667" s="8"/>
      <c r="B667" s="17"/>
      <c r="C667" s="19"/>
      <c r="D667" s="8"/>
      <c r="E667" s="18"/>
      <c r="F667" s="18"/>
      <c r="G667" s="8"/>
      <c r="H667" s="8"/>
      <c r="I667" s="8"/>
      <c r="J667" s="8"/>
      <c r="K667" s="10" t="str">
        <f aca="false">IF(A667="","",IF(ABS(SUMIFS($E$9:$E$2008,$A$9:$A$2008,A667)-SUMIFS($F$9:$F$2008,$A$9:$A$2008,A667))&lt;0.5,"Yes","No"))</f>
        <v/>
      </c>
      <c r="L667" s="10" t="str">
        <f aca="false">IF(A667="","",IF(IF(K667="No","Does not balance | ","")&amp;IF(I667="","Not approved | ",IF(UPPER(TRIM(H667))=UPPER(TRIM(I667)),"Self-approved | ",""))&amp;IF(J667="","No support | ","")&amp;IF(WEEKDAY(B667,2)&gt;5,"Weekend posting | ","")&amp;IF(COUNTIF(Settings!$A$14:$A$43,B667)&gt;0,"Holiday posting | ","")&amp;IF(B667&gt;Settings!$C$8,"Posted after close | ","")&amp;IF(OR(B667&lt;Settings!$C$6,B667&gt;Settings!$C$7),"Outside period | ","")&amp;IF(COUNTIF(Settings!$E$14:$E$43,C667&amp;"")&gt;0,"Sensitive account | ","")&amp;IF(AND(MAX(N(E667),N(F667))&gt;=Settings!$C$9,MOD(MAX(N(E667),N(F667)),Settings!$C$10)=0),"Round amount | ","")="","",LEFT(IF(K667="No","Does not balance | ","")&amp;IF(I667="","Not approved | ",IF(UPPER(TRIM(H667))=UPPER(TRIM(I667)),"Self-approved | ",""))&amp;IF(J667="","No support | ","")&amp;IF(WEEKDAY(B667,2)&gt;5,"Weekend posting | ","")&amp;IF(COUNTIF(Settings!$A$14:$A$43,B667)&gt;0,"Holiday posting | ","")&amp;IF(B667&gt;Settings!$C$8,"Posted after close | ","")&amp;IF(OR(B667&lt;Settings!$C$6,B667&gt;Settings!$C$7),"Outside period | ","")&amp;IF(COUNTIF(Settings!$E$14:$E$43,C667&amp;"")&gt;0,"Sensitive account | ","")&amp;IF(AND(MAX(N(E667),N(F667))&gt;=Settings!$C$9,MOD(MAX(N(E667),N(F667)),Settings!$C$10)=0),"Round amount | ",""),LEN(IF(K667="No","Does not balance | ","")&amp;IF(I667="","Not approved | ",IF(UPPER(TRIM(H667))=UPPER(TRIM(I667)),"Self-approved | ",""))&amp;IF(J667="","No support | ","")&amp;IF(WEEKDAY(B667,2)&gt;5,"Weekend posting | ","")&amp;IF(COUNTIF(Settings!$A$14:$A$43,B667)&gt;0,"Holiday posting | ","")&amp;IF(B667&gt;Settings!$C$8,"Posted after close | ","")&amp;IF(OR(B667&lt;Settings!$C$6,B667&gt;Settings!$C$7),"Outside period | ","")&amp;IF(COUNTIF(Settings!$E$14:$E$43,C667&amp;"")&gt;0,"Sensitive account | ","")&amp;IF(AND(MAX(N(E667),N(F667))&gt;=Settings!$C$9,MOD(MAX(N(E667),N(F667)),Settings!$C$10)=0),"Round amount | ",""))-3)))</f>
        <v/>
      </c>
      <c r="M667" s="21" t="str">
        <f aca="false">IF(A667="","",IF(COUNTIF($A$9:A667,A667)=1,MAX($M$8:M666)+1,""))</f>
        <v/>
      </c>
    </row>
    <row r="668" customFormat="false" ht="15" hidden="false" customHeight="false" outlineLevel="0" collapsed="false">
      <c r="A668" s="8"/>
      <c r="B668" s="17"/>
      <c r="C668" s="19"/>
      <c r="D668" s="8"/>
      <c r="E668" s="18"/>
      <c r="F668" s="18"/>
      <c r="G668" s="8"/>
      <c r="H668" s="8"/>
      <c r="I668" s="8"/>
      <c r="J668" s="8"/>
      <c r="K668" s="10" t="str">
        <f aca="false">IF(A668="","",IF(ABS(SUMIFS($E$9:$E$2008,$A$9:$A$2008,A668)-SUMIFS($F$9:$F$2008,$A$9:$A$2008,A668))&lt;0.5,"Yes","No"))</f>
        <v/>
      </c>
      <c r="L668" s="10" t="str">
        <f aca="false">IF(A668="","",IF(IF(K668="No","Does not balance | ","")&amp;IF(I668="","Not approved | ",IF(UPPER(TRIM(H668))=UPPER(TRIM(I668)),"Self-approved | ",""))&amp;IF(J668="","No support | ","")&amp;IF(WEEKDAY(B668,2)&gt;5,"Weekend posting | ","")&amp;IF(COUNTIF(Settings!$A$14:$A$43,B668)&gt;0,"Holiday posting | ","")&amp;IF(B668&gt;Settings!$C$8,"Posted after close | ","")&amp;IF(OR(B668&lt;Settings!$C$6,B668&gt;Settings!$C$7),"Outside period | ","")&amp;IF(COUNTIF(Settings!$E$14:$E$43,C668&amp;"")&gt;0,"Sensitive account | ","")&amp;IF(AND(MAX(N(E668),N(F668))&gt;=Settings!$C$9,MOD(MAX(N(E668),N(F668)),Settings!$C$10)=0),"Round amount | ","")="","",LEFT(IF(K668="No","Does not balance | ","")&amp;IF(I668="","Not approved | ",IF(UPPER(TRIM(H668))=UPPER(TRIM(I668)),"Self-approved | ",""))&amp;IF(J668="","No support | ","")&amp;IF(WEEKDAY(B668,2)&gt;5,"Weekend posting | ","")&amp;IF(COUNTIF(Settings!$A$14:$A$43,B668)&gt;0,"Holiday posting | ","")&amp;IF(B668&gt;Settings!$C$8,"Posted after close | ","")&amp;IF(OR(B668&lt;Settings!$C$6,B668&gt;Settings!$C$7),"Outside period | ","")&amp;IF(COUNTIF(Settings!$E$14:$E$43,C668&amp;"")&gt;0,"Sensitive account | ","")&amp;IF(AND(MAX(N(E668),N(F668))&gt;=Settings!$C$9,MOD(MAX(N(E668),N(F668)),Settings!$C$10)=0),"Round amount | ",""),LEN(IF(K668="No","Does not balance | ","")&amp;IF(I668="","Not approved | ",IF(UPPER(TRIM(H668))=UPPER(TRIM(I668)),"Self-approved | ",""))&amp;IF(J668="","No support | ","")&amp;IF(WEEKDAY(B668,2)&gt;5,"Weekend posting | ","")&amp;IF(COUNTIF(Settings!$A$14:$A$43,B668)&gt;0,"Holiday posting | ","")&amp;IF(B668&gt;Settings!$C$8,"Posted after close | ","")&amp;IF(OR(B668&lt;Settings!$C$6,B668&gt;Settings!$C$7),"Outside period | ","")&amp;IF(COUNTIF(Settings!$E$14:$E$43,C668&amp;"")&gt;0,"Sensitive account | ","")&amp;IF(AND(MAX(N(E668),N(F668))&gt;=Settings!$C$9,MOD(MAX(N(E668),N(F668)),Settings!$C$10)=0),"Round amount | ",""))-3)))</f>
        <v/>
      </c>
      <c r="M668" s="21" t="str">
        <f aca="false">IF(A668="","",IF(COUNTIF($A$9:A668,A668)=1,MAX($M$8:M667)+1,""))</f>
        <v/>
      </c>
    </row>
    <row r="669" customFormat="false" ht="15" hidden="false" customHeight="false" outlineLevel="0" collapsed="false">
      <c r="A669" s="8"/>
      <c r="B669" s="17"/>
      <c r="C669" s="19"/>
      <c r="D669" s="8"/>
      <c r="E669" s="18"/>
      <c r="F669" s="18"/>
      <c r="G669" s="8"/>
      <c r="H669" s="8"/>
      <c r="I669" s="8"/>
      <c r="J669" s="8"/>
      <c r="K669" s="10" t="str">
        <f aca="false">IF(A669="","",IF(ABS(SUMIFS($E$9:$E$2008,$A$9:$A$2008,A669)-SUMIFS($F$9:$F$2008,$A$9:$A$2008,A669))&lt;0.5,"Yes","No"))</f>
        <v/>
      </c>
      <c r="L669" s="10" t="str">
        <f aca="false">IF(A669="","",IF(IF(K669="No","Does not balance | ","")&amp;IF(I669="","Not approved | ",IF(UPPER(TRIM(H669))=UPPER(TRIM(I669)),"Self-approved | ",""))&amp;IF(J669="","No support | ","")&amp;IF(WEEKDAY(B669,2)&gt;5,"Weekend posting | ","")&amp;IF(COUNTIF(Settings!$A$14:$A$43,B669)&gt;0,"Holiday posting | ","")&amp;IF(B669&gt;Settings!$C$8,"Posted after close | ","")&amp;IF(OR(B669&lt;Settings!$C$6,B669&gt;Settings!$C$7),"Outside period | ","")&amp;IF(COUNTIF(Settings!$E$14:$E$43,C669&amp;"")&gt;0,"Sensitive account | ","")&amp;IF(AND(MAX(N(E669),N(F669))&gt;=Settings!$C$9,MOD(MAX(N(E669),N(F669)),Settings!$C$10)=0),"Round amount | ","")="","",LEFT(IF(K669="No","Does not balance | ","")&amp;IF(I669="","Not approved | ",IF(UPPER(TRIM(H669))=UPPER(TRIM(I669)),"Self-approved | ",""))&amp;IF(J669="","No support | ","")&amp;IF(WEEKDAY(B669,2)&gt;5,"Weekend posting | ","")&amp;IF(COUNTIF(Settings!$A$14:$A$43,B669)&gt;0,"Holiday posting | ","")&amp;IF(B669&gt;Settings!$C$8,"Posted after close | ","")&amp;IF(OR(B669&lt;Settings!$C$6,B669&gt;Settings!$C$7),"Outside period | ","")&amp;IF(COUNTIF(Settings!$E$14:$E$43,C669&amp;"")&gt;0,"Sensitive account | ","")&amp;IF(AND(MAX(N(E669),N(F669))&gt;=Settings!$C$9,MOD(MAX(N(E669),N(F669)),Settings!$C$10)=0),"Round amount | ",""),LEN(IF(K669="No","Does not balance | ","")&amp;IF(I669="","Not approved | ",IF(UPPER(TRIM(H669))=UPPER(TRIM(I669)),"Self-approved | ",""))&amp;IF(J669="","No support | ","")&amp;IF(WEEKDAY(B669,2)&gt;5,"Weekend posting | ","")&amp;IF(COUNTIF(Settings!$A$14:$A$43,B669)&gt;0,"Holiday posting | ","")&amp;IF(B669&gt;Settings!$C$8,"Posted after close | ","")&amp;IF(OR(B669&lt;Settings!$C$6,B669&gt;Settings!$C$7),"Outside period | ","")&amp;IF(COUNTIF(Settings!$E$14:$E$43,C669&amp;"")&gt;0,"Sensitive account | ","")&amp;IF(AND(MAX(N(E669),N(F669))&gt;=Settings!$C$9,MOD(MAX(N(E669),N(F669)),Settings!$C$10)=0),"Round amount | ",""))-3)))</f>
        <v/>
      </c>
      <c r="M669" s="21" t="str">
        <f aca="false">IF(A669="","",IF(COUNTIF($A$9:A669,A669)=1,MAX($M$8:M668)+1,""))</f>
        <v/>
      </c>
    </row>
    <row r="670" customFormat="false" ht="15" hidden="false" customHeight="false" outlineLevel="0" collapsed="false">
      <c r="A670" s="8"/>
      <c r="B670" s="17"/>
      <c r="C670" s="19"/>
      <c r="D670" s="8"/>
      <c r="E670" s="18"/>
      <c r="F670" s="18"/>
      <c r="G670" s="8"/>
      <c r="H670" s="8"/>
      <c r="I670" s="8"/>
      <c r="J670" s="8"/>
      <c r="K670" s="10" t="str">
        <f aca="false">IF(A670="","",IF(ABS(SUMIFS($E$9:$E$2008,$A$9:$A$2008,A670)-SUMIFS($F$9:$F$2008,$A$9:$A$2008,A670))&lt;0.5,"Yes","No"))</f>
        <v/>
      </c>
      <c r="L670" s="10" t="str">
        <f aca="false">IF(A670="","",IF(IF(K670="No","Does not balance | ","")&amp;IF(I670="","Not approved | ",IF(UPPER(TRIM(H670))=UPPER(TRIM(I670)),"Self-approved | ",""))&amp;IF(J670="","No support | ","")&amp;IF(WEEKDAY(B670,2)&gt;5,"Weekend posting | ","")&amp;IF(COUNTIF(Settings!$A$14:$A$43,B670)&gt;0,"Holiday posting | ","")&amp;IF(B670&gt;Settings!$C$8,"Posted after close | ","")&amp;IF(OR(B670&lt;Settings!$C$6,B670&gt;Settings!$C$7),"Outside period | ","")&amp;IF(COUNTIF(Settings!$E$14:$E$43,C670&amp;"")&gt;0,"Sensitive account | ","")&amp;IF(AND(MAX(N(E670),N(F670))&gt;=Settings!$C$9,MOD(MAX(N(E670),N(F670)),Settings!$C$10)=0),"Round amount | ","")="","",LEFT(IF(K670="No","Does not balance | ","")&amp;IF(I670="","Not approved | ",IF(UPPER(TRIM(H670))=UPPER(TRIM(I670)),"Self-approved | ",""))&amp;IF(J670="","No support | ","")&amp;IF(WEEKDAY(B670,2)&gt;5,"Weekend posting | ","")&amp;IF(COUNTIF(Settings!$A$14:$A$43,B670)&gt;0,"Holiday posting | ","")&amp;IF(B670&gt;Settings!$C$8,"Posted after close | ","")&amp;IF(OR(B670&lt;Settings!$C$6,B670&gt;Settings!$C$7),"Outside period | ","")&amp;IF(COUNTIF(Settings!$E$14:$E$43,C670&amp;"")&gt;0,"Sensitive account | ","")&amp;IF(AND(MAX(N(E670),N(F670))&gt;=Settings!$C$9,MOD(MAX(N(E670),N(F670)),Settings!$C$10)=0),"Round amount | ",""),LEN(IF(K670="No","Does not balance | ","")&amp;IF(I670="","Not approved | ",IF(UPPER(TRIM(H670))=UPPER(TRIM(I670)),"Self-approved | ",""))&amp;IF(J670="","No support | ","")&amp;IF(WEEKDAY(B670,2)&gt;5,"Weekend posting | ","")&amp;IF(COUNTIF(Settings!$A$14:$A$43,B670)&gt;0,"Holiday posting | ","")&amp;IF(B670&gt;Settings!$C$8,"Posted after close | ","")&amp;IF(OR(B670&lt;Settings!$C$6,B670&gt;Settings!$C$7),"Outside period | ","")&amp;IF(COUNTIF(Settings!$E$14:$E$43,C670&amp;"")&gt;0,"Sensitive account | ","")&amp;IF(AND(MAX(N(E670),N(F670))&gt;=Settings!$C$9,MOD(MAX(N(E670),N(F670)),Settings!$C$10)=0),"Round amount | ",""))-3)))</f>
        <v/>
      </c>
      <c r="M670" s="21" t="str">
        <f aca="false">IF(A670="","",IF(COUNTIF($A$9:A670,A670)=1,MAX($M$8:M669)+1,""))</f>
        <v/>
      </c>
    </row>
    <row r="671" customFormat="false" ht="15" hidden="false" customHeight="false" outlineLevel="0" collapsed="false">
      <c r="A671" s="8"/>
      <c r="B671" s="17"/>
      <c r="C671" s="19"/>
      <c r="D671" s="8"/>
      <c r="E671" s="18"/>
      <c r="F671" s="18"/>
      <c r="G671" s="8"/>
      <c r="H671" s="8"/>
      <c r="I671" s="8"/>
      <c r="J671" s="8"/>
      <c r="K671" s="10" t="str">
        <f aca="false">IF(A671="","",IF(ABS(SUMIFS($E$9:$E$2008,$A$9:$A$2008,A671)-SUMIFS($F$9:$F$2008,$A$9:$A$2008,A671))&lt;0.5,"Yes","No"))</f>
        <v/>
      </c>
      <c r="L671" s="10" t="str">
        <f aca="false">IF(A671="","",IF(IF(K671="No","Does not balance | ","")&amp;IF(I671="","Not approved | ",IF(UPPER(TRIM(H671))=UPPER(TRIM(I671)),"Self-approved | ",""))&amp;IF(J671="","No support | ","")&amp;IF(WEEKDAY(B671,2)&gt;5,"Weekend posting | ","")&amp;IF(COUNTIF(Settings!$A$14:$A$43,B671)&gt;0,"Holiday posting | ","")&amp;IF(B671&gt;Settings!$C$8,"Posted after close | ","")&amp;IF(OR(B671&lt;Settings!$C$6,B671&gt;Settings!$C$7),"Outside period | ","")&amp;IF(COUNTIF(Settings!$E$14:$E$43,C671&amp;"")&gt;0,"Sensitive account | ","")&amp;IF(AND(MAX(N(E671),N(F671))&gt;=Settings!$C$9,MOD(MAX(N(E671),N(F671)),Settings!$C$10)=0),"Round amount | ","")="","",LEFT(IF(K671="No","Does not balance | ","")&amp;IF(I671="","Not approved | ",IF(UPPER(TRIM(H671))=UPPER(TRIM(I671)),"Self-approved | ",""))&amp;IF(J671="","No support | ","")&amp;IF(WEEKDAY(B671,2)&gt;5,"Weekend posting | ","")&amp;IF(COUNTIF(Settings!$A$14:$A$43,B671)&gt;0,"Holiday posting | ","")&amp;IF(B671&gt;Settings!$C$8,"Posted after close | ","")&amp;IF(OR(B671&lt;Settings!$C$6,B671&gt;Settings!$C$7),"Outside period | ","")&amp;IF(COUNTIF(Settings!$E$14:$E$43,C671&amp;"")&gt;0,"Sensitive account | ","")&amp;IF(AND(MAX(N(E671),N(F671))&gt;=Settings!$C$9,MOD(MAX(N(E671),N(F671)),Settings!$C$10)=0),"Round amount | ",""),LEN(IF(K671="No","Does not balance | ","")&amp;IF(I671="","Not approved | ",IF(UPPER(TRIM(H671))=UPPER(TRIM(I671)),"Self-approved | ",""))&amp;IF(J671="","No support | ","")&amp;IF(WEEKDAY(B671,2)&gt;5,"Weekend posting | ","")&amp;IF(COUNTIF(Settings!$A$14:$A$43,B671)&gt;0,"Holiday posting | ","")&amp;IF(B671&gt;Settings!$C$8,"Posted after close | ","")&amp;IF(OR(B671&lt;Settings!$C$6,B671&gt;Settings!$C$7),"Outside period | ","")&amp;IF(COUNTIF(Settings!$E$14:$E$43,C671&amp;"")&gt;0,"Sensitive account | ","")&amp;IF(AND(MAX(N(E671),N(F671))&gt;=Settings!$C$9,MOD(MAX(N(E671),N(F671)),Settings!$C$10)=0),"Round amount | ",""))-3)))</f>
        <v/>
      </c>
      <c r="M671" s="21" t="str">
        <f aca="false">IF(A671="","",IF(COUNTIF($A$9:A671,A671)=1,MAX($M$8:M670)+1,""))</f>
        <v/>
      </c>
    </row>
    <row r="672" customFormat="false" ht="15" hidden="false" customHeight="false" outlineLevel="0" collapsed="false">
      <c r="A672" s="8"/>
      <c r="B672" s="17"/>
      <c r="C672" s="19"/>
      <c r="D672" s="8"/>
      <c r="E672" s="18"/>
      <c r="F672" s="18"/>
      <c r="G672" s="8"/>
      <c r="H672" s="8"/>
      <c r="I672" s="8"/>
      <c r="J672" s="8"/>
      <c r="K672" s="10" t="str">
        <f aca="false">IF(A672="","",IF(ABS(SUMIFS($E$9:$E$2008,$A$9:$A$2008,A672)-SUMIFS($F$9:$F$2008,$A$9:$A$2008,A672))&lt;0.5,"Yes","No"))</f>
        <v/>
      </c>
      <c r="L672" s="10" t="str">
        <f aca="false">IF(A672="","",IF(IF(K672="No","Does not balance | ","")&amp;IF(I672="","Not approved | ",IF(UPPER(TRIM(H672))=UPPER(TRIM(I672)),"Self-approved | ",""))&amp;IF(J672="","No support | ","")&amp;IF(WEEKDAY(B672,2)&gt;5,"Weekend posting | ","")&amp;IF(COUNTIF(Settings!$A$14:$A$43,B672)&gt;0,"Holiday posting | ","")&amp;IF(B672&gt;Settings!$C$8,"Posted after close | ","")&amp;IF(OR(B672&lt;Settings!$C$6,B672&gt;Settings!$C$7),"Outside period | ","")&amp;IF(COUNTIF(Settings!$E$14:$E$43,C672&amp;"")&gt;0,"Sensitive account | ","")&amp;IF(AND(MAX(N(E672),N(F672))&gt;=Settings!$C$9,MOD(MAX(N(E672),N(F672)),Settings!$C$10)=0),"Round amount | ","")="","",LEFT(IF(K672="No","Does not balance | ","")&amp;IF(I672="","Not approved | ",IF(UPPER(TRIM(H672))=UPPER(TRIM(I672)),"Self-approved | ",""))&amp;IF(J672="","No support | ","")&amp;IF(WEEKDAY(B672,2)&gt;5,"Weekend posting | ","")&amp;IF(COUNTIF(Settings!$A$14:$A$43,B672)&gt;0,"Holiday posting | ","")&amp;IF(B672&gt;Settings!$C$8,"Posted after close | ","")&amp;IF(OR(B672&lt;Settings!$C$6,B672&gt;Settings!$C$7),"Outside period | ","")&amp;IF(COUNTIF(Settings!$E$14:$E$43,C672&amp;"")&gt;0,"Sensitive account | ","")&amp;IF(AND(MAX(N(E672),N(F672))&gt;=Settings!$C$9,MOD(MAX(N(E672),N(F672)),Settings!$C$10)=0),"Round amount | ",""),LEN(IF(K672="No","Does not balance | ","")&amp;IF(I672="","Not approved | ",IF(UPPER(TRIM(H672))=UPPER(TRIM(I672)),"Self-approved | ",""))&amp;IF(J672="","No support | ","")&amp;IF(WEEKDAY(B672,2)&gt;5,"Weekend posting | ","")&amp;IF(COUNTIF(Settings!$A$14:$A$43,B672)&gt;0,"Holiday posting | ","")&amp;IF(B672&gt;Settings!$C$8,"Posted after close | ","")&amp;IF(OR(B672&lt;Settings!$C$6,B672&gt;Settings!$C$7),"Outside period | ","")&amp;IF(COUNTIF(Settings!$E$14:$E$43,C672&amp;"")&gt;0,"Sensitive account | ","")&amp;IF(AND(MAX(N(E672),N(F672))&gt;=Settings!$C$9,MOD(MAX(N(E672),N(F672)),Settings!$C$10)=0),"Round amount | ",""))-3)))</f>
        <v/>
      </c>
      <c r="M672" s="21" t="str">
        <f aca="false">IF(A672="","",IF(COUNTIF($A$9:A672,A672)=1,MAX($M$8:M671)+1,""))</f>
        <v/>
      </c>
    </row>
    <row r="673" customFormat="false" ht="15" hidden="false" customHeight="false" outlineLevel="0" collapsed="false">
      <c r="A673" s="8"/>
      <c r="B673" s="17"/>
      <c r="C673" s="19"/>
      <c r="D673" s="8"/>
      <c r="E673" s="18"/>
      <c r="F673" s="18"/>
      <c r="G673" s="8"/>
      <c r="H673" s="8"/>
      <c r="I673" s="8"/>
      <c r="J673" s="8"/>
      <c r="K673" s="10" t="str">
        <f aca="false">IF(A673="","",IF(ABS(SUMIFS($E$9:$E$2008,$A$9:$A$2008,A673)-SUMIFS($F$9:$F$2008,$A$9:$A$2008,A673))&lt;0.5,"Yes","No"))</f>
        <v/>
      </c>
      <c r="L673" s="10" t="str">
        <f aca="false">IF(A673="","",IF(IF(K673="No","Does not balance | ","")&amp;IF(I673="","Not approved | ",IF(UPPER(TRIM(H673))=UPPER(TRIM(I673)),"Self-approved | ",""))&amp;IF(J673="","No support | ","")&amp;IF(WEEKDAY(B673,2)&gt;5,"Weekend posting | ","")&amp;IF(COUNTIF(Settings!$A$14:$A$43,B673)&gt;0,"Holiday posting | ","")&amp;IF(B673&gt;Settings!$C$8,"Posted after close | ","")&amp;IF(OR(B673&lt;Settings!$C$6,B673&gt;Settings!$C$7),"Outside period | ","")&amp;IF(COUNTIF(Settings!$E$14:$E$43,C673&amp;"")&gt;0,"Sensitive account | ","")&amp;IF(AND(MAX(N(E673),N(F673))&gt;=Settings!$C$9,MOD(MAX(N(E673),N(F673)),Settings!$C$10)=0),"Round amount | ","")="","",LEFT(IF(K673="No","Does not balance | ","")&amp;IF(I673="","Not approved | ",IF(UPPER(TRIM(H673))=UPPER(TRIM(I673)),"Self-approved | ",""))&amp;IF(J673="","No support | ","")&amp;IF(WEEKDAY(B673,2)&gt;5,"Weekend posting | ","")&amp;IF(COUNTIF(Settings!$A$14:$A$43,B673)&gt;0,"Holiday posting | ","")&amp;IF(B673&gt;Settings!$C$8,"Posted after close | ","")&amp;IF(OR(B673&lt;Settings!$C$6,B673&gt;Settings!$C$7),"Outside period | ","")&amp;IF(COUNTIF(Settings!$E$14:$E$43,C673&amp;"")&gt;0,"Sensitive account | ","")&amp;IF(AND(MAX(N(E673),N(F673))&gt;=Settings!$C$9,MOD(MAX(N(E673),N(F673)),Settings!$C$10)=0),"Round amount | ",""),LEN(IF(K673="No","Does not balance | ","")&amp;IF(I673="","Not approved | ",IF(UPPER(TRIM(H673))=UPPER(TRIM(I673)),"Self-approved | ",""))&amp;IF(J673="","No support | ","")&amp;IF(WEEKDAY(B673,2)&gt;5,"Weekend posting | ","")&amp;IF(COUNTIF(Settings!$A$14:$A$43,B673)&gt;0,"Holiday posting | ","")&amp;IF(B673&gt;Settings!$C$8,"Posted after close | ","")&amp;IF(OR(B673&lt;Settings!$C$6,B673&gt;Settings!$C$7),"Outside period | ","")&amp;IF(COUNTIF(Settings!$E$14:$E$43,C673&amp;"")&gt;0,"Sensitive account | ","")&amp;IF(AND(MAX(N(E673),N(F673))&gt;=Settings!$C$9,MOD(MAX(N(E673),N(F673)),Settings!$C$10)=0),"Round amount | ",""))-3)))</f>
        <v/>
      </c>
      <c r="M673" s="21" t="str">
        <f aca="false">IF(A673="","",IF(COUNTIF($A$9:A673,A673)=1,MAX($M$8:M672)+1,""))</f>
        <v/>
      </c>
    </row>
    <row r="674" customFormat="false" ht="15" hidden="false" customHeight="false" outlineLevel="0" collapsed="false">
      <c r="A674" s="8"/>
      <c r="B674" s="17"/>
      <c r="C674" s="19"/>
      <c r="D674" s="8"/>
      <c r="E674" s="18"/>
      <c r="F674" s="18"/>
      <c r="G674" s="8"/>
      <c r="H674" s="8"/>
      <c r="I674" s="8"/>
      <c r="J674" s="8"/>
      <c r="K674" s="10" t="str">
        <f aca="false">IF(A674="","",IF(ABS(SUMIFS($E$9:$E$2008,$A$9:$A$2008,A674)-SUMIFS($F$9:$F$2008,$A$9:$A$2008,A674))&lt;0.5,"Yes","No"))</f>
        <v/>
      </c>
      <c r="L674" s="10" t="str">
        <f aca="false">IF(A674="","",IF(IF(K674="No","Does not balance | ","")&amp;IF(I674="","Not approved | ",IF(UPPER(TRIM(H674))=UPPER(TRIM(I674)),"Self-approved | ",""))&amp;IF(J674="","No support | ","")&amp;IF(WEEKDAY(B674,2)&gt;5,"Weekend posting | ","")&amp;IF(COUNTIF(Settings!$A$14:$A$43,B674)&gt;0,"Holiday posting | ","")&amp;IF(B674&gt;Settings!$C$8,"Posted after close | ","")&amp;IF(OR(B674&lt;Settings!$C$6,B674&gt;Settings!$C$7),"Outside period | ","")&amp;IF(COUNTIF(Settings!$E$14:$E$43,C674&amp;"")&gt;0,"Sensitive account | ","")&amp;IF(AND(MAX(N(E674),N(F674))&gt;=Settings!$C$9,MOD(MAX(N(E674),N(F674)),Settings!$C$10)=0),"Round amount | ","")="","",LEFT(IF(K674="No","Does not balance | ","")&amp;IF(I674="","Not approved | ",IF(UPPER(TRIM(H674))=UPPER(TRIM(I674)),"Self-approved | ",""))&amp;IF(J674="","No support | ","")&amp;IF(WEEKDAY(B674,2)&gt;5,"Weekend posting | ","")&amp;IF(COUNTIF(Settings!$A$14:$A$43,B674)&gt;0,"Holiday posting | ","")&amp;IF(B674&gt;Settings!$C$8,"Posted after close | ","")&amp;IF(OR(B674&lt;Settings!$C$6,B674&gt;Settings!$C$7),"Outside period | ","")&amp;IF(COUNTIF(Settings!$E$14:$E$43,C674&amp;"")&gt;0,"Sensitive account | ","")&amp;IF(AND(MAX(N(E674),N(F674))&gt;=Settings!$C$9,MOD(MAX(N(E674),N(F674)),Settings!$C$10)=0),"Round amount | ",""),LEN(IF(K674="No","Does not balance | ","")&amp;IF(I674="","Not approved | ",IF(UPPER(TRIM(H674))=UPPER(TRIM(I674)),"Self-approved | ",""))&amp;IF(J674="","No support | ","")&amp;IF(WEEKDAY(B674,2)&gt;5,"Weekend posting | ","")&amp;IF(COUNTIF(Settings!$A$14:$A$43,B674)&gt;0,"Holiday posting | ","")&amp;IF(B674&gt;Settings!$C$8,"Posted after close | ","")&amp;IF(OR(B674&lt;Settings!$C$6,B674&gt;Settings!$C$7),"Outside period | ","")&amp;IF(COUNTIF(Settings!$E$14:$E$43,C674&amp;"")&gt;0,"Sensitive account | ","")&amp;IF(AND(MAX(N(E674),N(F674))&gt;=Settings!$C$9,MOD(MAX(N(E674),N(F674)),Settings!$C$10)=0),"Round amount | ",""))-3)))</f>
        <v/>
      </c>
      <c r="M674" s="21" t="str">
        <f aca="false">IF(A674="","",IF(COUNTIF($A$9:A674,A674)=1,MAX($M$8:M673)+1,""))</f>
        <v/>
      </c>
    </row>
    <row r="675" customFormat="false" ht="15" hidden="false" customHeight="false" outlineLevel="0" collapsed="false">
      <c r="A675" s="8"/>
      <c r="B675" s="17"/>
      <c r="C675" s="19"/>
      <c r="D675" s="8"/>
      <c r="E675" s="18"/>
      <c r="F675" s="18"/>
      <c r="G675" s="8"/>
      <c r="H675" s="8"/>
      <c r="I675" s="8"/>
      <c r="J675" s="8"/>
      <c r="K675" s="10" t="str">
        <f aca="false">IF(A675="","",IF(ABS(SUMIFS($E$9:$E$2008,$A$9:$A$2008,A675)-SUMIFS($F$9:$F$2008,$A$9:$A$2008,A675))&lt;0.5,"Yes","No"))</f>
        <v/>
      </c>
      <c r="L675" s="10" t="str">
        <f aca="false">IF(A675="","",IF(IF(K675="No","Does not balance | ","")&amp;IF(I675="","Not approved | ",IF(UPPER(TRIM(H675))=UPPER(TRIM(I675)),"Self-approved | ",""))&amp;IF(J675="","No support | ","")&amp;IF(WEEKDAY(B675,2)&gt;5,"Weekend posting | ","")&amp;IF(COUNTIF(Settings!$A$14:$A$43,B675)&gt;0,"Holiday posting | ","")&amp;IF(B675&gt;Settings!$C$8,"Posted after close | ","")&amp;IF(OR(B675&lt;Settings!$C$6,B675&gt;Settings!$C$7),"Outside period | ","")&amp;IF(COUNTIF(Settings!$E$14:$E$43,C675&amp;"")&gt;0,"Sensitive account | ","")&amp;IF(AND(MAX(N(E675),N(F675))&gt;=Settings!$C$9,MOD(MAX(N(E675),N(F675)),Settings!$C$10)=0),"Round amount | ","")="","",LEFT(IF(K675="No","Does not balance | ","")&amp;IF(I675="","Not approved | ",IF(UPPER(TRIM(H675))=UPPER(TRIM(I675)),"Self-approved | ",""))&amp;IF(J675="","No support | ","")&amp;IF(WEEKDAY(B675,2)&gt;5,"Weekend posting | ","")&amp;IF(COUNTIF(Settings!$A$14:$A$43,B675)&gt;0,"Holiday posting | ","")&amp;IF(B675&gt;Settings!$C$8,"Posted after close | ","")&amp;IF(OR(B675&lt;Settings!$C$6,B675&gt;Settings!$C$7),"Outside period | ","")&amp;IF(COUNTIF(Settings!$E$14:$E$43,C675&amp;"")&gt;0,"Sensitive account | ","")&amp;IF(AND(MAX(N(E675),N(F675))&gt;=Settings!$C$9,MOD(MAX(N(E675),N(F675)),Settings!$C$10)=0),"Round amount | ",""),LEN(IF(K675="No","Does not balance | ","")&amp;IF(I675="","Not approved | ",IF(UPPER(TRIM(H675))=UPPER(TRIM(I675)),"Self-approved | ",""))&amp;IF(J675="","No support | ","")&amp;IF(WEEKDAY(B675,2)&gt;5,"Weekend posting | ","")&amp;IF(COUNTIF(Settings!$A$14:$A$43,B675)&gt;0,"Holiday posting | ","")&amp;IF(B675&gt;Settings!$C$8,"Posted after close | ","")&amp;IF(OR(B675&lt;Settings!$C$6,B675&gt;Settings!$C$7),"Outside period | ","")&amp;IF(COUNTIF(Settings!$E$14:$E$43,C675&amp;"")&gt;0,"Sensitive account | ","")&amp;IF(AND(MAX(N(E675),N(F675))&gt;=Settings!$C$9,MOD(MAX(N(E675),N(F675)),Settings!$C$10)=0),"Round amount | ",""))-3)))</f>
        <v/>
      </c>
      <c r="M675" s="21" t="str">
        <f aca="false">IF(A675="","",IF(COUNTIF($A$9:A675,A675)=1,MAX($M$8:M674)+1,""))</f>
        <v/>
      </c>
    </row>
    <row r="676" customFormat="false" ht="15" hidden="false" customHeight="false" outlineLevel="0" collapsed="false">
      <c r="A676" s="8"/>
      <c r="B676" s="17"/>
      <c r="C676" s="19"/>
      <c r="D676" s="8"/>
      <c r="E676" s="18"/>
      <c r="F676" s="18"/>
      <c r="G676" s="8"/>
      <c r="H676" s="8"/>
      <c r="I676" s="8"/>
      <c r="J676" s="8"/>
      <c r="K676" s="10" t="str">
        <f aca="false">IF(A676="","",IF(ABS(SUMIFS($E$9:$E$2008,$A$9:$A$2008,A676)-SUMIFS($F$9:$F$2008,$A$9:$A$2008,A676))&lt;0.5,"Yes","No"))</f>
        <v/>
      </c>
      <c r="L676" s="10" t="str">
        <f aca="false">IF(A676="","",IF(IF(K676="No","Does not balance | ","")&amp;IF(I676="","Not approved | ",IF(UPPER(TRIM(H676))=UPPER(TRIM(I676)),"Self-approved | ",""))&amp;IF(J676="","No support | ","")&amp;IF(WEEKDAY(B676,2)&gt;5,"Weekend posting | ","")&amp;IF(COUNTIF(Settings!$A$14:$A$43,B676)&gt;0,"Holiday posting | ","")&amp;IF(B676&gt;Settings!$C$8,"Posted after close | ","")&amp;IF(OR(B676&lt;Settings!$C$6,B676&gt;Settings!$C$7),"Outside period | ","")&amp;IF(COUNTIF(Settings!$E$14:$E$43,C676&amp;"")&gt;0,"Sensitive account | ","")&amp;IF(AND(MAX(N(E676),N(F676))&gt;=Settings!$C$9,MOD(MAX(N(E676),N(F676)),Settings!$C$10)=0),"Round amount | ","")="","",LEFT(IF(K676="No","Does not balance | ","")&amp;IF(I676="","Not approved | ",IF(UPPER(TRIM(H676))=UPPER(TRIM(I676)),"Self-approved | ",""))&amp;IF(J676="","No support | ","")&amp;IF(WEEKDAY(B676,2)&gt;5,"Weekend posting | ","")&amp;IF(COUNTIF(Settings!$A$14:$A$43,B676)&gt;0,"Holiday posting | ","")&amp;IF(B676&gt;Settings!$C$8,"Posted after close | ","")&amp;IF(OR(B676&lt;Settings!$C$6,B676&gt;Settings!$C$7),"Outside period | ","")&amp;IF(COUNTIF(Settings!$E$14:$E$43,C676&amp;"")&gt;0,"Sensitive account | ","")&amp;IF(AND(MAX(N(E676),N(F676))&gt;=Settings!$C$9,MOD(MAX(N(E676),N(F676)),Settings!$C$10)=0),"Round amount | ",""),LEN(IF(K676="No","Does not balance | ","")&amp;IF(I676="","Not approved | ",IF(UPPER(TRIM(H676))=UPPER(TRIM(I676)),"Self-approved | ",""))&amp;IF(J676="","No support | ","")&amp;IF(WEEKDAY(B676,2)&gt;5,"Weekend posting | ","")&amp;IF(COUNTIF(Settings!$A$14:$A$43,B676)&gt;0,"Holiday posting | ","")&amp;IF(B676&gt;Settings!$C$8,"Posted after close | ","")&amp;IF(OR(B676&lt;Settings!$C$6,B676&gt;Settings!$C$7),"Outside period | ","")&amp;IF(COUNTIF(Settings!$E$14:$E$43,C676&amp;"")&gt;0,"Sensitive account | ","")&amp;IF(AND(MAX(N(E676),N(F676))&gt;=Settings!$C$9,MOD(MAX(N(E676),N(F676)),Settings!$C$10)=0),"Round amount | ",""))-3)))</f>
        <v/>
      </c>
      <c r="M676" s="21" t="str">
        <f aca="false">IF(A676="","",IF(COUNTIF($A$9:A676,A676)=1,MAX($M$8:M675)+1,""))</f>
        <v/>
      </c>
    </row>
    <row r="677" customFormat="false" ht="15" hidden="false" customHeight="false" outlineLevel="0" collapsed="false">
      <c r="A677" s="8"/>
      <c r="B677" s="17"/>
      <c r="C677" s="19"/>
      <c r="D677" s="8"/>
      <c r="E677" s="18"/>
      <c r="F677" s="18"/>
      <c r="G677" s="8"/>
      <c r="H677" s="8"/>
      <c r="I677" s="8"/>
      <c r="J677" s="8"/>
      <c r="K677" s="10" t="str">
        <f aca="false">IF(A677="","",IF(ABS(SUMIFS($E$9:$E$2008,$A$9:$A$2008,A677)-SUMIFS($F$9:$F$2008,$A$9:$A$2008,A677))&lt;0.5,"Yes","No"))</f>
        <v/>
      </c>
      <c r="L677" s="10" t="str">
        <f aca="false">IF(A677="","",IF(IF(K677="No","Does not balance | ","")&amp;IF(I677="","Not approved | ",IF(UPPER(TRIM(H677))=UPPER(TRIM(I677)),"Self-approved | ",""))&amp;IF(J677="","No support | ","")&amp;IF(WEEKDAY(B677,2)&gt;5,"Weekend posting | ","")&amp;IF(COUNTIF(Settings!$A$14:$A$43,B677)&gt;0,"Holiday posting | ","")&amp;IF(B677&gt;Settings!$C$8,"Posted after close | ","")&amp;IF(OR(B677&lt;Settings!$C$6,B677&gt;Settings!$C$7),"Outside period | ","")&amp;IF(COUNTIF(Settings!$E$14:$E$43,C677&amp;"")&gt;0,"Sensitive account | ","")&amp;IF(AND(MAX(N(E677),N(F677))&gt;=Settings!$C$9,MOD(MAX(N(E677),N(F677)),Settings!$C$10)=0),"Round amount | ","")="","",LEFT(IF(K677="No","Does not balance | ","")&amp;IF(I677="","Not approved | ",IF(UPPER(TRIM(H677))=UPPER(TRIM(I677)),"Self-approved | ",""))&amp;IF(J677="","No support | ","")&amp;IF(WEEKDAY(B677,2)&gt;5,"Weekend posting | ","")&amp;IF(COUNTIF(Settings!$A$14:$A$43,B677)&gt;0,"Holiday posting | ","")&amp;IF(B677&gt;Settings!$C$8,"Posted after close | ","")&amp;IF(OR(B677&lt;Settings!$C$6,B677&gt;Settings!$C$7),"Outside period | ","")&amp;IF(COUNTIF(Settings!$E$14:$E$43,C677&amp;"")&gt;0,"Sensitive account | ","")&amp;IF(AND(MAX(N(E677),N(F677))&gt;=Settings!$C$9,MOD(MAX(N(E677),N(F677)),Settings!$C$10)=0),"Round amount | ",""),LEN(IF(K677="No","Does not balance | ","")&amp;IF(I677="","Not approved | ",IF(UPPER(TRIM(H677))=UPPER(TRIM(I677)),"Self-approved | ",""))&amp;IF(J677="","No support | ","")&amp;IF(WEEKDAY(B677,2)&gt;5,"Weekend posting | ","")&amp;IF(COUNTIF(Settings!$A$14:$A$43,B677)&gt;0,"Holiday posting | ","")&amp;IF(B677&gt;Settings!$C$8,"Posted after close | ","")&amp;IF(OR(B677&lt;Settings!$C$6,B677&gt;Settings!$C$7),"Outside period | ","")&amp;IF(COUNTIF(Settings!$E$14:$E$43,C677&amp;"")&gt;0,"Sensitive account | ","")&amp;IF(AND(MAX(N(E677),N(F677))&gt;=Settings!$C$9,MOD(MAX(N(E677),N(F677)),Settings!$C$10)=0),"Round amount | ",""))-3)))</f>
        <v/>
      </c>
      <c r="M677" s="21" t="str">
        <f aca="false">IF(A677="","",IF(COUNTIF($A$9:A677,A677)=1,MAX($M$8:M676)+1,""))</f>
        <v/>
      </c>
    </row>
    <row r="678" customFormat="false" ht="15" hidden="false" customHeight="false" outlineLevel="0" collapsed="false">
      <c r="A678" s="8"/>
      <c r="B678" s="17"/>
      <c r="C678" s="19"/>
      <c r="D678" s="8"/>
      <c r="E678" s="18"/>
      <c r="F678" s="18"/>
      <c r="G678" s="8"/>
      <c r="H678" s="8"/>
      <c r="I678" s="8"/>
      <c r="J678" s="8"/>
      <c r="K678" s="10" t="str">
        <f aca="false">IF(A678="","",IF(ABS(SUMIFS($E$9:$E$2008,$A$9:$A$2008,A678)-SUMIFS($F$9:$F$2008,$A$9:$A$2008,A678))&lt;0.5,"Yes","No"))</f>
        <v/>
      </c>
      <c r="L678" s="10" t="str">
        <f aca="false">IF(A678="","",IF(IF(K678="No","Does not balance | ","")&amp;IF(I678="","Not approved | ",IF(UPPER(TRIM(H678))=UPPER(TRIM(I678)),"Self-approved | ",""))&amp;IF(J678="","No support | ","")&amp;IF(WEEKDAY(B678,2)&gt;5,"Weekend posting | ","")&amp;IF(COUNTIF(Settings!$A$14:$A$43,B678)&gt;0,"Holiday posting | ","")&amp;IF(B678&gt;Settings!$C$8,"Posted after close | ","")&amp;IF(OR(B678&lt;Settings!$C$6,B678&gt;Settings!$C$7),"Outside period | ","")&amp;IF(COUNTIF(Settings!$E$14:$E$43,C678&amp;"")&gt;0,"Sensitive account | ","")&amp;IF(AND(MAX(N(E678),N(F678))&gt;=Settings!$C$9,MOD(MAX(N(E678),N(F678)),Settings!$C$10)=0),"Round amount | ","")="","",LEFT(IF(K678="No","Does not balance | ","")&amp;IF(I678="","Not approved | ",IF(UPPER(TRIM(H678))=UPPER(TRIM(I678)),"Self-approved | ",""))&amp;IF(J678="","No support | ","")&amp;IF(WEEKDAY(B678,2)&gt;5,"Weekend posting | ","")&amp;IF(COUNTIF(Settings!$A$14:$A$43,B678)&gt;0,"Holiday posting | ","")&amp;IF(B678&gt;Settings!$C$8,"Posted after close | ","")&amp;IF(OR(B678&lt;Settings!$C$6,B678&gt;Settings!$C$7),"Outside period | ","")&amp;IF(COUNTIF(Settings!$E$14:$E$43,C678&amp;"")&gt;0,"Sensitive account | ","")&amp;IF(AND(MAX(N(E678),N(F678))&gt;=Settings!$C$9,MOD(MAX(N(E678),N(F678)),Settings!$C$10)=0),"Round amount | ",""),LEN(IF(K678="No","Does not balance | ","")&amp;IF(I678="","Not approved | ",IF(UPPER(TRIM(H678))=UPPER(TRIM(I678)),"Self-approved | ",""))&amp;IF(J678="","No support | ","")&amp;IF(WEEKDAY(B678,2)&gt;5,"Weekend posting | ","")&amp;IF(COUNTIF(Settings!$A$14:$A$43,B678)&gt;0,"Holiday posting | ","")&amp;IF(B678&gt;Settings!$C$8,"Posted after close | ","")&amp;IF(OR(B678&lt;Settings!$C$6,B678&gt;Settings!$C$7),"Outside period | ","")&amp;IF(COUNTIF(Settings!$E$14:$E$43,C678&amp;"")&gt;0,"Sensitive account | ","")&amp;IF(AND(MAX(N(E678),N(F678))&gt;=Settings!$C$9,MOD(MAX(N(E678),N(F678)),Settings!$C$10)=0),"Round amount | ",""))-3)))</f>
        <v/>
      </c>
      <c r="M678" s="21" t="str">
        <f aca="false">IF(A678="","",IF(COUNTIF($A$9:A678,A678)=1,MAX($M$8:M677)+1,""))</f>
        <v/>
      </c>
    </row>
    <row r="679" customFormat="false" ht="15" hidden="false" customHeight="false" outlineLevel="0" collapsed="false">
      <c r="A679" s="8"/>
      <c r="B679" s="17"/>
      <c r="C679" s="19"/>
      <c r="D679" s="8"/>
      <c r="E679" s="18"/>
      <c r="F679" s="18"/>
      <c r="G679" s="8"/>
      <c r="H679" s="8"/>
      <c r="I679" s="8"/>
      <c r="J679" s="8"/>
      <c r="K679" s="10" t="str">
        <f aca="false">IF(A679="","",IF(ABS(SUMIFS($E$9:$E$2008,$A$9:$A$2008,A679)-SUMIFS($F$9:$F$2008,$A$9:$A$2008,A679))&lt;0.5,"Yes","No"))</f>
        <v/>
      </c>
      <c r="L679" s="10" t="str">
        <f aca="false">IF(A679="","",IF(IF(K679="No","Does not balance | ","")&amp;IF(I679="","Not approved | ",IF(UPPER(TRIM(H679))=UPPER(TRIM(I679)),"Self-approved | ",""))&amp;IF(J679="","No support | ","")&amp;IF(WEEKDAY(B679,2)&gt;5,"Weekend posting | ","")&amp;IF(COUNTIF(Settings!$A$14:$A$43,B679)&gt;0,"Holiday posting | ","")&amp;IF(B679&gt;Settings!$C$8,"Posted after close | ","")&amp;IF(OR(B679&lt;Settings!$C$6,B679&gt;Settings!$C$7),"Outside period | ","")&amp;IF(COUNTIF(Settings!$E$14:$E$43,C679&amp;"")&gt;0,"Sensitive account | ","")&amp;IF(AND(MAX(N(E679),N(F679))&gt;=Settings!$C$9,MOD(MAX(N(E679),N(F679)),Settings!$C$10)=0),"Round amount | ","")="","",LEFT(IF(K679="No","Does not balance | ","")&amp;IF(I679="","Not approved | ",IF(UPPER(TRIM(H679))=UPPER(TRIM(I679)),"Self-approved | ",""))&amp;IF(J679="","No support | ","")&amp;IF(WEEKDAY(B679,2)&gt;5,"Weekend posting | ","")&amp;IF(COUNTIF(Settings!$A$14:$A$43,B679)&gt;0,"Holiday posting | ","")&amp;IF(B679&gt;Settings!$C$8,"Posted after close | ","")&amp;IF(OR(B679&lt;Settings!$C$6,B679&gt;Settings!$C$7),"Outside period | ","")&amp;IF(COUNTIF(Settings!$E$14:$E$43,C679&amp;"")&gt;0,"Sensitive account | ","")&amp;IF(AND(MAX(N(E679),N(F679))&gt;=Settings!$C$9,MOD(MAX(N(E679),N(F679)),Settings!$C$10)=0),"Round amount | ",""),LEN(IF(K679="No","Does not balance | ","")&amp;IF(I679="","Not approved | ",IF(UPPER(TRIM(H679))=UPPER(TRIM(I679)),"Self-approved | ",""))&amp;IF(J679="","No support | ","")&amp;IF(WEEKDAY(B679,2)&gt;5,"Weekend posting | ","")&amp;IF(COUNTIF(Settings!$A$14:$A$43,B679)&gt;0,"Holiday posting | ","")&amp;IF(B679&gt;Settings!$C$8,"Posted after close | ","")&amp;IF(OR(B679&lt;Settings!$C$6,B679&gt;Settings!$C$7),"Outside period | ","")&amp;IF(COUNTIF(Settings!$E$14:$E$43,C679&amp;"")&gt;0,"Sensitive account | ","")&amp;IF(AND(MAX(N(E679),N(F679))&gt;=Settings!$C$9,MOD(MAX(N(E679),N(F679)),Settings!$C$10)=0),"Round amount | ",""))-3)))</f>
        <v/>
      </c>
      <c r="M679" s="21" t="str">
        <f aca="false">IF(A679="","",IF(COUNTIF($A$9:A679,A679)=1,MAX($M$8:M678)+1,""))</f>
        <v/>
      </c>
    </row>
    <row r="680" customFormat="false" ht="15" hidden="false" customHeight="false" outlineLevel="0" collapsed="false">
      <c r="A680" s="8"/>
      <c r="B680" s="17"/>
      <c r="C680" s="19"/>
      <c r="D680" s="8"/>
      <c r="E680" s="18"/>
      <c r="F680" s="18"/>
      <c r="G680" s="8"/>
      <c r="H680" s="8"/>
      <c r="I680" s="8"/>
      <c r="J680" s="8"/>
      <c r="K680" s="10" t="str">
        <f aca="false">IF(A680="","",IF(ABS(SUMIFS($E$9:$E$2008,$A$9:$A$2008,A680)-SUMIFS($F$9:$F$2008,$A$9:$A$2008,A680))&lt;0.5,"Yes","No"))</f>
        <v/>
      </c>
      <c r="L680" s="10" t="str">
        <f aca="false">IF(A680="","",IF(IF(K680="No","Does not balance | ","")&amp;IF(I680="","Not approved | ",IF(UPPER(TRIM(H680))=UPPER(TRIM(I680)),"Self-approved | ",""))&amp;IF(J680="","No support | ","")&amp;IF(WEEKDAY(B680,2)&gt;5,"Weekend posting | ","")&amp;IF(COUNTIF(Settings!$A$14:$A$43,B680)&gt;0,"Holiday posting | ","")&amp;IF(B680&gt;Settings!$C$8,"Posted after close | ","")&amp;IF(OR(B680&lt;Settings!$C$6,B680&gt;Settings!$C$7),"Outside period | ","")&amp;IF(COUNTIF(Settings!$E$14:$E$43,C680&amp;"")&gt;0,"Sensitive account | ","")&amp;IF(AND(MAX(N(E680),N(F680))&gt;=Settings!$C$9,MOD(MAX(N(E680),N(F680)),Settings!$C$10)=0),"Round amount | ","")="","",LEFT(IF(K680="No","Does not balance | ","")&amp;IF(I680="","Not approved | ",IF(UPPER(TRIM(H680))=UPPER(TRIM(I680)),"Self-approved | ",""))&amp;IF(J680="","No support | ","")&amp;IF(WEEKDAY(B680,2)&gt;5,"Weekend posting | ","")&amp;IF(COUNTIF(Settings!$A$14:$A$43,B680)&gt;0,"Holiday posting | ","")&amp;IF(B680&gt;Settings!$C$8,"Posted after close | ","")&amp;IF(OR(B680&lt;Settings!$C$6,B680&gt;Settings!$C$7),"Outside period | ","")&amp;IF(COUNTIF(Settings!$E$14:$E$43,C680&amp;"")&gt;0,"Sensitive account | ","")&amp;IF(AND(MAX(N(E680),N(F680))&gt;=Settings!$C$9,MOD(MAX(N(E680),N(F680)),Settings!$C$10)=0),"Round amount | ",""),LEN(IF(K680="No","Does not balance | ","")&amp;IF(I680="","Not approved | ",IF(UPPER(TRIM(H680))=UPPER(TRIM(I680)),"Self-approved | ",""))&amp;IF(J680="","No support | ","")&amp;IF(WEEKDAY(B680,2)&gt;5,"Weekend posting | ","")&amp;IF(COUNTIF(Settings!$A$14:$A$43,B680)&gt;0,"Holiday posting | ","")&amp;IF(B680&gt;Settings!$C$8,"Posted after close | ","")&amp;IF(OR(B680&lt;Settings!$C$6,B680&gt;Settings!$C$7),"Outside period | ","")&amp;IF(COUNTIF(Settings!$E$14:$E$43,C680&amp;"")&gt;0,"Sensitive account | ","")&amp;IF(AND(MAX(N(E680),N(F680))&gt;=Settings!$C$9,MOD(MAX(N(E680),N(F680)),Settings!$C$10)=0),"Round amount | ",""))-3)))</f>
        <v/>
      </c>
      <c r="M680" s="21" t="str">
        <f aca="false">IF(A680="","",IF(COUNTIF($A$9:A680,A680)=1,MAX($M$8:M679)+1,""))</f>
        <v/>
      </c>
    </row>
    <row r="681" customFormat="false" ht="15" hidden="false" customHeight="false" outlineLevel="0" collapsed="false">
      <c r="A681" s="8"/>
      <c r="B681" s="17"/>
      <c r="C681" s="19"/>
      <c r="D681" s="8"/>
      <c r="E681" s="18"/>
      <c r="F681" s="18"/>
      <c r="G681" s="8"/>
      <c r="H681" s="8"/>
      <c r="I681" s="8"/>
      <c r="J681" s="8"/>
      <c r="K681" s="10" t="str">
        <f aca="false">IF(A681="","",IF(ABS(SUMIFS($E$9:$E$2008,$A$9:$A$2008,A681)-SUMIFS($F$9:$F$2008,$A$9:$A$2008,A681))&lt;0.5,"Yes","No"))</f>
        <v/>
      </c>
      <c r="L681" s="10" t="str">
        <f aca="false">IF(A681="","",IF(IF(K681="No","Does not balance | ","")&amp;IF(I681="","Not approved | ",IF(UPPER(TRIM(H681))=UPPER(TRIM(I681)),"Self-approved | ",""))&amp;IF(J681="","No support | ","")&amp;IF(WEEKDAY(B681,2)&gt;5,"Weekend posting | ","")&amp;IF(COUNTIF(Settings!$A$14:$A$43,B681)&gt;0,"Holiday posting | ","")&amp;IF(B681&gt;Settings!$C$8,"Posted after close | ","")&amp;IF(OR(B681&lt;Settings!$C$6,B681&gt;Settings!$C$7),"Outside period | ","")&amp;IF(COUNTIF(Settings!$E$14:$E$43,C681&amp;"")&gt;0,"Sensitive account | ","")&amp;IF(AND(MAX(N(E681),N(F681))&gt;=Settings!$C$9,MOD(MAX(N(E681),N(F681)),Settings!$C$10)=0),"Round amount | ","")="","",LEFT(IF(K681="No","Does not balance | ","")&amp;IF(I681="","Not approved | ",IF(UPPER(TRIM(H681))=UPPER(TRIM(I681)),"Self-approved | ",""))&amp;IF(J681="","No support | ","")&amp;IF(WEEKDAY(B681,2)&gt;5,"Weekend posting | ","")&amp;IF(COUNTIF(Settings!$A$14:$A$43,B681)&gt;0,"Holiday posting | ","")&amp;IF(B681&gt;Settings!$C$8,"Posted after close | ","")&amp;IF(OR(B681&lt;Settings!$C$6,B681&gt;Settings!$C$7),"Outside period | ","")&amp;IF(COUNTIF(Settings!$E$14:$E$43,C681&amp;"")&gt;0,"Sensitive account | ","")&amp;IF(AND(MAX(N(E681),N(F681))&gt;=Settings!$C$9,MOD(MAX(N(E681),N(F681)),Settings!$C$10)=0),"Round amount | ",""),LEN(IF(K681="No","Does not balance | ","")&amp;IF(I681="","Not approved | ",IF(UPPER(TRIM(H681))=UPPER(TRIM(I681)),"Self-approved | ",""))&amp;IF(J681="","No support | ","")&amp;IF(WEEKDAY(B681,2)&gt;5,"Weekend posting | ","")&amp;IF(COUNTIF(Settings!$A$14:$A$43,B681)&gt;0,"Holiday posting | ","")&amp;IF(B681&gt;Settings!$C$8,"Posted after close | ","")&amp;IF(OR(B681&lt;Settings!$C$6,B681&gt;Settings!$C$7),"Outside period | ","")&amp;IF(COUNTIF(Settings!$E$14:$E$43,C681&amp;"")&gt;0,"Sensitive account | ","")&amp;IF(AND(MAX(N(E681),N(F681))&gt;=Settings!$C$9,MOD(MAX(N(E681),N(F681)),Settings!$C$10)=0),"Round amount | ",""))-3)))</f>
        <v/>
      </c>
      <c r="M681" s="21" t="str">
        <f aca="false">IF(A681="","",IF(COUNTIF($A$9:A681,A681)=1,MAX($M$8:M680)+1,""))</f>
        <v/>
      </c>
    </row>
    <row r="682" customFormat="false" ht="15" hidden="false" customHeight="false" outlineLevel="0" collapsed="false">
      <c r="A682" s="8"/>
      <c r="B682" s="17"/>
      <c r="C682" s="19"/>
      <c r="D682" s="8"/>
      <c r="E682" s="18"/>
      <c r="F682" s="18"/>
      <c r="G682" s="8"/>
      <c r="H682" s="8"/>
      <c r="I682" s="8"/>
      <c r="J682" s="8"/>
      <c r="K682" s="10" t="str">
        <f aca="false">IF(A682="","",IF(ABS(SUMIFS($E$9:$E$2008,$A$9:$A$2008,A682)-SUMIFS($F$9:$F$2008,$A$9:$A$2008,A682))&lt;0.5,"Yes","No"))</f>
        <v/>
      </c>
      <c r="L682" s="10" t="str">
        <f aca="false">IF(A682="","",IF(IF(K682="No","Does not balance | ","")&amp;IF(I682="","Not approved | ",IF(UPPER(TRIM(H682))=UPPER(TRIM(I682)),"Self-approved | ",""))&amp;IF(J682="","No support | ","")&amp;IF(WEEKDAY(B682,2)&gt;5,"Weekend posting | ","")&amp;IF(COUNTIF(Settings!$A$14:$A$43,B682)&gt;0,"Holiday posting | ","")&amp;IF(B682&gt;Settings!$C$8,"Posted after close | ","")&amp;IF(OR(B682&lt;Settings!$C$6,B682&gt;Settings!$C$7),"Outside period | ","")&amp;IF(COUNTIF(Settings!$E$14:$E$43,C682&amp;"")&gt;0,"Sensitive account | ","")&amp;IF(AND(MAX(N(E682),N(F682))&gt;=Settings!$C$9,MOD(MAX(N(E682),N(F682)),Settings!$C$10)=0),"Round amount | ","")="","",LEFT(IF(K682="No","Does not balance | ","")&amp;IF(I682="","Not approved | ",IF(UPPER(TRIM(H682))=UPPER(TRIM(I682)),"Self-approved | ",""))&amp;IF(J682="","No support | ","")&amp;IF(WEEKDAY(B682,2)&gt;5,"Weekend posting | ","")&amp;IF(COUNTIF(Settings!$A$14:$A$43,B682)&gt;0,"Holiday posting | ","")&amp;IF(B682&gt;Settings!$C$8,"Posted after close | ","")&amp;IF(OR(B682&lt;Settings!$C$6,B682&gt;Settings!$C$7),"Outside period | ","")&amp;IF(COUNTIF(Settings!$E$14:$E$43,C682&amp;"")&gt;0,"Sensitive account | ","")&amp;IF(AND(MAX(N(E682),N(F682))&gt;=Settings!$C$9,MOD(MAX(N(E682),N(F682)),Settings!$C$10)=0),"Round amount | ",""),LEN(IF(K682="No","Does not balance | ","")&amp;IF(I682="","Not approved | ",IF(UPPER(TRIM(H682))=UPPER(TRIM(I682)),"Self-approved | ",""))&amp;IF(J682="","No support | ","")&amp;IF(WEEKDAY(B682,2)&gt;5,"Weekend posting | ","")&amp;IF(COUNTIF(Settings!$A$14:$A$43,B682)&gt;0,"Holiday posting | ","")&amp;IF(B682&gt;Settings!$C$8,"Posted after close | ","")&amp;IF(OR(B682&lt;Settings!$C$6,B682&gt;Settings!$C$7),"Outside period | ","")&amp;IF(COUNTIF(Settings!$E$14:$E$43,C682&amp;"")&gt;0,"Sensitive account | ","")&amp;IF(AND(MAX(N(E682),N(F682))&gt;=Settings!$C$9,MOD(MAX(N(E682),N(F682)),Settings!$C$10)=0),"Round amount | ",""))-3)))</f>
        <v/>
      </c>
      <c r="M682" s="21" t="str">
        <f aca="false">IF(A682="","",IF(COUNTIF($A$9:A682,A682)=1,MAX($M$8:M681)+1,""))</f>
        <v/>
      </c>
    </row>
    <row r="683" customFormat="false" ht="15" hidden="false" customHeight="false" outlineLevel="0" collapsed="false">
      <c r="A683" s="8"/>
      <c r="B683" s="17"/>
      <c r="C683" s="19"/>
      <c r="D683" s="8"/>
      <c r="E683" s="18"/>
      <c r="F683" s="18"/>
      <c r="G683" s="8"/>
      <c r="H683" s="8"/>
      <c r="I683" s="8"/>
      <c r="J683" s="8"/>
      <c r="K683" s="10" t="str">
        <f aca="false">IF(A683="","",IF(ABS(SUMIFS($E$9:$E$2008,$A$9:$A$2008,A683)-SUMIFS($F$9:$F$2008,$A$9:$A$2008,A683))&lt;0.5,"Yes","No"))</f>
        <v/>
      </c>
      <c r="L683" s="10" t="str">
        <f aca="false">IF(A683="","",IF(IF(K683="No","Does not balance | ","")&amp;IF(I683="","Not approved | ",IF(UPPER(TRIM(H683))=UPPER(TRIM(I683)),"Self-approved | ",""))&amp;IF(J683="","No support | ","")&amp;IF(WEEKDAY(B683,2)&gt;5,"Weekend posting | ","")&amp;IF(COUNTIF(Settings!$A$14:$A$43,B683)&gt;0,"Holiday posting | ","")&amp;IF(B683&gt;Settings!$C$8,"Posted after close | ","")&amp;IF(OR(B683&lt;Settings!$C$6,B683&gt;Settings!$C$7),"Outside period | ","")&amp;IF(COUNTIF(Settings!$E$14:$E$43,C683&amp;"")&gt;0,"Sensitive account | ","")&amp;IF(AND(MAX(N(E683),N(F683))&gt;=Settings!$C$9,MOD(MAX(N(E683),N(F683)),Settings!$C$10)=0),"Round amount | ","")="","",LEFT(IF(K683="No","Does not balance | ","")&amp;IF(I683="","Not approved | ",IF(UPPER(TRIM(H683))=UPPER(TRIM(I683)),"Self-approved | ",""))&amp;IF(J683="","No support | ","")&amp;IF(WEEKDAY(B683,2)&gt;5,"Weekend posting | ","")&amp;IF(COUNTIF(Settings!$A$14:$A$43,B683)&gt;0,"Holiday posting | ","")&amp;IF(B683&gt;Settings!$C$8,"Posted after close | ","")&amp;IF(OR(B683&lt;Settings!$C$6,B683&gt;Settings!$C$7),"Outside period | ","")&amp;IF(COUNTIF(Settings!$E$14:$E$43,C683&amp;"")&gt;0,"Sensitive account | ","")&amp;IF(AND(MAX(N(E683),N(F683))&gt;=Settings!$C$9,MOD(MAX(N(E683),N(F683)),Settings!$C$10)=0),"Round amount | ",""),LEN(IF(K683="No","Does not balance | ","")&amp;IF(I683="","Not approved | ",IF(UPPER(TRIM(H683))=UPPER(TRIM(I683)),"Self-approved | ",""))&amp;IF(J683="","No support | ","")&amp;IF(WEEKDAY(B683,2)&gt;5,"Weekend posting | ","")&amp;IF(COUNTIF(Settings!$A$14:$A$43,B683)&gt;0,"Holiday posting | ","")&amp;IF(B683&gt;Settings!$C$8,"Posted after close | ","")&amp;IF(OR(B683&lt;Settings!$C$6,B683&gt;Settings!$C$7),"Outside period | ","")&amp;IF(COUNTIF(Settings!$E$14:$E$43,C683&amp;"")&gt;0,"Sensitive account | ","")&amp;IF(AND(MAX(N(E683),N(F683))&gt;=Settings!$C$9,MOD(MAX(N(E683),N(F683)),Settings!$C$10)=0),"Round amount | ",""))-3)))</f>
        <v/>
      </c>
      <c r="M683" s="21" t="str">
        <f aca="false">IF(A683="","",IF(COUNTIF($A$9:A683,A683)=1,MAX($M$8:M682)+1,""))</f>
        <v/>
      </c>
    </row>
    <row r="684" customFormat="false" ht="15" hidden="false" customHeight="false" outlineLevel="0" collapsed="false">
      <c r="A684" s="8"/>
      <c r="B684" s="17"/>
      <c r="C684" s="19"/>
      <c r="D684" s="8"/>
      <c r="E684" s="18"/>
      <c r="F684" s="18"/>
      <c r="G684" s="8"/>
      <c r="H684" s="8"/>
      <c r="I684" s="8"/>
      <c r="J684" s="8"/>
      <c r="K684" s="10" t="str">
        <f aca="false">IF(A684="","",IF(ABS(SUMIFS($E$9:$E$2008,$A$9:$A$2008,A684)-SUMIFS($F$9:$F$2008,$A$9:$A$2008,A684))&lt;0.5,"Yes","No"))</f>
        <v/>
      </c>
      <c r="L684" s="10" t="str">
        <f aca="false">IF(A684="","",IF(IF(K684="No","Does not balance | ","")&amp;IF(I684="","Not approved | ",IF(UPPER(TRIM(H684))=UPPER(TRIM(I684)),"Self-approved | ",""))&amp;IF(J684="","No support | ","")&amp;IF(WEEKDAY(B684,2)&gt;5,"Weekend posting | ","")&amp;IF(COUNTIF(Settings!$A$14:$A$43,B684)&gt;0,"Holiday posting | ","")&amp;IF(B684&gt;Settings!$C$8,"Posted after close | ","")&amp;IF(OR(B684&lt;Settings!$C$6,B684&gt;Settings!$C$7),"Outside period | ","")&amp;IF(COUNTIF(Settings!$E$14:$E$43,C684&amp;"")&gt;0,"Sensitive account | ","")&amp;IF(AND(MAX(N(E684),N(F684))&gt;=Settings!$C$9,MOD(MAX(N(E684),N(F684)),Settings!$C$10)=0),"Round amount | ","")="","",LEFT(IF(K684="No","Does not balance | ","")&amp;IF(I684="","Not approved | ",IF(UPPER(TRIM(H684))=UPPER(TRIM(I684)),"Self-approved | ",""))&amp;IF(J684="","No support | ","")&amp;IF(WEEKDAY(B684,2)&gt;5,"Weekend posting | ","")&amp;IF(COUNTIF(Settings!$A$14:$A$43,B684)&gt;0,"Holiday posting | ","")&amp;IF(B684&gt;Settings!$C$8,"Posted after close | ","")&amp;IF(OR(B684&lt;Settings!$C$6,B684&gt;Settings!$C$7),"Outside period | ","")&amp;IF(COUNTIF(Settings!$E$14:$E$43,C684&amp;"")&gt;0,"Sensitive account | ","")&amp;IF(AND(MAX(N(E684),N(F684))&gt;=Settings!$C$9,MOD(MAX(N(E684),N(F684)),Settings!$C$10)=0),"Round amount | ",""),LEN(IF(K684="No","Does not balance | ","")&amp;IF(I684="","Not approved | ",IF(UPPER(TRIM(H684))=UPPER(TRIM(I684)),"Self-approved | ",""))&amp;IF(J684="","No support | ","")&amp;IF(WEEKDAY(B684,2)&gt;5,"Weekend posting | ","")&amp;IF(COUNTIF(Settings!$A$14:$A$43,B684)&gt;0,"Holiday posting | ","")&amp;IF(B684&gt;Settings!$C$8,"Posted after close | ","")&amp;IF(OR(B684&lt;Settings!$C$6,B684&gt;Settings!$C$7),"Outside period | ","")&amp;IF(COUNTIF(Settings!$E$14:$E$43,C684&amp;"")&gt;0,"Sensitive account | ","")&amp;IF(AND(MAX(N(E684),N(F684))&gt;=Settings!$C$9,MOD(MAX(N(E684),N(F684)),Settings!$C$10)=0),"Round amount | ",""))-3)))</f>
        <v/>
      </c>
      <c r="M684" s="21" t="str">
        <f aca="false">IF(A684="","",IF(COUNTIF($A$9:A684,A684)=1,MAX($M$8:M683)+1,""))</f>
        <v/>
      </c>
    </row>
    <row r="685" customFormat="false" ht="15" hidden="false" customHeight="false" outlineLevel="0" collapsed="false">
      <c r="A685" s="8"/>
      <c r="B685" s="17"/>
      <c r="C685" s="19"/>
      <c r="D685" s="8"/>
      <c r="E685" s="18"/>
      <c r="F685" s="18"/>
      <c r="G685" s="8"/>
      <c r="H685" s="8"/>
      <c r="I685" s="8"/>
      <c r="J685" s="8"/>
      <c r="K685" s="10" t="str">
        <f aca="false">IF(A685="","",IF(ABS(SUMIFS($E$9:$E$2008,$A$9:$A$2008,A685)-SUMIFS($F$9:$F$2008,$A$9:$A$2008,A685))&lt;0.5,"Yes","No"))</f>
        <v/>
      </c>
      <c r="L685" s="10" t="str">
        <f aca="false">IF(A685="","",IF(IF(K685="No","Does not balance | ","")&amp;IF(I685="","Not approved | ",IF(UPPER(TRIM(H685))=UPPER(TRIM(I685)),"Self-approved | ",""))&amp;IF(J685="","No support | ","")&amp;IF(WEEKDAY(B685,2)&gt;5,"Weekend posting | ","")&amp;IF(COUNTIF(Settings!$A$14:$A$43,B685)&gt;0,"Holiday posting | ","")&amp;IF(B685&gt;Settings!$C$8,"Posted after close | ","")&amp;IF(OR(B685&lt;Settings!$C$6,B685&gt;Settings!$C$7),"Outside period | ","")&amp;IF(COUNTIF(Settings!$E$14:$E$43,C685&amp;"")&gt;0,"Sensitive account | ","")&amp;IF(AND(MAX(N(E685),N(F685))&gt;=Settings!$C$9,MOD(MAX(N(E685),N(F685)),Settings!$C$10)=0),"Round amount | ","")="","",LEFT(IF(K685="No","Does not balance | ","")&amp;IF(I685="","Not approved | ",IF(UPPER(TRIM(H685))=UPPER(TRIM(I685)),"Self-approved | ",""))&amp;IF(J685="","No support | ","")&amp;IF(WEEKDAY(B685,2)&gt;5,"Weekend posting | ","")&amp;IF(COUNTIF(Settings!$A$14:$A$43,B685)&gt;0,"Holiday posting | ","")&amp;IF(B685&gt;Settings!$C$8,"Posted after close | ","")&amp;IF(OR(B685&lt;Settings!$C$6,B685&gt;Settings!$C$7),"Outside period | ","")&amp;IF(COUNTIF(Settings!$E$14:$E$43,C685&amp;"")&gt;0,"Sensitive account | ","")&amp;IF(AND(MAX(N(E685),N(F685))&gt;=Settings!$C$9,MOD(MAX(N(E685),N(F685)),Settings!$C$10)=0),"Round amount | ",""),LEN(IF(K685="No","Does not balance | ","")&amp;IF(I685="","Not approved | ",IF(UPPER(TRIM(H685))=UPPER(TRIM(I685)),"Self-approved | ",""))&amp;IF(J685="","No support | ","")&amp;IF(WEEKDAY(B685,2)&gt;5,"Weekend posting | ","")&amp;IF(COUNTIF(Settings!$A$14:$A$43,B685)&gt;0,"Holiday posting | ","")&amp;IF(B685&gt;Settings!$C$8,"Posted after close | ","")&amp;IF(OR(B685&lt;Settings!$C$6,B685&gt;Settings!$C$7),"Outside period | ","")&amp;IF(COUNTIF(Settings!$E$14:$E$43,C685&amp;"")&gt;0,"Sensitive account | ","")&amp;IF(AND(MAX(N(E685),N(F685))&gt;=Settings!$C$9,MOD(MAX(N(E685),N(F685)),Settings!$C$10)=0),"Round amount | ",""))-3)))</f>
        <v/>
      </c>
      <c r="M685" s="21" t="str">
        <f aca="false">IF(A685="","",IF(COUNTIF($A$9:A685,A685)=1,MAX($M$8:M684)+1,""))</f>
        <v/>
      </c>
    </row>
    <row r="686" customFormat="false" ht="15" hidden="false" customHeight="false" outlineLevel="0" collapsed="false">
      <c r="A686" s="8"/>
      <c r="B686" s="17"/>
      <c r="C686" s="19"/>
      <c r="D686" s="8"/>
      <c r="E686" s="18"/>
      <c r="F686" s="18"/>
      <c r="G686" s="8"/>
      <c r="H686" s="8"/>
      <c r="I686" s="8"/>
      <c r="J686" s="8"/>
      <c r="K686" s="10" t="str">
        <f aca="false">IF(A686="","",IF(ABS(SUMIFS($E$9:$E$2008,$A$9:$A$2008,A686)-SUMIFS($F$9:$F$2008,$A$9:$A$2008,A686))&lt;0.5,"Yes","No"))</f>
        <v/>
      </c>
      <c r="L686" s="10" t="str">
        <f aca="false">IF(A686="","",IF(IF(K686="No","Does not balance | ","")&amp;IF(I686="","Not approved | ",IF(UPPER(TRIM(H686))=UPPER(TRIM(I686)),"Self-approved | ",""))&amp;IF(J686="","No support | ","")&amp;IF(WEEKDAY(B686,2)&gt;5,"Weekend posting | ","")&amp;IF(COUNTIF(Settings!$A$14:$A$43,B686)&gt;0,"Holiday posting | ","")&amp;IF(B686&gt;Settings!$C$8,"Posted after close | ","")&amp;IF(OR(B686&lt;Settings!$C$6,B686&gt;Settings!$C$7),"Outside period | ","")&amp;IF(COUNTIF(Settings!$E$14:$E$43,C686&amp;"")&gt;0,"Sensitive account | ","")&amp;IF(AND(MAX(N(E686),N(F686))&gt;=Settings!$C$9,MOD(MAX(N(E686),N(F686)),Settings!$C$10)=0),"Round amount | ","")="","",LEFT(IF(K686="No","Does not balance | ","")&amp;IF(I686="","Not approved | ",IF(UPPER(TRIM(H686))=UPPER(TRIM(I686)),"Self-approved | ",""))&amp;IF(J686="","No support | ","")&amp;IF(WEEKDAY(B686,2)&gt;5,"Weekend posting | ","")&amp;IF(COUNTIF(Settings!$A$14:$A$43,B686)&gt;0,"Holiday posting | ","")&amp;IF(B686&gt;Settings!$C$8,"Posted after close | ","")&amp;IF(OR(B686&lt;Settings!$C$6,B686&gt;Settings!$C$7),"Outside period | ","")&amp;IF(COUNTIF(Settings!$E$14:$E$43,C686&amp;"")&gt;0,"Sensitive account | ","")&amp;IF(AND(MAX(N(E686),N(F686))&gt;=Settings!$C$9,MOD(MAX(N(E686),N(F686)),Settings!$C$10)=0),"Round amount | ",""),LEN(IF(K686="No","Does not balance | ","")&amp;IF(I686="","Not approved | ",IF(UPPER(TRIM(H686))=UPPER(TRIM(I686)),"Self-approved | ",""))&amp;IF(J686="","No support | ","")&amp;IF(WEEKDAY(B686,2)&gt;5,"Weekend posting | ","")&amp;IF(COUNTIF(Settings!$A$14:$A$43,B686)&gt;0,"Holiday posting | ","")&amp;IF(B686&gt;Settings!$C$8,"Posted after close | ","")&amp;IF(OR(B686&lt;Settings!$C$6,B686&gt;Settings!$C$7),"Outside period | ","")&amp;IF(COUNTIF(Settings!$E$14:$E$43,C686&amp;"")&gt;0,"Sensitive account | ","")&amp;IF(AND(MAX(N(E686),N(F686))&gt;=Settings!$C$9,MOD(MAX(N(E686),N(F686)),Settings!$C$10)=0),"Round amount | ",""))-3)))</f>
        <v/>
      </c>
      <c r="M686" s="21" t="str">
        <f aca="false">IF(A686="","",IF(COUNTIF($A$9:A686,A686)=1,MAX($M$8:M685)+1,""))</f>
        <v/>
      </c>
    </row>
    <row r="687" customFormat="false" ht="15" hidden="false" customHeight="false" outlineLevel="0" collapsed="false">
      <c r="A687" s="8"/>
      <c r="B687" s="17"/>
      <c r="C687" s="19"/>
      <c r="D687" s="8"/>
      <c r="E687" s="18"/>
      <c r="F687" s="18"/>
      <c r="G687" s="8"/>
      <c r="H687" s="8"/>
      <c r="I687" s="8"/>
      <c r="J687" s="8"/>
      <c r="K687" s="10" t="str">
        <f aca="false">IF(A687="","",IF(ABS(SUMIFS($E$9:$E$2008,$A$9:$A$2008,A687)-SUMIFS($F$9:$F$2008,$A$9:$A$2008,A687))&lt;0.5,"Yes","No"))</f>
        <v/>
      </c>
      <c r="L687" s="10" t="str">
        <f aca="false">IF(A687="","",IF(IF(K687="No","Does not balance | ","")&amp;IF(I687="","Not approved | ",IF(UPPER(TRIM(H687))=UPPER(TRIM(I687)),"Self-approved | ",""))&amp;IF(J687="","No support | ","")&amp;IF(WEEKDAY(B687,2)&gt;5,"Weekend posting | ","")&amp;IF(COUNTIF(Settings!$A$14:$A$43,B687)&gt;0,"Holiday posting | ","")&amp;IF(B687&gt;Settings!$C$8,"Posted after close | ","")&amp;IF(OR(B687&lt;Settings!$C$6,B687&gt;Settings!$C$7),"Outside period | ","")&amp;IF(COUNTIF(Settings!$E$14:$E$43,C687&amp;"")&gt;0,"Sensitive account | ","")&amp;IF(AND(MAX(N(E687),N(F687))&gt;=Settings!$C$9,MOD(MAX(N(E687),N(F687)),Settings!$C$10)=0),"Round amount | ","")="","",LEFT(IF(K687="No","Does not balance | ","")&amp;IF(I687="","Not approved | ",IF(UPPER(TRIM(H687))=UPPER(TRIM(I687)),"Self-approved | ",""))&amp;IF(J687="","No support | ","")&amp;IF(WEEKDAY(B687,2)&gt;5,"Weekend posting | ","")&amp;IF(COUNTIF(Settings!$A$14:$A$43,B687)&gt;0,"Holiday posting | ","")&amp;IF(B687&gt;Settings!$C$8,"Posted after close | ","")&amp;IF(OR(B687&lt;Settings!$C$6,B687&gt;Settings!$C$7),"Outside period | ","")&amp;IF(COUNTIF(Settings!$E$14:$E$43,C687&amp;"")&gt;0,"Sensitive account | ","")&amp;IF(AND(MAX(N(E687),N(F687))&gt;=Settings!$C$9,MOD(MAX(N(E687),N(F687)),Settings!$C$10)=0),"Round amount | ",""),LEN(IF(K687="No","Does not balance | ","")&amp;IF(I687="","Not approved | ",IF(UPPER(TRIM(H687))=UPPER(TRIM(I687)),"Self-approved | ",""))&amp;IF(J687="","No support | ","")&amp;IF(WEEKDAY(B687,2)&gt;5,"Weekend posting | ","")&amp;IF(COUNTIF(Settings!$A$14:$A$43,B687)&gt;0,"Holiday posting | ","")&amp;IF(B687&gt;Settings!$C$8,"Posted after close | ","")&amp;IF(OR(B687&lt;Settings!$C$6,B687&gt;Settings!$C$7),"Outside period | ","")&amp;IF(COUNTIF(Settings!$E$14:$E$43,C687&amp;"")&gt;0,"Sensitive account | ","")&amp;IF(AND(MAX(N(E687),N(F687))&gt;=Settings!$C$9,MOD(MAX(N(E687),N(F687)),Settings!$C$10)=0),"Round amount | ",""))-3)))</f>
        <v/>
      </c>
      <c r="M687" s="21" t="str">
        <f aca="false">IF(A687="","",IF(COUNTIF($A$9:A687,A687)=1,MAX($M$8:M686)+1,""))</f>
        <v/>
      </c>
    </row>
    <row r="688" customFormat="false" ht="15" hidden="false" customHeight="false" outlineLevel="0" collapsed="false">
      <c r="A688" s="8"/>
      <c r="B688" s="17"/>
      <c r="C688" s="19"/>
      <c r="D688" s="8"/>
      <c r="E688" s="18"/>
      <c r="F688" s="18"/>
      <c r="G688" s="8"/>
      <c r="H688" s="8"/>
      <c r="I688" s="8"/>
      <c r="J688" s="8"/>
      <c r="K688" s="10" t="str">
        <f aca="false">IF(A688="","",IF(ABS(SUMIFS($E$9:$E$2008,$A$9:$A$2008,A688)-SUMIFS($F$9:$F$2008,$A$9:$A$2008,A688))&lt;0.5,"Yes","No"))</f>
        <v/>
      </c>
      <c r="L688" s="10" t="str">
        <f aca="false">IF(A688="","",IF(IF(K688="No","Does not balance | ","")&amp;IF(I688="","Not approved | ",IF(UPPER(TRIM(H688))=UPPER(TRIM(I688)),"Self-approved | ",""))&amp;IF(J688="","No support | ","")&amp;IF(WEEKDAY(B688,2)&gt;5,"Weekend posting | ","")&amp;IF(COUNTIF(Settings!$A$14:$A$43,B688)&gt;0,"Holiday posting | ","")&amp;IF(B688&gt;Settings!$C$8,"Posted after close | ","")&amp;IF(OR(B688&lt;Settings!$C$6,B688&gt;Settings!$C$7),"Outside period | ","")&amp;IF(COUNTIF(Settings!$E$14:$E$43,C688&amp;"")&gt;0,"Sensitive account | ","")&amp;IF(AND(MAX(N(E688),N(F688))&gt;=Settings!$C$9,MOD(MAX(N(E688),N(F688)),Settings!$C$10)=0),"Round amount | ","")="","",LEFT(IF(K688="No","Does not balance | ","")&amp;IF(I688="","Not approved | ",IF(UPPER(TRIM(H688))=UPPER(TRIM(I688)),"Self-approved | ",""))&amp;IF(J688="","No support | ","")&amp;IF(WEEKDAY(B688,2)&gt;5,"Weekend posting | ","")&amp;IF(COUNTIF(Settings!$A$14:$A$43,B688)&gt;0,"Holiday posting | ","")&amp;IF(B688&gt;Settings!$C$8,"Posted after close | ","")&amp;IF(OR(B688&lt;Settings!$C$6,B688&gt;Settings!$C$7),"Outside period | ","")&amp;IF(COUNTIF(Settings!$E$14:$E$43,C688&amp;"")&gt;0,"Sensitive account | ","")&amp;IF(AND(MAX(N(E688),N(F688))&gt;=Settings!$C$9,MOD(MAX(N(E688),N(F688)),Settings!$C$10)=0),"Round amount | ",""),LEN(IF(K688="No","Does not balance | ","")&amp;IF(I688="","Not approved | ",IF(UPPER(TRIM(H688))=UPPER(TRIM(I688)),"Self-approved | ",""))&amp;IF(J688="","No support | ","")&amp;IF(WEEKDAY(B688,2)&gt;5,"Weekend posting | ","")&amp;IF(COUNTIF(Settings!$A$14:$A$43,B688)&gt;0,"Holiday posting | ","")&amp;IF(B688&gt;Settings!$C$8,"Posted after close | ","")&amp;IF(OR(B688&lt;Settings!$C$6,B688&gt;Settings!$C$7),"Outside period | ","")&amp;IF(COUNTIF(Settings!$E$14:$E$43,C688&amp;"")&gt;0,"Sensitive account | ","")&amp;IF(AND(MAX(N(E688),N(F688))&gt;=Settings!$C$9,MOD(MAX(N(E688),N(F688)),Settings!$C$10)=0),"Round amount | ",""))-3)))</f>
        <v/>
      </c>
      <c r="M688" s="21" t="str">
        <f aca="false">IF(A688="","",IF(COUNTIF($A$9:A688,A688)=1,MAX($M$8:M687)+1,""))</f>
        <v/>
      </c>
    </row>
    <row r="689" customFormat="false" ht="15" hidden="false" customHeight="false" outlineLevel="0" collapsed="false">
      <c r="A689" s="8"/>
      <c r="B689" s="17"/>
      <c r="C689" s="19"/>
      <c r="D689" s="8"/>
      <c r="E689" s="18"/>
      <c r="F689" s="18"/>
      <c r="G689" s="8"/>
      <c r="H689" s="8"/>
      <c r="I689" s="8"/>
      <c r="J689" s="8"/>
      <c r="K689" s="10" t="str">
        <f aca="false">IF(A689="","",IF(ABS(SUMIFS($E$9:$E$2008,$A$9:$A$2008,A689)-SUMIFS($F$9:$F$2008,$A$9:$A$2008,A689))&lt;0.5,"Yes","No"))</f>
        <v/>
      </c>
      <c r="L689" s="10" t="str">
        <f aca="false">IF(A689="","",IF(IF(K689="No","Does not balance | ","")&amp;IF(I689="","Not approved | ",IF(UPPER(TRIM(H689))=UPPER(TRIM(I689)),"Self-approved | ",""))&amp;IF(J689="","No support | ","")&amp;IF(WEEKDAY(B689,2)&gt;5,"Weekend posting | ","")&amp;IF(COUNTIF(Settings!$A$14:$A$43,B689)&gt;0,"Holiday posting | ","")&amp;IF(B689&gt;Settings!$C$8,"Posted after close | ","")&amp;IF(OR(B689&lt;Settings!$C$6,B689&gt;Settings!$C$7),"Outside period | ","")&amp;IF(COUNTIF(Settings!$E$14:$E$43,C689&amp;"")&gt;0,"Sensitive account | ","")&amp;IF(AND(MAX(N(E689),N(F689))&gt;=Settings!$C$9,MOD(MAX(N(E689),N(F689)),Settings!$C$10)=0),"Round amount | ","")="","",LEFT(IF(K689="No","Does not balance | ","")&amp;IF(I689="","Not approved | ",IF(UPPER(TRIM(H689))=UPPER(TRIM(I689)),"Self-approved | ",""))&amp;IF(J689="","No support | ","")&amp;IF(WEEKDAY(B689,2)&gt;5,"Weekend posting | ","")&amp;IF(COUNTIF(Settings!$A$14:$A$43,B689)&gt;0,"Holiday posting | ","")&amp;IF(B689&gt;Settings!$C$8,"Posted after close | ","")&amp;IF(OR(B689&lt;Settings!$C$6,B689&gt;Settings!$C$7),"Outside period | ","")&amp;IF(COUNTIF(Settings!$E$14:$E$43,C689&amp;"")&gt;0,"Sensitive account | ","")&amp;IF(AND(MAX(N(E689),N(F689))&gt;=Settings!$C$9,MOD(MAX(N(E689),N(F689)),Settings!$C$10)=0),"Round amount | ",""),LEN(IF(K689="No","Does not balance | ","")&amp;IF(I689="","Not approved | ",IF(UPPER(TRIM(H689))=UPPER(TRIM(I689)),"Self-approved | ",""))&amp;IF(J689="","No support | ","")&amp;IF(WEEKDAY(B689,2)&gt;5,"Weekend posting | ","")&amp;IF(COUNTIF(Settings!$A$14:$A$43,B689)&gt;0,"Holiday posting | ","")&amp;IF(B689&gt;Settings!$C$8,"Posted after close | ","")&amp;IF(OR(B689&lt;Settings!$C$6,B689&gt;Settings!$C$7),"Outside period | ","")&amp;IF(COUNTIF(Settings!$E$14:$E$43,C689&amp;"")&gt;0,"Sensitive account | ","")&amp;IF(AND(MAX(N(E689),N(F689))&gt;=Settings!$C$9,MOD(MAX(N(E689),N(F689)),Settings!$C$10)=0),"Round amount | ",""))-3)))</f>
        <v/>
      </c>
      <c r="M689" s="21" t="str">
        <f aca="false">IF(A689="","",IF(COUNTIF($A$9:A689,A689)=1,MAX($M$8:M688)+1,""))</f>
        <v/>
      </c>
    </row>
    <row r="690" customFormat="false" ht="15" hidden="false" customHeight="false" outlineLevel="0" collapsed="false">
      <c r="A690" s="8"/>
      <c r="B690" s="17"/>
      <c r="C690" s="19"/>
      <c r="D690" s="8"/>
      <c r="E690" s="18"/>
      <c r="F690" s="18"/>
      <c r="G690" s="8"/>
      <c r="H690" s="8"/>
      <c r="I690" s="8"/>
      <c r="J690" s="8"/>
      <c r="K690" s="10" t="str">
        <f aca="false">IF(A690="","",IF(ABS(SUMIFS($E$9:$E$2008,$A$9:$A$2008,A690)-SUMIFS($F$9:$F$2008,$A$9:$A$2008,A690))&lt;0.5,"Yes","No"))</f>
        <v/>
      </c>
      <c r="L690" s="10" t="str">
        <f aca="false">IF(A690="","",IF(IF(K690="No","Does not balance | ","")&amp;IF(I690="","Not approved | ",IF(UPPER(TRIM(H690))=UPPER(TRIM(I690)),"Self-approved | ",""))&amp;IF(J690="","No support | ","")&amp;IF(WEEKDAY(B690,2)&gt;5,"Weekend posting | ","")&amp;IF(COUNTIF(Settings!$A$14:$A$43,B690)&gt;0,"Holiday posting | ","")&amp;IF(B690&gt;Settings!$C$8,"Posted after close | ","")&amp;IF(OR(B690&lt;Settings!$C$6,B690&gt;Settings!$C$7),"Outside period | ","")&amp;IF(COUNTIF(Settings!$E$14:$E$43,C690&amp;"")&gt;0,"Sensitive account | ","")&amp;IF(AND(MAX(N(E690),N(F690))&gt;=Settings!$C$9,MOD(MAX(N(E690),N(F690)),Settings!$C$10)=0),"Round amount | ","")="","",LEFT(IF(K690="No","Does not balance | ","")&amp;IF(I690="","Not approved | ",IF(UPPER(TRIM(H690))=UPPER(TRIM(I690)),"Self-approved | ",""))&amp;IF(J690="","No support | ","")&amp;IF(WEEKDAY(B690,2)&gt;5,"Weekend posting | ","")&amp;IF(COUNTIF(Settings!$A$14:$A$43,B690)&gt;0,"Holiday posting | ","")&amp;IF(B690&gt;Settings!$C$8,"Posted after close | ","")&amp;IF(OR(B690&lt;Settings!$C$6,B690&gt;Settings!$C$7),"Outside period | ","")&amp;IF(COUNTIF(Settings!$E$14:$E$43,C690&amp;"")&gt;0,"Sensitive account | ","")&amp;IF(AND(MAX(N(E690),N(F690))&gt;=Settings!$C$9,MOD(MAX(N(E690),N(F690)),Settings!$C$10)=0),"Round amount | ",""),LEN(IF(K690="No","Does not balance | ","")&amp;IF(I690="","Not approved | ",IF(UPPER(TRIM(H690))=UPPER(TRIM(I690)),"Self-approved | ",""))&amp;IF(J690="","No support | ","")&amp;IF(WEEKDAY(B690,2)&gt;5,"Weekend posting | ","")&amp;IF(COUNTIF(Settings!$A$14:$A$43,B690)&gt;0,"Holiday posting | ","")&amp;IF(B690&gt;Settings!$C$8,"Posted after close | ","")&amp;IF(OR(B690&lt;Settings!$C$6,B690&gt;Settings!$C$7),"Outside period | ","")&amp;IF(COUNTIF(Settings!$E$14:$E$43,C690&amp;"")&gt;0,"Sensitive account | ","")&amp;IF(AND(MAX(N(E690),N(F690))&gt;=Settings!$C$9,MOD(MAX(N(E690),N(F690)),Settings!$C$10)=0),"Round amount | ",""))-3)))</f>
        <v/>
      </c>
      <c r="M690" s="21" t="str">
        <f aca="false">IF(A690="","",IF(COUNTIF($A$9:A690,A690)=1,MAX($M$8:M689)+1,""))</f>
        <v/>
      </c>
    </row>
    <row r="691" customFormat="false" ht="15" hidden="false" customHeight="false" outlineLevel="0" collapsed="false">
      <c r="A691" s="8"/>
      <c r="B691" s="17"/>
      <c r="C691" s="19"/>
      <c r="D691" s="8"/>
      <c r="E691" s="18"/>
      <c r="F691" s="18"/>
      <c r="G691" s="8"/>
      <c r="H691" s="8"/>
      <c r="I691" s="8"/>
      <c r="J691" s="8"/>
      <c r="K691" s="10" t="str">
        <f aca="false">IF(A691="","",IF(ABS(SUMIFS($E$9:$E$2008,$A$9:$A$2008,A691)-SUMIFS($F$9:$F$2008,$A$9:$A$2008,A691))&lt;0.5,"Yes","No"))</f>
        <v/>
      </c>
      <c r="L691" s="10" t="str">
        <f aca="false">IF(A691="","",IF(IF(K691="No","Does not balance | ","")&amp;IF(I691="","Not approved | ",IF(UPPER(TRIM(H691))=UPPER(TRIM(I691)),"Self-approved | ",""))&amp;IF(J691="","No support | ","")&amp;IF(WEEKDAY(B691,2)&gt;5,"Weekend posting | ","")&amp;IF(COUNTIF(Settings!$A$14:$A$43,B691)&gt;0,"Holiday posting | ","")&amp;IF(B691&gt;Settings!$C$8,"Posted after close | ","")&amp;IF(OR(B691&lt;Settings!$C$6,B691&gt;Settings!$C$7),"Outside period | ","")&amp;IF(COUNTIF(Settings!$E$14:$E$43,C691&amp;"")&gt;0,"Sensitive account | ","")&amp;IF(AND(MAX(N(E691),N(F691))&gt;=Settings!$C$9,MOD(MAX(N(E691),N(F691)),Settings!$C$10)=0),"Round amount | ","")="","",LEFT(IF(K691="No","Does not balance | ","")&amp;IF(I691="","Not approved | ",IF(UPPER(TRIM(H691))=UPPER(TRIM(I691)),"Self-approved | ",""))&amp;IF(J691="","No support | ","")&amp;IF(WEEKDAY(B691,2)&gt;5,"Weekend posting | ","")&amp;IF(COUNTIF(Settings!$A$14:$A$43,B691)&gt;0,"Holiday posting | ","")&amp;IF(B691&gt;Settings!$C$8,"Posted after close | ","")&amp;IF(OR(B691&lt;Settings!$C$6,B691&gt;Settings!$C$7),"Outside period | ","")&amp;IF(COUNTIF(Settings!$E$14:$E$43,C691&amp;"")&gt;0,"Sensitive account | ","")&amp;IF(AND(MAX(N(E691),N(F691))&gt;=Settings!$C$9,MOD(MAX(N(E691),N(F691)),Settings!$C$10)=0),"Round amount | ",""),LEN(IF(K691="No","Does not balance | ","")&amp;IF(I691="","Not approved | ",IF(UPPER(TRIM(H691))=UPPER(TRIM(I691)),"Self-approved | ",""))&amp;IF(J691="","No support | ","")&amp;IF(WEEKDAY(B691,2)&gt;5,"Weekend posting | ","")&amp;IF(COUNTIF(Settings!$A$14:$A$43,B691)&gt;0,"Holiday posting | ","")&amp;IF(B691&gt;Settings!$C$8,"Posted after close | ","")&amp;IF(OR(B691&lt;Settings!$C$6,B691&gt;Settings!$C$7),"Outside period | ","")&amp;IF(COUNTIF(Settings!$E$14:$E$43,C691&amp;"")&gt;0,"Sensitive account | ","")&amp;IF(AND(MAX(N(E691),N(F691))&gt;=Settings!$C$9,MOD(MAX(N(E691),N(F691)),Settings!$C$10)=0),"Round amount | ",""))-3)))</f>
        <v/>
      </c>
      <c r="M691" s="21" t="str">
        <f aca="false">IF(A691="","",IF(COUNTIF($A$9:A691,A691)=1,MAX($M$8:M690)+1,""))</f>
        <v/>
      </c>
    </row>
    <row r="692" customFormat="false" ht="15" hidden="false" customHeight="false" outlineLevel="0" collapsed="false">
      <c r="A692" s="8"/>
      <c r="B692" s="17"/>
      <c r="C692" s="19"/>
      <c r="D692" s="8"/>
      <c r="E692" s="18"/>
      <c r="F692" s="18"/>
      <c r="G692" s="8"/>
      <c r="H692" s="8"/>
      <c r="I692" s="8"/>
      <c r="J692" s="8"/>
      <c r="K692" s="10" t="str">
        <f aca="false">IF(A692="","",IF(ABS(SUMIFS($E$9:$E$2008,$A$9:$A$2008,A692)-SUMIFS($F$9:$F$2008,$A$9:$A$2008,A692))&lt;0.5,"Yes","No"))</f>
        <v/>
      </c>
      <c r="L692" s="10" t="str">
        <f aca="false">IF(A692="","",IF(IF(K692="No","Does not balance | ","")&amp;IF(I692="","Not approved | ",IF(UPPER(TRIM(H692))=UPPER(TRIM(I692)),"Self-approved | ",""))&amp;IF(J692="","No support | ","")&amp;IF(WEEKDAY(B692,2)&gt;5,"Weekend posting | ","")&amp;IF(COUNTIF(Settings!$A$14:$A$43,B692)&gt;0,"Holiday posting | ","")&amp;IF(B692&gt;Settings!$C$8,"Posted after close | ","")&amp;IF(OR(B692&lt;Settings!$C$6,B692&gt;Settings!$C$7),"Outside period | ","")&amp;IF(COUNTIF(Settings!$E$14:$E$43,C692&amp;"")&gt;0,"Sensitive account | ","")&amp;IF(AND(MAX(N(E692),N(F692))&gt;=Settings!$C$9,MOD(MAX(N(E692),N(F692)),Settings!$C$10)=0),"Round amount | ","")="","",LEFT(IF(K692="No","Does not balance | ","")&amp;IF(I692="","Not approved | ",IF(UPPER(TRIM(H692))=UPPER(TRIM(I692)),"Self-approved | ",""))&amp;IF(J692="","No support | ","")&amp;IF(WEEKDAY(B692,2)&gt;5,"Weekend posting | ","")&amp;IF(COUNTIF(Settings!$A$14:$A$43,B692)&gt;0,"Holiday posting | ","")&amp;IF(B692&gt;Settings!$C$8,"Posted after close | ","")&amp;IF(OR(B692&lt;Settings!$C$6,B692&gt;Settings!$C$7),"Outside period | ","")&amp;IF(COUNTIF(Settings!$E$14:$E$43,C692&amp;"")&gt;0,"Sensitive account | ","")&amp;IF(AND(MAX(N(E692),N(F692))&gt;=Settings!$C$9,MOD(MAX(N(E692),N(F692)),Settings!$C$10)=0),"Round amount | ",""),LEN(IF(K692="No","Does not balance | ","")&amp;IF(I692="","Not approved | ",IF(UPPER(TRIM(H692))=UPPER(TRIM(I692)),"Self-approved | ",""))&amp;IF(J692="","No support | ","")&amp;IF(WEEKDAY(B692,2)&gt;5,"Weekend posting | ","")&amp;IF(COUNTIF(Settings!$A$14:$A$43,B692)&gt;0,"Holiday posting | ","")&amp;IF(B692&gt;Settings!$C$8,"Posted after close | ","")&amp;IF(OR(B692&lt;Settings!$C$6,B692&gt;Settings!$C$7),"Outside period | ","")&amp;IF(COUNTIF(Settings!$E$14:$E$43,C692&amp;"")&gt;0,"Sensitive account | ","")&amp;IF(AND(MAX(N(E692),N(F692))&gt;=Settings!$C$9,MOD(MAX(N(E692),N(F692)),Settings!$C$10)=0),"Round amount | ",""))-3)))</f>
        <v/>
      </c>
      <c r="M692" s="21" t="str">
        <f aca="false">IF(A692="","",IF(COUNTIF($A$9:A692,A692)=1,MAX($M$8:M691)+1,""))</f>
        <v/>
      </c>
    </row>
    <row r="693" customFormat="false" ht="15" hidden="false" customHeight="false" outlineLevel="0" collapsed="false">
      <c r="A693" s="8"/>
      <c r="B693" s="17"/>
      <c r="C693" s="19"/>
      <c r="D693" s="8"/>
      <c r="E693" s="18"/>
      <c r="F693" s="18"/>
      <c r="G693" s="8"/>
      <c r="H693" s="8"/>
      <c r="I693" s="8"/>
      <c r="J693" s="8"/>
      <c r="K693" s="10" t="str">
        <f aca="false">IF(A693="","",IF(ABS(SUMIFS($E$9:$E$2008,$A$9:$A$2008,A693)-SUMIFS($F$9:$F$2008,$A$9:$A$2008,A693))&lt;0.5,"Yes","No"))</f>
        <v/>
      </c>
      <c r="L693" s="10" t="str">
        <f aca="false">IF(A693="","",IF(IF(K693="No","Does not balance | ","")&amp;IF(I693="","Not approved | ",IF(UPPER(TRIM(H693))=UPPER(TRIM(I693)),"Self-approved | ",""))&amp;IF(J693="","No support | ","")&amp;IF(WEEKDAY(B693,2)&gt;5,"Weekend posting | ","")&amp;IF(COUNTIF(Settings!$A$14:$A$43,B693)&gt;0,"Holiday posting | ","")&amp;IF(B693&gt;Settings!$C$8,"Posted after close | ","")&amp;IF(OR(B693&lt;Settings!$C$6,B693&gt;Settings!$C$7),"Outside period | ","")&amp;IF(COUNTIF(Settings!$E$14:$E$43,C693&amp;"")&gt;0,"Sensitive account | ","")&amp;IF(AND(MAX(N(E693),N(F693))&gt;=Settings!$C$9,MOD(MAX(N(E693),N(F693)),Settings!$C$10)=0),"Round amount | ","")="","",LEFT(IF(K693="No","Does not balance | ","")&amp;IF(I693="","Not approved | ",IF(UPPER(TRIM(H693))=UPPER(TRIM(I693)),"Self-approved | ",""))&amp;IF(J693="","No support | ","")&amp;IF(WEEKDAY(B693,2)&gt;5,"Weekend posting | ","")&amp;IF(COUNTIF(Settings!$A$14:$A$43,B693)&gt;0,"Holiday posting | ","")&amp;IF(B693&gt;Settings!$C$8,"Posted after close | ","")&amp;IF(OR(B693&lt;Settings!$C$6,B693&gt;Settings!$C$7),"Outside period | ","")&amp;IF(COUNTIF(Settings!$E$14:$E$43,C693&amp;"")&gt;0,"Sensitive account | ","")&amp;IF(AND(MAX(N(E693),N(F693))&gt;=Settings!$C$9,MOD(MAX(N(E693),N(F693)),Settings!$C$10)=0),"Round amount | ",""),LEN(IF(K693="No","Does not balance | ","")&amp;IF(I693="","Not approved | ",IF(UPPER(TRIM(H693))=UPPER(TRIM(I693)),"Self-approved | ",""))&amp;IF(J693="","No support | ","")&amp;IF(WEEKDAY(B693,2)&gt;5,"Weekend posting | ","")&amp;IF(COUNTIF(Settings!$A$14:$A$43,B693)&gt;0,"Holiday posting | ","")&amp;IF(B693&gt;Settings!$C$8,"Posted after close | ","")&amp;IF(OR(B693&lt;Settings!$C$6,B693&gt;Settings!$C$7),"Outside period | ","")&amp;IF(COUNTIF(Settings!$E$14:$E$43,C693&amp;"")&gt;0,"Sensitive account | ","")&amp;IF(AND(MAX(N(E693),N(F693))&gt;=Settings!$C$9,MOD(MAX(N(E693),N(F693)),Settings!$C$10)=0),"Round amount | ",""))-3)))</f>
        <v/>
      </c>
      <c r="M693" s="21" t="str">
        <f aca="false">IF(A693="","",IF(COUNTIF($A$9:A693,A693)=1,MAX($M$8:M692)+1,""))</f>
        <v/>
      </c>
    </row>
    <row r="694" customFormat="false" ht="15" hidden="false" customHeight="false" outlineLevel="0" collapsed="false">
      <c r="A694" s="8"/>
      <c r="B694" s="17"/>
      <c r="C694" s="19"/>
      <c r="D694" s="8"/>
      <c r="E694" s="18"/>
      <c r="F694" s="18"/>
      <c r="G694" s="8"/>
      <c r="H694" s="8"/>
      <c r="I694" s="8"/>
      <c r="J694" s="8"/>
      <c r="K694" s="10" t="str">
        <f aca="false">IF(A694="","",IF(ABS(SUMIFS($E$9:$E$2008,$A$9:$A$2008,A694)-SUMIFS($F$9:$F$2008,$A$9:$A$2008,A694))&lt;0.5,"Yes","No"))</f>
        <v/>
      </c>
      <c r="L694" s="10" t="str">
        <f aca="false">IF(A694="","",IF(IF(K694="No","Does not balance | ","")&amp;IF(I694="","Not approved | ",IF(UPPER(TRIM(H694))=UPPER(TRIM(I694)),"Self-approved | ",""))&amp;IF(J694="","No support | ","")&amp;IF(WEEKDAY(B694,2)&gt;5,"Weekend posting | ","")&amp;IF(COUNTIF(Settings!$A$14:$A$43,B694)&gt;0,"Holiday posting | ","")&amp;IF(B694&gt;Settings!$C$8,"Posted after close | ","")&amp;IF(OR(B694&lt;Settings!$C$6,B694&gt;Settings!$C$7),"Outside period | ","")&amp;IF(COUNTIF(Settings!$E$14:$E$43,C694&amp;"")&gt;0,"Sensitive account | ","")&amp;IF(AND(MAX(N(E694),N(F694))&gt;=Settings!$C$9,MOD(MAX(N(E694),N(F694)),Settings!$C$10)=0),"Round amount | ","")="","",LEFT(IF(K694="No","Does not balance | ","")&amp;IF(I694="","Not approved | ",IF(UPPER(TRIM(H694))=UPPER(TRIM(I694)),"Self-approved | ",""))&amp;IF(J694="","No support | ","")&amp;IF(WEEKDAY(B694,2)&gt;5,"Weekend posting | ","")&amp;IF(COUNTIF(Settings!$A$14:$A$43,B694)&gt;0,"Holiday posting | ","")&amp;IF(B694&gt;Settings!$C$8,"Posted after close | ","")&amp;IF(OR(B694&lt;Settings!$C$6,B694&gt;Settings!$C$7),"Outside period | ","")&amp;IF(COUNTIF(Settings!$E$14:$E$43,C694&amp;"")&gt;0,"Sensitive account | ","")&amp;IF(AND(MAX(N(E694),N(F694))&gt;=Settings!$C$9,MOD(MAX(N(E694),N(F694)),Settings!$C$10)=0),"Round amount | ",""),LEN(IF(K694="No","Does not balance | ","")&amp;IF(I694="","Not approved | ",IF(UPPER(TRIM(H694))=UPPER(TRIM(I694)),"Self-approved | ",""))&amp;IF(J694="","No support | ","")&amp;IF(WEEKDAY(B694,2)&gt;5,"Weekend posting | ","")&amp;IF(COUNTIF(Settings!$A$14:$A$43,B694)&gt;0,"Holiday posting | ","")&amp;IF(B694&gt;Settings!$C$8,"Posted after close | ","")&amp;IF(OR(B694&lt;Settings!$C$6,B694&gt;Settings!$C$7),"Outside period | ","")&amp;IF(COUNTIF(Settings!$E$14:$E$43,C694&amp;"")&gt;0,"Sensitive account | ","")&amp;IF(AND(MAX(N(E694),N(F694))&gt;=Settings!$C$9,MOD(MAX(N(E694),N(F694)),Settings!$C$10)=0),"Round amount | ",""))-3)))</f>
        <v/>
      </c>
      <c r="M694" s="21" t="str">
        <f aca="false">IF(A694="","",IF(COUNTIF($A$9:A694,A694)=1,MAX($M$8:M693)+1,""))</f>
        <v/>
      </c>
    </row>
    <row r="695" customFormat="false" ht="15" hidden="false" customHeight="false" outlineLevel="0" collapsed="false">
      <c r="A695" s="8"/>
      <c r="B695" s="17"/>
      <c r="C695" s="19"/>
      <c r="D695" s="8"/>
      <c r="E695" s="18"/>
      <c r="F695" s="18"/>
      <c r="G695" s="8"/>
      <c r="H695" s="8"/>
      <c r="I695" s="8"/>
      <c r="J695" s="8"/>
      <c r="K695" s="10" t="str">
        <f aca="false">IF(A695="","",IF(ABS(SUMIFS($E$9:$E$2008,$A$9:$A$2008,A695)-SUMIFS($F$9:$F$2008,$A$9:$A$2008,A695))&lt;0.5,"Yes","No"))</f>
        <v/>
      </c>
      <c r="L695" s="10" t="str">
        <f aca="false">IF(A695="","",IF(IF(K695="No","Does not balance | ","")&amp;IF(I695="","Not approved | ",IF(UPPER(TRIM(H695))=UPPER(TRIM(I695)),"Self-approved | ",""))&amp;IF(J695="","No support | ","")&amp;IF(WEEKDAY(B695,2)&gt;5,"Weekend posting | ","")&amp;IF(COUNTIF(Settings!$A$14:$A$43,B695)&gt;0,"Holiday posting | ","")&amp;IF(B695&gt;Settings!$C$8,"Posted after close | ","")&amp;IF(OR(B695&lt;Settings!$C$6,B695&gt;Settings!$C$7),"Outside period | ","")&amp;IF(COUNTIF(Settings!$E$14:$E$43,C695&amp;"")&gt;0,"Sensitive account | ","")&amp;IF(AND(MAX(N(E695),N(F695))&gt;=Settings!$C$9,MOD(MAX(N(E695),N(F695)),Settings!$C$10)=0),"Round amount | ","")="","",LEFT(IF(K695="No","Does not balance | ","")&amp;IF(I695="","Not approved | ",IF(UPPER(TRIM(H695))=UPPER(TRIM(I695)),"Self-approved | ",""))&amp;IF(J695="","No support | ","")&amp;IF(WEEKDAY(B695,2)&gt;5,"Weekend posting | ","")&amp;IF(COUNTIF(Settings!$A$14:$A$43,B695)&gt;0,"Holiday posting | ","")&amp;IF(B695&gt;Settings!$C$8,"Posted after close | ","")&amp;IF(OR(B695&lt;Settings!$C$6,B695&gt;Settings!$C$7),"Outside period | ","")&amp;IF(COUNTIF(Settings!$E$14:$E$43,C695&amp;"")&gt;0,"Sensitive account | ","")&amp;IF(AND(MAX(N(E695),N(F695))&gt;=Settings!$C$9,MOD(MAX(N(E695),N(F695)),Settings!$C$10)=0),"Round amount | ",""),LEN(IF(K695="No","Does not balance | ","")&amp;IF(I695="","Not approved | ",IF(UPPER(TRIM(H695))=UPPER(TRIM(I695)),"Self-approved | ",""))&amp;IF(J695="","No support | ","")&amp;IF(WEEKDAY(B695,2)&gt;5,"Weekend posting | ","")&amp;IF(COUNTIF(Settings!$A$14:$A$43,B695)&gt;0,"Holiday posting | ","")&amp;IF(B695&gt;Settings!$C$8,"Posted after close | ","")&amp;IF(OR(B695&lt;Settings!$C$6,B695&gt;Settings!$C$7),"Outside period | ","")&amp;IF(COUNTIF(Settings!$E$14:$E$43,C695&amp;"")&gt;0,"Sensitive account | ","")&amp;IF(AND(MAX(N(E695),N(F695))&gt;=Settings!$C$9,MOD(MAX(N(E695),N(F695)),Settings!$C$10)=0),"Round amount | ",""))-3)))</f>
        <v/>
      </c>
      <c r="M695" s="21" t="str">
        <f aca="false">IF(A695="","",IF(COUNTIF($A$9:A695,A695)=1,MAX($M$8:M694)+1,""))</f>
        <v/>
      </c>
    </row>
    <row r="696" customFormat="false" ht="15" hidden="false" customHeight="false" outlineLevel="0" collapsed="false">
      <c r="A696" s="8"/>
      <c r="B696" s="17"/>
      <c r="C696" s="19"/>
      <c r="D696" s="8"/>
      <c r="E696" s="18"/>
      <c r="F696" s="18"/>
      <c r="G696" s="8"/>
      <c r="H696" s="8"/>
      <c r="I696" s="8"/>
      <c r="J696" s="8"/>
      <c r="K696" s="10" t="str">
        <f aca="false">IF(A696="","",IF(ABS(SUMIFS($E$9:$E$2008,$A$9:$A$2008,A696)-SUMIFS($F$9:$F$2008,$A$9:$A$2008,A696))&lt;0.5,"Yes","No"))</f>
        <v/>
      </c>
      <c r="L696" s="10" t="str">
        <f aca="false">IF(A696="","",IF(IF(K696="No","Does not balance | ","")&amp;IF(I696="","Not approved | ",IF(UPPER(TRIM(H696))=UPPER(TRIM(I696)),"Self-approved | ",""))&amp;IF(J696="","No support | ","")&amp;IF(WEEKDAY(B696,2)&gt;5,"Weekend posting | ","")&amp;IF(COUNTIF(Settings!$A$14:$A$43,B696)&gt;0,"Holiday posting | ","")&amp;IF(B696&gt;Settings!$C$8,"Posted after close | ","")&amp;IF(OR(B696&lt;Settings!$C$6,B696&gt;Settings!$C$7),"Outside period | ","")&amp;IF(COUNTIF(Settings!$E$14:$E$43,C696&amp;"")&gt;0,"Sensitive account | ","")&amp;IF(AND(MAX(N(E696),N(F696))&gt;=Settings!$C$9,MOD(MAX(N(E696),N(F696)),Settings!$C$10)=0),"Round amount | ","")="","",LEFT(IF(K696="No","Does not balance | ","")&amp;IF(I696="","Not approved | ",IF(UPPER(TRIM(H696))=UPPER(TRIM(I696)),"Self-approved | ",""))&amp;IF(J696="","No support | ","")&amp;IF(WEEKDAY(B696,2)&gt;5,"Weekend posting | ","")&amp;IF(COUNTIF(Settings!$A$14:$A$43,B696)&gt;0,"Holiday posting | ","")&amp;IF(B696&gt;Settings!$C$8,"Posted after close | ","")&amp;IF(OR(B696&lt;Settings!$C$6,B696&gt;Settings!$C$7),"Outside period | ","")&amp;IF(COUNTIF(Settings!$E$14:$E$43,C696&amp;"")&gt;0,"Sensitive account | ","")&amp;IF(AND(MAX(N(E696),N(F696))&gt;=Settings!$C$9,MOD(MAX(N(E696),N(F696)),Settings!$C$10)=0),"Round amount | ",""),LEN(IF(K696="No","Does not balance | ","")&amp;IF(I696="","Not approved | ",IF(UPPER(TRIM(H696))=UPPER(TRIM(I696)),"Self-approved | ",""))&amp;IF(J696="","No support | ","")&amp;IF(WEEKDAY(B696,2)&gt;5,"Weekend posting | ","")&amp;IF(COUNTIF(Settings!$A$14:$A$43,B696)&gt;0,"Holiday posting | ","")&amp;IF(B696&gt;Settings!$C$8,"Posted after close | ","")&amp;IF(OR(B696&lt;Settings!$C$6,B696&gt;Settings!$C$7),"Outside period | ","")&amp;IF(COUNTIF(Settings!$E$14:$E$43,C696&amp;"")&gt;0,"Sensitive account | ","")&amp;IF(AND(MAX(N(E696),N(F696))&gt;=Settings!$C$9,MOD(MAX(N(E696),N(F696)),Settings!$C$10)=0),"Round amount | ",""))-3)))</f>
        <v/>
      </c>
      <c r="M696" s="21" t="str">
        <f aca="false">IF(A696="","",IF(COUNTIF($A$9:A696,A696)=1,MAX($M$8:M695)+1,""))</f>
        <v/>
      </c>
    </row>
    <row r="697" customFormat="false" ht="15" hidden="false" customHeight="false" outlineLevel="0" collapsed="false">
      <c r="A697" s="8"/>
      <c r="B697" s="17"/>
      <c r="C697" s="19"/>
      <c r="D697" s="8"/>
      <c r="E697" s="18"/>
      <c r="F697" s="18"/>
      <c r="G697" s="8"/>
      <c r="H697" s="8"/>
      <c r="I697" s="8"/>
      <c r="J697" s="8"/>
      <c r="K697" s="10" t="str">
        <f aca="false">IF(A697="","",IF(ABS(SUMIFS($E$9:$E$2008,$A$9:$A$2008,A697)-SUMIFS($F$9:$F$2008,$A$9:$A$2008,A697))&lt;0.5,"Yes","No"))</f>
        <v/>
      </c>
      <c r="L697" s="10" t="str">
        <f aca="false">IF(A697="","",IF(IF(K697="No","Does not balance | ","")&amp;IF(I697="","Not approved | ",IF(UPPER(TRIM(H697))=UPPER(TRIM(I697)),"Self-approved | ",""))&amp;IF(J697="","No support | ","")&amp;IF(WEEKDAY(B697,2)&gt;5,"Weekend posting | ","")&amp;IF(COUNTIF(Settings!$A$14:$A$43,B697)&gt;0,"Holiday posting | ","")&amp;IF(B697&gt;Settings!$C$8,"Posted after close | ","")&amp;IF(OR(B697&lt;Settings!$C$6,B697&gt;Settings!$C$7),"Outside period | ","")&amp;IF(COUNTIF(Settings!$E$14:$E$43,C697&amp;"")&gt;0,"Sensitive account | ","")&amp;IF(AND(MAX(N(E697),N(F697))&gt;=Settings!$C$9,MOD(MAX(N(E697),N(F697)),Settings!$C$10)=0),"Round amount | ","")="","",LEFT(IF(K697="No","Does not balance | ","")&amp;IF(I697="","Not approved | ",IF(UPPER(TRIM(H697))=UPPER(TRIM(I697)),"Self-approved | ",""))&amp;IF(J697="","No support | ","")&amp;IF(WEEKDAY(B697,2)&gt;5,"Weekend posting | ","")&amp;IF(COUNTIF(Settings!$A$14:$A$43,B697)&gt;0,"Holiday posting | ","")&amp;IF(B697&gt;Settings!$C$8,"Posted after close | ","")&amp;IF(OR(B697&lt;Settings!$C$6,B697&gt;Settings!$C$7),"Outside period | ","")&amp;IF(COUNTIF(Settings!$E$14:$E$43,C697&amp;"")&gt;0,"Sensitive account | ","")&amp;IF(AND(MAX(N(E697),N(F697))&gt;=Settings!$C$9,MOD(MAX(N(E697),N(F697)),Settings!$C$10)=0),"Round amount | ",""),LEN(IF(K697="No","Does not balance | ","")&amp;IF(I697="","Not approved | ",IF(UPPER(TRIM(H697))=UPPER(TRIM(I697)),"Self-approved | ",""))&amp;IF(J697="","No support | ","")&amp;IF(WEEKDAY(B697,2)&gt;5,"Weekend posting | ","")&amp;IF(COUNTIF(Settings!$A$14:$A$43,B697)&gt;0,"Holiday posting | ","")&amp;IF(B697&gt;Settings!$C$8,"Posted after close | ","")&amp;IF(OR(B697&lt;Settings!$C$6,B697&gt;Settings!$C$7),"Outside period | ","")&amp;IF(COUNTIF(Settings!$E$14:$E$43,C697&amp;"")&gt;0,"Sensitive account | ","")&amp;IF(AND(MAX(N(E697),N(F697))&gt;=Settings!$C$9,MOD(MAX(N(E697),N(F697)),Settings!$C$10)=0),"Round amount | ",""))-3)))</f>
        <v/>
      </c>
      <c r="M697" s="21" t="str">
        <f aca="false">IF(A697="","",IF(COUNTIF($A$9:A697,A697)=1,MAX($M$8:M696)+1,""))</f>
        <v/>
      </c>
    </row>
    <row r="698" customFormat="false" ht="15" hidden="false" customHeight="false" outlineLevel="0" collapsed="false">
      <c r="A698" s="8"/>
      <c r="B698" s="17"/>
      <c r="C698" s="19"/>
      <c r="D698" s="8"/>
      <c r="E698" s="18"/>
      <c r="F698" s="18"/>
      <c r="G698" s="8"/>
      <c r="H698" s="8"/>
      <c r="I698" s="8"/>
      <c r="J698" s="8"/>
      <c r="K698" s="10" t="str">
        <f aca="false">IF(A698="","",IF(ABS(SUMIFS($E$9:$E$2008,$A$9:$A$2008,A698)-SUMIFS($F$9:$F$2008,$A$9:$A$2008,A698))&lt;0.5,"Yes","No"))</f>
        <v/>
      </c>
      <c r="L698" s="10" t="str">
        <f aca="false">IF(A698="","",IF(IF(K698="No","Does not balance | ","")&amp;IF(I698="","Not approved | ",IF(UPPER(TRIM(H698))=UPPER(TRIM(I698)),"Self-approved | ",""))&amp;IF(J698="","No support | ","")&amp;IF(WEEKDAY(B698,2)&gt;5,"Weekend posting | ","")&amp;IF(COUNTIF(Settings!$A$14:$A$43,B698)&gt;0,"Holiday posting | ","")&amp;IF(B698&gt;Settings!$C$8,"Posted after close | ","")&amp;IF(OR(B698&lt;Settings!$C$6,B698&gt;Settings!$C$7),"Outside period | ","")&amp;IF(COUNTIF(Settings!$E$14:$E$43,C698&amp;"")&gt;0,"Sensitive account | ","")&amp;IF(AND(MAX(N(E698),N(F698))&gt;=Settings!$C$9,MOD(MAX(N(E698),N(F698)),Settings!$C$10)=0),"Round amount | ","")="","",LEFT(IF(K698="No","Does not balance | ","")&amp;IF(I698="","Not approved | ",IF(UPPER(TRIM(H698))=UPPER(TRIM(I698)),"Self-approved | ",""))&amp;IF(J698="","No support | ","")&amp;IF(WEEKDAY(B698,2)&gt;5,"Weekend posting | ","")&amp;IF(COUNTIF(Settings!$A$14:$A$43,B698)&gt;0,"Holiday posting | ","")&amp;IF(B698&gt;Settings!$C$8,"Posted after close | ","")&amp;IF(OR(B698&lt;Settings!$C$6,B698&gt;Settings!$C$7),"Outside period | ","")&amp;IF(COUNTIF(Settings!$E$14:$E$43,C698&amp;"")&gt;0,"Sensitive account | ","")&amp;IF(AND(MAX(N(E698),N(F698))&gt;=Settings!$C$9,MOD(MAX(N(E698),N(F698)),Settings!$C$10)=0),"Round amount | ",""),LEN(IF(K698="No","Does not balance | ","")&amp;IF(I698="","Not approved | ",IF(UPPER(TRIM(H698))=UPPER(TRIM(I698)),"Self-approved | ",""))&amp;IF(J698="","No support | ","")&amp;IF(WEEKDAY(B698,2)&gt;5,"Weekend posting | ","")&amp;IF(COUNTIF(Settings!$A$14:$A$43,B698)&gt;0,"Holiday posting | ","")&amp;IF(B698&gt;Settings!$C$8,"Posted after close | ","")&amp;IF(OR(B698&lt;Settings!$C$6,B698&gt;Settings!$C$7),"Outside period | ","")&amp;IF(COUNTIF(Settings!$E$14:$E$43,C698&amp;"")&gt;0,"Sensitive account | ","")&amp;IF(AND(MAX(N(E698),N(F698))&gt;=Settings!$C$9,MOD(MAX(N(E698),N(F698)),Settings!$C$10)=0),"Round amount | ",""))-3)))</f>
        <v/>
      </c>
      <c r="M698" s="21" t="str">
        <f aca="false">IF(A698="","",IF(COUNTIF($A$9:A698,A698)=1,MAX($M$8:M697)+1,""))</f>
        <v/>
      </c>
    </row>
    <row r="699" customFormat="false" ht="15" hidden="false" customHeight="false" outlineLevel="0" collapsed="false">
      <c r="A699" s="8"/>
      <c r="B699" s="17"/>
      <c r="C699" s="19"/>
      <c r="D699" s="8"/>
      <c r="E699" s="18"/>
      <c r="F699" s="18"/>
      <c r="G699" s="8"/>
      <c r="H699" s="8"/>
      <c r="I699" s="8"/>
      <c r="J699" s="8"/>
      <c r="K699" s="10" t="str">
        <f aca="false">IF(A699="","",IF(ABS(SUMIFS($E$9:$E$2008,$A$9:$A$2008,A699)-SUMIFS($F$9:$F$2008,$A$9:$A$2008,A699))&lt;0.5,"Yes","No"))</f>
        <v/>
      </c>
      <c r="L699" s="10" t="str">
        <f aca="false">IF(A699="","",IF(IF(K699="No","Does not balance | ","")&amp;IF(I699="","Not approved | ",IF(UPPER(TRIM(H699))=UPPER(TRIM(I699)),"Self-approved | ",""))&amp;IF(J699="","No support | ","")&amp;IF(WEEKDAY(B699,2)&gt;5,"Weekend posting | ","")&amp;IF(COUNTIF(Settings!$A$14:$A$43,B699)&gt;0,"Holiday posting | ","")&amp;IF(B699&gt;Settings!$C$8,"Posted after close | ","")&amp;IF(OR(B699&lt;Settings!$C$6,B699&gt;Settings!$C$7),"Outside period | ","")&amp;IF(COUNTIF(Settings!$E$14:$E$43,C699&amp;"")&gt;0,"Sensitive account | ","")&amp;IF(AND(MAX(N(E699),N(F699))&gt;=Settings!$C$9,MOD(MAX(N(E699),N(F699)),Settings!$C$10)=0),"Round amount | ","")="","",LEFT(IF(K699="No","Does not balance | ","")&amp;IF(I699="","Not approved | ",IF(UPPER(TRIM(H699))=UPPER(TRIM(I699)),"Self-approved | ",""))&amp;IF(J699="","No support | ","")&amp;IF(WEEKDAY(B699,2)&gt;5,"Weekend posting | ","")&amp;IF(COUNTIF(Settings!$A$14:$A$43,B699)&gt;0,"Holiday posting | ","")&amp;IF(B699&gt;Settings!$C$8,"Posted after close | ","")&amp;IF(OR(B699&lt;Settings!$C$6,B699&gt;Settings!$C$7),"Outside period | ","")&amp;IF(COUNTIF(Settings!$E$14:$E$43,C699&amp;"")&gt;0,"Sensitive account | ","")&amp;IF(AND(MAX(N(E699),N(F699))&gt;=Settings!$C$9,MOD(MAX(N(E699),N(F699)),Settings!$C$10)=0),"Round amount | ",""),LEN(IF(K699="No","Does not balance | ","")&amp;IF(I699="","Not approved | ",IF(UPPER(TRIM(H699))=UPPER(TRIM(I699)),"Self-approved | ",""))&amp;IF(J699="","No support | ","")&amp;IF(WEEKDAY(B699,2)&gt;5,"Weekend posting | ","")&amp;IF(COUNTIF(Settings!$A$14:$A$43,B699)&gt;0,"Holiday posting | ","")&amp;IF(B699&gt;Settings!$C$8,"Posted after close | ","")&amp;IF(OR(B699&lt;Settings!$C$6,B699&gt;Settings!$C$7),"Outside period | ","")&amp;IF(COUNTIF(Settings!$E$14:$E$43,C699&amp;"")&gt;0,"Sensitive account | ","")&amp;IF(AND(MAX(N(E699),N(F699))&gt;=Settings!$C$9,MOD(MAX(N(E699),N(F699)),Settings!$C$10)=0),"Round amount | ",""))-3)))</f>
        <v/>
      </c>
      <c r="M699" s="21" t="str">
        <f aca="false">IF(A699="","",IF(COUNTIF($A$9:A699,A699)=1,MAX($M$8:M698)+1,""))</f>
        <v/>
      </c>
    </row>
    <row r="700" customFormat="false" ht="15" hidden="false" customHeight="false" outlineLevel="0" collapsed="false">
      <c r="A700" s="8"/>
      <c r="B700" s="17"/>
      <c r="C700" s="19"/>
      <c r="D700" s="8"/>
      <c r="E700" s="18"/>
      <c r="F700" s="18"/>
      <c r="G700" s="8"/>
      <c r="H700" s="8"/>
      <c r="I700" s="8"/>
      <c r="J700" s="8"/>
      <c r="K700" s="10" t="str">
        <f aca="false">IF(A700="","",IF(ABS(SUMIFS($E$9:$E$2008,$A$9:$A$2008,A700)-SUMIFS($F$9:$F$2008,$A$9:$A$2008,A700))&lt;0.5,"Yes","No"))</f>
        <v/>
      </c>
      <c r="L700" s="10" t="str">
        <f aca="false">IF(A700="","",IF(IF(K700="No","Does not balance | ","")&amp;IF(I700="","Not approved | ",IF(UPPER(TRIM(H700))=UPPER(TRIM(I700)),"Self-approved | ",""))&amp;IF(J700="","No support | ","")&amp;IF(WEEKDAY(B700,2)&gt;5,"Weekend posting | ","")&amp;IF(COUNTIF(Settings!$A$14:$A$43,B700)&gt;0,"Holiday posting | ","")&amp;IF(B700&gt;Settings!$C$8,"Posted after close | ","")&amp;IF(OR(B700&lt;Settings!$C$6,B700&gt;Settings!$C$7),"Outside period | ","")&amp;IF(COUNTIF(Settings!$E$14:$E$43,C700&amp;"")&gt;0,"Sensitive account | ","")&amp;IF(AND(MAX(N(E700),N(F700))&gt;=Settings!$C$9,MOD(MAX(N(E700),N(F700)),Settings!$C$10)=0),"Round amount | ","")="","",LEFT(IF(K700="No","Does not balance | ","")&amp;IF(I700="","Not approved | ",IF(UPPER(TRIM(H700))=UPPER(TRIM(I700)),"Self-approved | ",""))&amp;IF(J700="","No support | ","")&amp;IF(WEEKDAY(B700,2)&gt;5,"Weekend posting | ","")&amp;IF(COUNTIF(Settings!$A$14:$A$43,B700)&gt;0,"Holiday posting | ","")&amp;IF(B700&gt;Settings!$C$8,"Posted after close | ","")&amp;IF(OR(B700&lt;Settings!$C$6,B700&gt;Settings!$C$7),"Outside period | ","")&amp;IF(COUNTIF(Settings!$E$14:$E$43,C700&amp;"")&gt;0,"Sensitive account | ","")&amp;IF(AND(MAX(N(E700),N(F700))&gt;=Settings!$C$9,MOD(MAX(N(E700),N(F700)),Settings!$C$10)=0),"Round amount | ",""),LEN(IF(K700="No","Does not balance | ","")&amp;IF(I700="","Not approved | ",IF(UPPER(TRIM(H700))=UPPER(TRIM(I700)),"Self-approved | ",""))&amp;IF(J700="","No support | ","")&amp;IF(WEEKDAY(B700,2)&gt;5,"Weekend posting | ","")&amp;IF(COUNTIF(Settings!$A$14:$A$43,B700)&gt;0,"Holiday posting | ","")&amp;IF(B700&gt;Settings!$C$8,"Posted after close | ","")&amp;IF(OR(B700&lt;Settings!$C$6,B700&gt;Settings!$C$7),"Outside period | ","")&amp;IF(COUNTIF(Settings!$E$14:$E$43,C700&amp;"")&gt;0,"Sensitive account | ","")&amp;IF(AND(MAX(N(E700),N(F700))&gt;=Settings!$C$9,MOD(MAX(N(E700),N(F700)),Settings!$C$10)=0),"Round amount | ",""))-3)))</f>
        <v/>
      </c>
      <c r="M700" s="21" t="str">
        <f aca="false">IF(A700="","",IF(COUNTIF($A$9:A700,A700)=1,MAX($M$8:M699)+1,""))</f>
        <v/>
      </c>
    </row>
    <row r="701" customFormat="false" ht="15" hidden="false" customHeight="false" outlineLevel="0" collapsed="false">
      <c r="A701" s="8"/>
      <c r="B701" s="17"/>
      <c r="C701" s="19"/>
      <c r="D701" s="8"/>
      <c r="E701" s="18"/>
      <c r="F701" s="18"/>
      <c r="G701" s="8"/>
      <c r="H701" s="8"/>
      <c r="I701" s="8"/>
      <c r="J701" s="8"/>
      <c r="K701" s="10" t="str">
        <f aca="false">IF(A701="","",IF(ABS(SUMIFS($E$9:$E$2008,$A$9:$A$2008,A701)-SUMIFS($F$9:$F$2008,$A$9:$A$2008,A701))&lt;0.5,"Yes","No"))</f>
        <v/>
      </c>
      <c r="L701" s="10" t="str">
        <f aca="false">IF(A701="","",IF(IF(K701="No","Does not balance | ","")&amp;IF(I701="","Not approved | ",IF(UPPER(TRIM(H701))=UPPER(TRIM(I701)),"Self-approved | ",""))&amp;IF(J701="","No support | ","")&amp;IF(WEEKDAY(B701,2)&gt;5,"Weekend posting | ","")&amp;IF(COUNTIF(Settings!$A$14:$A$43,B701)&gt;0,"Holiday posting | ","")&amp;IF(B701&gt;Settings!$C$8,"Posted after close | ","")&amp;IF(OR(B701&lt;Settings!$C$6,B701&gt;Settings!$C$7),"Outside period | ","")&amp;IF(COUNTIF(Settings!$E$14:$E$43,C701&amp;"")&gt;0,"Sensitive account | ","")&amp;IF(AND(MAX(N(E701),N(F701))&gt;=Settings!$C$9,MOD(MAX(N(E701),N(F701)),Settings!$C$10)=0),"Round amount | ","")="","",LEFT(IF(K701="No","Does not balance | ","")&amp;IF(I701="","Not approved | ",IF(UPPER(TRIM(H701))=UPPER(TRIM(I701)),"Self-approved | ",""))&amp;IF(J701="","No support | ","")&amp;IF(WEEKDAY(B701,2)&gt;5,"Weekend posting | ","")&amp;IF(COUNTIF(Settings!$A$14:$A$43,B701)&gt;0,"Holiday posting | ","")&amp;IF(B701&gt;Settings!$C$8,"Posted after close | ","")&amp;IF(OR(B701&lt;Settings!$C$6,B701&gt;Settings!$C$7),"Outside period | ","")&amp;IF(COUNTIF(Settings!$E$14:$E$43,C701&amp;"")&gt;0,"Sensitive account | ","")&amp;IF(AND(MAX(N(E701),N(F701))&gt;=Settings!$C$9,MOD(MAX(N(E701),N(F701)),Settings!$C$10)=0),"Round amount | ",""),LEN(IF(K701="No","Does not balance | ","")&amp;IF(I701="","Not approved | ",IF(UPPER(TRIM(H701))=UPPER(TRIM(I701)),"Self-approved | ",""))&amp;IF(J701="","No support | ","")&amp;IF(WEEKDAY(B701,2)&gt;5,"Weekend posting | ","")&amp;IF(COUNTIF(Settings!$A$14:$A$43,B701)&gt;0,"Holiday posting | ","")&amp;IF(B701&gt;Settings!$C$8,"Posted after close | ","")&amp;IF(OR(B701&lt;Settings!$C$6,B701&gt;Settings!$C$7),"Outside period | ","")&amp;IF(COUNTIF(Settings!$E$14:$E$43,C701&amp;"")&gt;0,"Sensitive account | ","")&amp;IF(AND(MAX(N(E701),N(F701))&gt;=Settings!$C$9,MOD(MAX(N(E701),N(F701)),Settings!$C$10)=0),"Round amount | ",""))-3)))</f>
        <v/>
      </c>
      <c r="M701" s="21" t="str">
        <f aca="false">IF(A701="","",IF(COUNTIF($A$9:A701,A701)=1,MAX($M$8:M700)+1,""))</f>
        <v/>
      </c>
    </row>
    <row r="702" customFormat="false" ht="15" hidden="false" customHeight="false" outlineLevel="0" collapsed="false">
      <c r="A702" s="8"/>
      <c r="B702" s="17"/>
      <c r="C702" s="19"/>
      <c r="D702" s="8"/>
      <c r="E702" s="18"/>
      <c r="F702" s="18"/>
      <c r="G702" s="8"/>
      <c r="H702" s="8"/>
      <c r="I702" s="8"/>
      <c r="J702" s="8"/>
      <c r="K702" s="10" t="str">
        <f aca="false">IF(A702="","",IF(ABS(SUMIFS($E$9:$E$2008,$A$9:$A$2008,A702)-SUMIFS($F$9:$F$2008,$A$9:$A$2008,A702))&lt;0.5,"Yes","No"))</f>
        <v/>
      </c>
      <c r="L702" s="10" t="str">
        <f aca="false">IF(A702="","",IF(IF(K702="No","Does not balance | ","")&amp;IF(I702="","Not approved | ",IF(UPPER(TRIM(H702))=UPPER(TRIM(I702)),"Self-approved | ",""))&amp;IF(J702="","No support | ","")&amp;IF(WEEKDAY(B702,2)&gt;5,"Weekend posting | ","")&amp;IF(COUNTIF(Settings!$A$14:$A$43,B702)&gt;0,"Holiday posting | ","")&amp;IF(B702&gt;Settings!$C$8,"Posted after close | ","")&amp;IF(OR(B702&lt;Settings!$C$6,B702&gt;Settings!$C$7),"Outside period | ","")&amp;IF(COUNTIF(Settings!$E$14:$E$43,C702&amp;"")&gt;0,"Sensitive account | ","")&amp;IF(AND(MAX(N(E702),N(F702))&gt;=Settings!$C$9,MOD(MAX(N(E702),N(F702)),Settings!$C$10)=0),"Round amount | ","")="","",LEFT(IF(K702="No","Does not balance | ","")&amp;IF(I702="","Not approved | ",IF(UPPER(TRIM(H702))=UPPER(TRIM(I702)),"Self-approved | ",""))&amp;IF(J702="","No support | ","")&amp;IF(WEEKDAY(B702,2)&gt;5,"Weekend posting | ","")&amp;IF(COUNTIF(Settings!$A$14:$A$43,B702)&gt;0,"Holiday posting | ","")&amp;IF(B702&gt;Settings!$C$8,"Posted after close | ","")&amp;IF(OR(B702&lt;Settings!$C$6,B702&gt;Settings!$C$7),"Outside period | ","")&amp;IF(COUNTIF(Settings!$E$14:$E$43,C702&amp;"")&gt;0,"Sensitive account | ","")&amp;IF(AND(MAX(N(E702),N(F702))&gt;=Settings!$C$9,MOD(MAX(N(E702),N(F702)),Settings!$C$10)=0),"Round amount | ",""),LEN(IF(K702="No","Does not balance | ","")&amp;IF(I702="","Not approved | ",IF(UPPER(TRIM(H702))=UPPER(TRIM(I702)),"Self-approved | ",""))&amp;IF(J702="","No support | ","")&amp;IF(WEEKDAY(B702,2)&gt;5,"Weekend posting | ","")&amp;IF(COUNTIF(Settings!$A$14:$A$43,B702)&gt;0,"Holiday posting | ","")&amp;IF(B702&gt;Settings!$C$8,"Posted after close | ","")&amp;IF(OR(B702&lt;Settings!$C$6,B702&gt;Settings!$C$7),"Outside period | ","")&amp;IF(COUNTIF(Settings!$E$14:$E$43,C702&amp;"")&gt;0,"Sensitive account | ","")&amp;IF(AND(MAX(N(E702),N(F702))&gt;=Settings!$C$9,MOD(MAX(N(E702),N(F702)),Settings!$C$10)=0),"Round amount | ",""))-3)))</f>
        <v/>
      </c>
      <c r="M702" s="21" t="str">
        <f aca="false">IF(A702="","",IF(COUNTIF($A$9:A702,A702)=1,MAX($M$8:M701)+1,""))</f>
        <v/>
      </c>
    </row>
    <row r="703" customFormat="false" ht="15" hidden="false" customHeight="false" outlineLevel="0" collapsed="false">
      <c r="A703" s="8"/>
      <c r="B703" s="17"/>
      <c r="C703" s="19"/>
      <c r="D703" s="8"/>
      <c r="E703" s="18"/>
      <c r="F703" s="18"/>
      <c r="G703" s="8"/>
      <c r="H703" s="8"/>
      <c r="I703" s="8"/>
      <c r="J703" s="8"/>
      <c r="K703" s="10" t="str">
        <f aca="false">IF(A703="","",IF(ABS(SUMIFS($E$9:$E$2008,$A$9:$A$2008,A703)-SUMIFS($F$9:$F$2008,$A$9:$A$2008,A703))&lt;0.5,"Yes","No"))</f>
        <v/>
      </c>
      <c r="L703" s="10" t="str">
        <f aca="false">IF(A703="","",IF(IF(K703="No","Does not balance | ","")&amp;IF(I703="","Not approved | ",IF(UPPER(TRIM(H703))=UPPER(TRIM(I703)),"Self-approved | ",""))&amp;IF(J703="","No support | ","")&amp;IF(WEEKDAY(B703,2)&gt;5,"Weekend posting | ","")&amp;IF(COUNTIF(Settings!$A$14:$A$43,B703)&gt;0,"Holiday posting | ","")&amp;IF(B703&gt;Settings!$C$8,"Posted after close | ","")&amp;IF(OR(B703&lt;Settings!$C$6,B703&gt;Settings!$C$7),"Outside period | ","")&amp;IF(COUNTIF(Settings!$E$14:$E$43,C703&amp;"")&gt;0,"Sensitive account | ","")&amp;IF(AND(MAX(N(E703),N(F703))&gt;=Settings!$C$9,MOD(MAX(N(E703),N(F703)),Settings!$C$10)=0),"Round amount | ","")="","",LEFT(IF(K703="No","Does not balance | ","")&amp;IF(I703="","Not approved | ",IF(UPPER(TRIM(H703))=UPPER(TRIM(I703)),"Self-approved | ",""))&amp;IF(J703="","No support | ","")&amp;IF(WEEKDAY(B703,2)&gt;5,"Weekend posting | ","")&amp;IF(COUNTIF(Settings!$A$14:$A$43,B703)&gt;0,"Holiday posting | ","")&amp;IF(B703&gt;Settings!$C$8,"Posted after close | ","")&amp;IF(OR(B703&lt;Settings!$C$6,B703&gt;Settings!$C$7),"Outside period | ","")&amp;IF(COUNTIF(Settings!$E$14:$E$43,C703&amp;"")&gt;0,"Sensitive account | ","")&amp;IF(AND(MAX(N(E703),N(F703))&gt;=Settings!$C$9,MOD(MAX(N(E703),N(F703)),Settings!$C$10)=0),"Round amount | ",""),LEN(IF(K703="No","Does not balance | ","")&amp;IF(I703="","Not approved | ",IF(UPPER(TRIM(H703))=UPPER(TRIM(I703)),"Self-approved | ",""))&amp;IF(J703="","No support | ","")&amp;IF(WEEKDAY(B703,2)&gt;5,"Weekend posting | ","")&amp;IF(COUNTIF(Settings!$A$14:$A$43,B703)&gt;0,"Holiday posting | ","")&amp;IF(B703&gt;Settings!$C$8,"Posted after close | ","")&amp;IF(OR(B703&lt;Settings!$C$6,B703&gt;Settings!$C$7),"Outside period | ","")&amp;IF(COUNTIF(Settings!$E$14:$E$43,C703&amp;"")&gt;0,"Sensitive account | ","")&amp;IF(AND(MAX(N(E703),N(F703))&gt;=Settings!$C$9,MOD(MAX(N(E703),N(F703)),Settings!$C$10)=0),"Round amount | ",""))-3)))</f>
        <v/>
      </c>
      <c r="M703" s="21" t="str">
        <f aca="false">IF(A703="","",IF(COUNTIF($A$9:A703,A703)=1,MAX($M$8:M702)+1,""))</f>
        <v/>
      </c>
    </row>
    <row r="704" customFormat="false" ht="15" hidden="false" customHeight="false" outlineLevel="0" collapsed="false">
      <c r="A704" s="8"/>
      <c r="B704" s="17"/>
      <c r="C704" s="19"/>
      <c r="D704" s="8"/>
      <c r="E704" s="18"/>
      <c r="F704" s="18"/>
      <c r="G704" s="8"/>
      <c r="H704" s="8"/>
      <c r="I704" s="8"/>
      <c r="J704" s="8"/>
      <c r="K704" s="10" t="str">
        <f aca="false">IF(A704="","",IF(ABS(SUMIFS($E$9:$E$2008,$A$9:$A$2008,A704)-SUMIFS($F$9:$F$2008,$A$9:$A$2008,A704))&lt;0.5,"Yes","No"))</f>
        <v/>
      </c>
      <c r="L704" s="10" t="str">
        <f aca="false">IF(A704="","",IF(IF(K704="No","Does not balance | ","")&amp;IF(I704="","Not approved | ",IF(UPPER(TRIM(H704))=UPPER(TRIM(I704)),"Self-approved | ",""))&amp;IF(J704="","No support | ","")&amp;IF(WEEKDAY(B704,2)&gt;5,"Weekend posting | ","")&amp;IF(COUNTIF(Settings!$A$14:$A$43,B704)&gt;0,"Holiday posting | ","")&amp;IF(B704&gt;Settings!$C$8,"Posted after close | ","")&amp;IF(OR(B704&lt;Settings!$C$6,B704&gt;Settings!$C$7),"Outside period | ","")&amp;IF(COUNTIF(Settings!$E$14:$E$43,C704&amp;"")&gt;0,"Sensitive account | ","")&amp;IF(AND(MAX(N(E704),N(F704))&gt;=Settings!$C$9,MOD(MAX(N(E704),N(F704)),Settings!$C$10)=0),"Round amount | ","")="","",LEFT(IF(K704="No","Does not balance | ","")&amp;IF(I704="","Not approved | ",IF(UPPER(TRIM(H704))=UPPER(TRIM(I704)),"Self-approved | ",""))&amp;IF(J704="","No support | ","")&amp;IF(WEEKDAY(B704,2)&gt;5,"Weekend posting | ","")&amp;IF(COUNTIF(Settings!$A$14:$A$43,B704)&gt;0,"Holiday posting | ","")&amp;IF(B704&gt;Settings!$C$8,"Posted after close | ","")&amp;IF(OR(B704&lt;Settings!$C$6,B704&gt;Settings!$C$7),"Outside period | ","")&amp;IF(COUNTIF(Settings!$E$14:$E$43,C704&amp;"")&gt;0,"Sensitive account | ","")&amp;IF(AND(MAX(N(E704),N(F704))&gt;=Settings!$C$9,MOD(MAX(N(E704),N(F704)),Settings!$C$10)=0),"Round amount | ",""),LEN(IF(K704="No","Does not balance | ","")&amp;IF(I704="","Not approved | ",IF(UPPER(TRIM(H704))=UPPER(TRIM(I704)),"Self-approved | ",""))&amp;IF(J704="","No support | ","")&amp;IF(WEEKDAY(B704,2)&gt;5,"Weekend posting | ","")&amp;IF(COUNTIF(Settings!$A$14:$A$43,B704)&gt;0,"Holiday posting | ","")&amp;IF(B704&gt;Settings!$C$8,"Posted after close | ","")&amp;IF(OR(B704&lt;Settings!$C$6,B704&gt;Settings!$C$7),"Outside period | ","")&amp;IF(COUNTIF(Settings!$E$14:$E$43,C704&amp;"")&gt;0,"Sensitive account | ","")&amp;IF(AND(MAX(N(E704),N(F704))&gt;=Settings!$C$9,MOD(MAX(N(E704),N(F704)),Settings!$C$10)=0),"Round amount | ",""))-3)))</f>
        <v/>
      </c>
      <c r="M704" s="21" t="str">
        <f aca="false">IF(A704="","",IF(COUNTIF($A$9:A704,A704)=1,MAX($M$8:M703)+1,""))</f>
        <v/>
      </c>
    </row>
    <row r="705" customFormat="false" ht="15" hidden="false" customHeight="false" outlineLevel="0" collapsed="false">
      <c r="A705" s="8"/>
      <c r="B705" s="17"/>
      <c r="C705" s="19"/>
      <c r="D705" s="8"/>
      <c r="E705" s="18"/>
      <c r="F705" s="18"/>
      <c r="G705" s="8"/>
      <c r="H705" s="8"/>
      <c r="I705" s="8"/>
      <c r="J705" s="8"/>
      <c r="K705" s="10" t="str">
        <f aca="false">IF(A705="","",IF(ABS(SUMIFS($E$9:$E$2008,$A$9:$A$2008,A705)-SUMIFS($F$9:$F$2008,$A$9:$A$2008,A705))&lt;0.5,"Yes","No"))</f>
        <v/>
      </c>
      <c r="L705" s="10" t="str">
        <f aca="false">IF(A705="","",IF(IF(K705="No","Does not balance | ","")&amp;IF(I705="","Not approved | ",IF(UPPER(TRIM(H705))=UPPER(TRIM(I705)),"Self-approved | ",""))&amp;IF(J705="","No support | ","")&amp;IF(WEEKDAY(B705,2)&gt;5,"Weekend posting | ","")&amp;IF(COUNTIF(Settings!$A$14:$A$43,B705)&gt;0,"Holiday posting | ","")&amp;IF(B705&gt;Settings!$C$8,"Posted after close | ","")&amp;IF(OR(B705&lt;Settings!$C$6,B705&gt;Settings!$C$7),"Outside period | ","")&amp;IF(COUNTIF(Settings!$E$14:$E$43,C705&amp;"")&gt;0,"Sensitive account | ","")&amp;IF(AND(MAX(N(E705),N(F705))&gt;=Settings!$C$9,MOD(MAX(N(E705),N(F705)),Settings!$C$10)=0),"Round amount | ","")="","",LEFT(IF(K705="No","Does not balance | ","")&amp;IF(I705="","Not approved | ",IF(UPPER(TRIM(H705))=UPPER(TRIM(I705)),"Self-approved | ",""))&amp;IF(J705="","No support | ","")&amp;IF(WEEKDAY(B705,2)&gt;5,"Weekend posting | ","")&amp;IF(COUNTIF(Settings!$A$14:$A$43,B705)&gt;0,"Holiday posting | ","")&amp;IF(B705&gt;Settings!$C$8,"Posted after close | ","")&amp;IF(OR(B705&lt;Settings!$C$6,B705&gt;Settings!$C$7),"Outside period | ","")&amp;IF(COUNTIF(Settings!$E$14:$E$43,C705&amp;"")&gt;0,"Sensitive account | ","")&amp;IF(AND(MAX(N(E705),N(F705))&gt;=Settings!$C$9,MOD(MAX(N(E705),N(F705)),Settings!$C$10)=0),"Round amount | ",""),LEN(IF(K705="No","Does not balance | ","")&amp;IF(I705="","Not approved | ",IF(UPPER(TRIM(H705))=UPPER(TRIM(I705)),"Self-approved | ",""))&amp;IF(J705="","No support | ","")&amp;IF(WEEKDAY(B705,2)&gt;5,"Weekend posting | ","")&amp;IF(COUNTIF(Settings!$A$14:$A$43,B705)&gt;0,"Holiday posting | ","")&amp;IF(B705&gt;Settings!$C$8,"Posted after close | ","")&amp;IF(OR(B705&lt;Settings!$C$6,B705&gt;Settings!$C$7),"Outside period | ","")&amp;IF(COUNTIF(Settings!$E$14:$E$43,C705&amp;"")&gt;0,"Sensitive account | ","")&amp;IF(AND(MAX(N(E705),N(F705))&gt;=Settings!$C$9,MOD(MAX(N(E705),N(F705)),Settings!$C$10)=0),"Round amount | ",""))-3)))</f>
        <v/>
      </c>
      <c r="M705" s="21" t="str">
        <f aca="false">IF(A705="","",IF(COUNTIF($A$9:A705,A705)=1,MAX($M$8:M704)+1,""))</f>
        <v/>
      </c>
    </row>
    <row r="706" customFormat="false" ht="15" hidden="false" customHeight="false" outlineLevel="0" collapsed="false">
      <c r="A706" s="8"/>
      <c r="B706" s="17"/>
      <c r="C706" s="19"/>
      <c r="D706" s="8"/>
      <c r="E706" s="18"/>
      <c r="F706" s="18"/>
      <c r="G706" s="8"/>
      <c r="H706" s="8"/>
      <c r="I706" s="8"/>
      <c r="J706" s="8"/>
      <c r="K706" s="10" t="str">
        <f aca="false">IF(A706="","",IF(ABS(SUMIFS($E$9:$E$2008,$A$9:$A$2008,A706)-SUMIFS($F$9:$F$2008,$A$9:$A$2008,A706))&lt;0.5,"Yes","No"))</f>
        <v/>
      </c>
      <c r="L706" s="10" t="str">
        <f aca="false">IF(A706="","",IF(IF(K706="No","Does not balance | ","")&amp;IF(I706="","Not approved | ",IF(UPPER(TRIM(H706))=UPPER(TRIM(I706)),"Self-approved | ",""))&amp;IF(J706="","No support | ","")&amp;IF(WEEKDAY(B706,2)&gt;5,"Weekend posting | ","")&amp;IF(COUNTIF(Settings!$A$14:$A$43,B706)&gt;0,"Holiday posting | ","")&amp;IF(B706&gt;Settings!$C$8,"Posted after close | ","")&amp;IF(OR(B706&lt;Settings!$C$6,B706&gt;Settings!$C$7),"Outside period | ","")&amp;IF(COUNTIF(Settings!$E$14:$E$43,C706&amp;"")&gt;0,"Sensitive account | ","")&amp;IF(AND(MAX(N(E706),N(F706))&gt;=Settings!$C$9,MOD(MAX(N(E706),N(F706)),Settings!$C$10)=0),"Round amount | ","")="","",LEFT(IF(K706="No","Does not balance | ","")&amp;IF(I706="","Not approved | ",IF(UPPER(TRIM(H706))=UPPER(TRIM(I706)),"Self-approved | ",""))&amp;IF(J706="","No support | ","")&amp;IF(WEEKDAY(B706,2)&gt;5,"Weekend posting | ","")&amp;IF(COUNTIF(Settings!$A$14:$A$43,B706)&gt;0,"Holiday posting | ","")&amp;IF(B706&gt;Settings!$C$8,"Posted after close | ","")&amp;IF(OR(B706&lt;Settings!$C$6,B706&gt;Settings!$C$7),"Outside period | ","")&amp;IF(COUNTIF(Settings!$E$14:$E$43,C706&amp;"")&gt;0,"Sensitive account | ","")&amp;IF(AND(MAX(N(E706),N(F706))&gt;=Settings!$C$9,MOD(MAX(N(E706),N(F706)),Settings!$C$10)=0),"Round amount | ",""),LEN(IF(K706="No","Does not balance | ","")&amp;IF(I706="","Not approved | ",IF(UPPER(TRIM(H706))=UPPER(TRIM(I706)),"Self-approved | ",""))&amp;IF(J706="","No support | ","")&amp;IF(WEEKDAY(B706,2)&gt;5,"Weekend posting | ","")&amp;IF(COUNTIF(Settings!$A$14:$A$43,B706)&gt;0,"Holiday posting | ","")&amp;IF(B706&gt;Settings!$C$8,"Posted after close | ","")&amp;IF(OR(B706&lt;Settings!$C$6,B706&gt;Settings!$C$7),"Outside period | ","")&amp;IF(COUNTIF(Settings!$E$14:$E$43,C706&amp;"")&gt;0,"Sensitive account | ","")&amp;IF(AND(MAX(N(E706),N(F706))&gt;=Settings!$C$9,MOD(MAX(N(E706),N(F706)),Settings!$C$10)=0),"Round amount | ",""))-3)))</f>
        <v/>
      </c>
      <c r="M706" s="21" t="str">
        <f aca="false">IF(A706="","",IF(COUNTIF($A$9:A706,A706)=1,MAX($M$8:M705)+1,""))</f>
        <v/>
      </c>
    </row>
    <row r="707" customFormat="false" ht="15" hidden="false" customHeight="false" outlineLevel="0" collapsed="false">
      <c r="A707" s="8"/>
      <c r="B707" s="17"/>
      <c r="C707" s="19"/>
      <c r="D707" s="8"/>
      <c r="E707" s="18"/>
      <c r="F707" s="18"/>
      <c r="G707" s="8"/>
      <c r="H707" s="8"/>
      <c r="I707" s="8"/>
      <c r="J707" s="8"/>
      <c r="K707" s="10" t="str">
        <f aca="false">IF(A707="","",IF(ABS(SUMIFS($E$9:$E$2008,$A$9:$A$2008,A707)-SUMIFS($F$9:$F$2008,$A$9:$A$2008,A707))&lt;0.5,"Yes","No"))</f>
        <v/>
      </c>
      <c r="L707" s="10" t="str">
        <f aca="false">IF(A707="","",IF(IF(K707="No","Does not balance | ","")&amp;IF(I707="","Not approved | ",IF(UPPER(TRIM(H707))=UPPER(TRIM(I707)),"Self-approved | ",""))&amp;IF(J707="","No support | ","")&amp;IF(WEEKDAY(B707,2)&gt;5,"Weekend posting | ","")&amp;IF(COUNTIF(Settings!$A$14:$A$43,B707)&gt;0,"Holiday posting | ","")&amp;IF(B707&gt;Settings!$C$8,"Posted after close | ","")&amp;IF(OR(B707&lt;Settings!$C$6,B707&gt;Settings!$C$7),"Outside period | ","")&amp;IF(COUNTIF(Settings!$E$14:$E$43,C707&amp;"")&gt;0,"Sensitive account | ","")&amp;IF(AND(MAX(N(E707),N(F707))&gt;=Settings!$C$9,MOD(MAX(N(E707),N(F707)),Settings!$C$10)=0),"Round amount | ","")="","",LEFT(IF(K707="No","Does not balance | ","")&amp;IF(I707="","Not approved | ",IF(UPPER(TRIM(H707))=UPPER(TRIM(I707)),"Self-approved | ",""))&amp;IF(J707="","No support | ","")&amp;IF(WEEKDAY(B707,2)&gt;5,"Weekend posting | ","")&amp;IF(COUNTIF(Settings!$A$14:$A$43,B707)&gt;0,"Holiday posting | ","")&amp;IF(B707&gt;Settings!$C$8,"Posted after close | ","")&amp;IF(OR(B707&lt;Settings!$C$6,B707&gt;Settings!$C$7),"Outside period | ","")&amp;IF(COUNTIF(Settings!$E$14:$E$43,C707&amp;"")&gt;0,"Sensitive account | ","")&amp;IF(AND(MAX(N(E707),N(F707))&gt;=Settings!$C$9,MOD(MAX(N(E707),N(F707)),Settings!$C$10)=0),"Round amount | ",""),LEN(IF(K707="No","Does not balance | ","")&amp;IF(I707="","Not approved | ",IF(UPPER(TRIM(H707))=UPPER(TRIM(I707)),"Self-approved | ",""))&amp;IF(J707="","No support | ","")&amp;IF(WEEKDAY(B707,2)&gt;5,"Weekend posting | ","")&amp;IF(COUNTIF(Settings!$A$14:$A$43,B707)&gt;0,"Holiday posting | ","")&amp;IF(B707&gt;Settings!$C$8,"Posted after close | ","")&amp;IF(OR(B707&lt;Settings!$C$6,B707&gt;Settings!$C$7),"Outside period | ","")&amp;IF(COUNTIF(Settings!$E$14:$E$43,C707&amp;"")&gt;0,"Sensitive account | ","")&amp;IF(AND(MAX(N(E707),N(F707))&gt;=Settings!$C$9,MOD(MAX(N(E707),N(F707)),Settings!$C$10)=0),"Round amount | ",""))-3)))</f>
        <v/>
      </c>
      <c r="M707" s="21" t="str">
        <f aca="false">IF(A707="","",IF(COUNTIF($A$9:A707,A707)=1,MAX($M$8:M706)+1,""))</f>
        <v/>
      </c>
    </row>
    <row r="708" customFormat="false" ht="15" hidden="false" customHeight="false" outlineLevel="0" collapsed="false">
      <c r="A708" s="8"/>
      <c r="B708" s="17"/>
      <c r="C708" s="19"/>
      <c r="D708" s="8"/>
      <c r="E708" s="18"/>
      <c r="F708" s="18"/>
      <c r="G708" s="8"/>
      <c r="H708" s="8"/>
      <c r="I708" s="8"/>
      <c r="J708" s="8"/>
      <c r="K708" s="10" t="str">
        <f aca="false">IF(A708="","",IF(ABS(SUMIFS($E$9:$E$2008,$A$9:$A$2008,A708)-SUMIFS($F$9:$F$2008,$A$9:$A$2008,A708))&lt;0.5,"Yes","No"))</f>
        <v/>
      </c>
      <c r="L708" s="10" t="str">
        <f aca="false">IF(A708="","",IF(IF(K708="No","Does not balance | ","")&amp;IF(I708="","Not approved | ",IF(UPPER(TRIM(H708))=UPPER(TRIM(I708)),"Self-approved | ",""))&amp;IF(J708="","No support | ","")&amp;IF(WEEKDAY(B708,2)&gt;5,"Weekend posting | ","")&amp;IF(COUNTIF(Settings!$A$14:$A$43,B708)&gt;0,"Holiday posting | ","")&amp;IF(B708&gt;Settings!$C$8,"Posted after close | ","")&amp;IF(OR(B708&lt;Settings!$C$6,B708&gt;Settings!$C$7),"Outside period | ","")&amp;IF(COUNTIF(Settings!$E$14:$E$43,C708&amp;"")&gt;0,"Sensitive account | ","")&amp;IF(AND(MAX(N(E708),N(F708))&gt;=Settings!$C$9,MOD(MAX(N(E708),N(F708)),Settings!$C$10)=0),"Round amount | ","")="","",LEFT(IF(K708="No","Does not balance | ","")&amp;IF(I708="","Not approved | ",IF(UPPER(TRIM(H708))=UPPER(TRIM(I708)),"Self-approved | ",""))&amp;IF(J708="","No support | ","")&amp;IF(WEEKDAY(B708,2)&gt;5,"Weekend posting | ","")&amp;IF(COUNTIF(Settings!$A$14:$A$43,B708)&gt;0,"Holiday posting | ","")&amp;IF(B708&gt;Settings!$C$8,"Posted after close | ","")&amp;IF(OR(B708&lt;Settings!$C$6,B708&gt;Settings!$C$7),"Outside period | ","")&amp;IF(COUNTIF(Settings!$E$14:$E$43,C708&amp;"")&gt;0,"Sensitive account | ","")&amp;IF(AND(MAX(N(E708),N(F708))&gt;=Settings!$C$9,MOD(MAX(N(E708),N(F708)),Settings!$C$10)=0),"Round amount | ",""),LEN(IF(K708="No","Does not balance | ","")&amp;IF(I708="","Not approved | ",IF(UPPER(TRIM(H708))=UPPER(TRIM(I708)),"Self-approved | ",""))&amp;IF(J708="","No support | ","")&amp;IF(WEEKDAY(B708,2)&gt;5,"Weekend posting | ","")&amp;IF(COUNTIF(Settings!$A$14:$A$43,B708)&gt;0,"Holiday posting | ","")&amp;IF(B708&gt;Settings!$C$8,"Posted after close | ","")&amp;IF(OR(B708&lt;Settings!$C$6,B708&gt;Settings!$C$7),"Outside period | ","")&amp;IF(COUNTIF(Settings!$E$14:$E$43,C708&amp;"")&gt;0,"Sensitive account | ","")&amp;IF(AND(MAX(N(E708),N(F708))&gt;=Settings!$C$9,MOD(MAX(N(E708),N(F708)),Settings!$C$10)=0),"Round amount | ",""))-3)))</f>
        <v/>
      </c>
      <c r="M708" s="21" t="str">
        <f aca="false">IF(A708="","",IF(COUNTIF($A$9:A708,A708)=1,MAX($M$8:M707)+1,""))</f>
        <v/>
      </c>
    </row>
    <row r="709" customFormat="false" ht="15" hidden="false" customHeight="false" outlineLevel="0" collapsed="false">
      <c r="A709" s="8"/>
      <c r="B709" s="17"/>
      <c r="C709" s="19"/>
      <c r="D709" s="8"/>
      <c r="E709" s="18"/>
      <c r="F709" s="18"/>
      <c r="G709" s="8"/>
      <c r="H709" s="8"/>
      <c r="I709" s="8"/>
      <c r="J709" s="8"/>
      <c r="K709" s="10" t="str">
        <f aca="false">IF(A709="","",IF(ABS(SUMIFS($E$9:$E$2008,$A$9:$A$2008,A709)-SUMIFS($F$9:$F$2008,$A$9:$A$2008,A709))&lt;0.5,"Yes","No"))</f>
        <v/>
      </c>
      <c r="L709" s="10" t="str">
        <f aca="false">IF(A709="","",IF(IF(K709="No","Does not balance | ","")&amp;IF(I709="","Not approved | ",IF(UPPER(TRIM(H709))=UPPER(TRIM(I709)),"Self-approved | ",""))&amp;IF(J709="","No support | ","")&amp;IF(WEEKDAY(B709,2)&gt;5,"Weekend posting | ","")&amp;IF(COUNTIF(Settings!$A$14:$A$43,B709)&gt;0,"Holiday posting | ","")&amp;IF(B709&gt;Settings!$C$8,"Posted after close | ","")&amp;IF(OR(B709&lt;Settings!$C$6,B709&gt;Settings!$C$7),"Outside period | ","")&amp;IF(COUNTIF(Settings!$E$14:$E$43,C709&amp;"")&gt;0,"Sensitive account | ","")&amp;IF(AND(MAX(N(E709),N(F709))&gt;=Settings!$C$9,MOD(MAX(N(E709),N(F709)),Settings!$C$10)=0),"Round amount | ","")="","",LEFT(IF(K709="No","Does not balance | ","")&amp;IF(I709="","Not approved | ",IF(UPPER(TRIM(H709))=UPPER(TRIM(I709)),"Self-approved | ",""))&amp;IF(J709="","No support | ","")&amp;IF(WEEKDAY(B709,2)&gt;5,"Weekend posting | ","")&amp;IF(COUNTIF(Settings!$A$14:$A$43,B709)&gt;0,"Holiday posting | ","")&amp;IF(B709&gt;Settings!$C$8,"Posted after close | ","")&amp;IF(OR(B709&lt;Settings!$C$6,B709&gt;Settings!$C$7),"Outside period | ","")&amp;IF(COUNTIF(Settings!$E$14:$E$43,C709&amp;"")&gt;0,"Sensitive account | ","")&amp;IF(AND(MAX(N(E709),N(F709))&gt;=Settings!$C$9,MOD(MAX(N(E709),N(F709)),Settings!$C$10)=0),"Round amount | ",""),LEN(IF(K709="No","Does not balance | ","")&amp;IF(I709="","Not approved | ",IF(UPPER(TRIM(H709))=UPPER(TRIM(I709)),"Self-approved | ",""))&amp;IF(J709="","No support | ","")&amp;IF(WEEKDAY(B709,2)&gt;5,"Weekend posting | ","")&amp;IF(COUNTIF(Settings!$A$14:$A$43,B709)&gt;0,"Holiday posting | ","")&amp;IF(B709&gt;Settings!$C$8,"Posted after close | ","")&amp;IF(OR(B709&lt;Settings!$C$6,B709&gt;Settings!$C$7),"Outside period | ","")&amp;IF(COUNTIF(Settings!$E$14:$E$43,C709&amp;"")&gt;0,"Sensitive account | ","")&amp;IF(AND(MAX(N(E709),N(F709))&gt;=Settings!$C$9,MOD(MAX(N(E709),N(F709)),Settings!$C$10)=0),"Round amount | ",""))-3)))</f>
        <v/>
      </c>
      <c r="M709" s="21" t="str">
        <f aca="false">IF(A709="","",IF(COUNTIF($A$9:A709,A709)=1,MAX($M$8:M708)+1,""))</f>
        <v/>
      </c>
    </row>
    <row r="710" customFormat="false" ht="15" hidden="false" customHeight="false" outlineLevel="0" collapsed="false">
      <c r="A710" s="8"/>
      <c r="B710" s="17"/>
      <c r="C710" s="19"/>
      <c r="D710" s="8"/>
      <c r="E710" s="18"/>
      <c r="F710" s="18"/>
      <c r="G710" s="8"/>
      <c r="H710" s="8"/>
      <c r="I710" s="8"/>
      <c r="J710" s="8"/>
      <c r="K710" s="10" t="str">
        <f aca="false">IF(A710="","",IF(ABS(SUMIFS($E$9:$E$2008,$A$9:$A$2008,A710)-SUMIFS($F$9:$F$2008,$A$9:$A$2008,A710))&lt;0.5,"Yes","No"))</f>
        <v/>
      </c>
      <c r="L710" s="10" t="str">
        <f aca="false">IF(A710="","",IF(IF(K710="No","Does not balance | ","")&amp;IF(I710="","Not approved | ",IF(UPPER(TRIM(H710))=UPPER(TRIM(I710)),"Self-approved | ",""))&amp;IF(J710="","No support | ","")&amp;IF(WEEKDAY(B710,2)&gt;5,"Weekend posting | ","")&amp;IF(COUNTIF(Settings!$A$14:$A$43,B710)&gt;0,"Holiday posting | ","")&amp;IF(B710&gt;Settings!$C$8,"Posted after close | ","")&amp;IF(OR(B710&lt;Settings!$C$6,B710&gt;Settings!$C$7),"Outside period | ","")&amp;IF(COUNTIF(Settings!$E$14:$E$43,C710&amp;"")&gt;0,"Sensitive account | ","")&amp;IF(AND(MAX(N(E710),N(F710))&gt;=Settings!$C$9,MOD(MAX(N(E710),N(F710)),Settings!$C$10)=0),"Round amount | ","")="","",LEFT(IF(K710="No","Does not balance | ","")&amp;IF(I710="","Not approved | ",IF(UPPER(TRIM(H710))=UPPER(TRIM(I710)),"Self-approved | ",""))&amp;IF(J710="","No support | ","")&amp;IF(WEEKDAY(B710,2)&gt;5,"Weekend posting | ","")&amp;IF(COUNTIF(Settings!$A$14:$A$43,B710)&gt;0,"Holiday posting | ","")&amp;IF(B710&gt;Settings!$C$8,"Posted after close | ","")&amp;IF(OR(B710&lt;Settings!$C$6,B710&gt;Settings!$C$7),"Outside period | ","")&amp;IF(COUNTIF(Settings!$E$14:$E$43,C710&amp;"")&gt;0,"Sensitive account | ","")&amp;IF(AND(MAX(N(E710),N(F710))&gt;=Settings!$C$9,MOD(MAX(N(E710),N(F710)),Settings!$C$10)=0),"Round amount | ",""),LEN(IF(K710="No","Does not balance | ","")&amp;IF(I710="","Not approved | ",IF(UPPER(TRIM(H710))=UPPER(TRIM(I710)),"Self-approved | ",""))&amp;IF(J710="","No support | ","")&amp;IF(WEEKDAY(B710,2)&gt;5,"Weekend posting | ","")&amp;IF(COUNTIF(Settings!$A$14:$A$43,B710)&gt;0,"Holiday posting | ","")&amp;IF(B710&gt;Settings!$C$8,"Posted after close | ","")&amp;IF(OR(B710&lt;Settings!$C$6,B710&gt;Settings!$C$7),"Outside period | ","")&amp;IF(COUNTIF(Settings!$E$14:$E$43,C710&amp;"")&gt;0,"Sensitive account | ","")&amp;IF(AND(MAX(N(E710),N(F710))&gt;=Settings!$C$9,MOD(MAX(N(E710),N(F710)),Settings!$C$10)=0),"Round amount | ",""))-3)))</f>
        <v/>
      </c>
      <c r="M710" s="21" t="str">
        <f aca="false">IF(A710="","",IF(COUNTIF($A$9:A710,A710)=1,MAX($M$8:M709)+1,""))</f>
        <v/>
      </c>
    </row>
    <row r="711" customFormat="false" ht="15" hidden="false" customHeight="false" outlineLevel="0" collapsed="false">
      <c r="A711" s="8"/>
      <c r="B711" s="17"/>
      <c r="C711" s="19"/>
      <c r="D711" s="8"/>
      <c r="E711" s="18"/>
      <c r="F711" s="18"/>
      <c r="G711" s="8"/>
      <c r="H711" s="8"/>
      <c r="I711" s="8"/>
      <c r="J711" s="8"/>
      <c r="K711" s="10" t="str">
        <f aca="false">IF(A711="","",IF(ABS(SUMIFS($E$9:$E$2008,$A$9:$A$2008,A711)-SUMIFS($F$9:$F$2008,$A$9:$A$2008,A711))&lt;0.5,"Yes","No"))</f>
        <v/>
      </c>
      <c r="L711" s="10" t="str">
        <f aca="false">IF(A711="","",IF(IF(K711="No","Does not balance | ","")&amp;IF(I711="","Not approved | ",IF(UPPER(TRIM(H711))=UPPER(TRIM(I711)),"Self-approved | ",""))&amp;IF(J711="","No support | ","")&amp;IF(WEEKDAY(B711,2)&gt;5,"Weekend posting | ","")&amp;IF(COUNTIF(Settings!$A$14:$A$43,B711)&gt;0,"Holiday posting | ","")&amp;IF(B711&gt;Settings!$C$8,"Posted after close | ","")&amp;IF(OR(B711&lt;Settings!$C$6,B711&gt;Settings!$C$7),"Outside period | ","")&amp;IF(COUNTIF(Settings!$E$14:$E$43,C711&amp;"")&gt;0,"Sensitive account | ","")&amp;IF(AND(MAX(N(E711),N(F711))&gt;=Settings!$C$9,MOD(MAX(N(E711),N(F711)),Settings!$C$10)=0),"Round amount | ","")="","",LEFT(IF(K711="No","Does not balance | ","")&amp;IF(I711="","Not approved | ",IF(UPPER(TRIM(H711))=UPPER(TRIM(I711)),"Self-approved | ",""))&amp;IF(J711="","No support | ","")&amp;IF(WEEKDAY(B711,2)&gt;5,"Weekend posting | ","")&amp;IF(COUNTIF(Settings!$A$14:$A$43,B711)&gt;0,"Holiday posting | ","")&amp;IF(B711&gt;Settings!$C$8,"Posted after close | ","")&amp;IF(OR(B711&lt;Settings!$C$6,B711&gt;Settings!$C$7),"Outside period | ","")&amp;IF(COUNTIF(Settings!$E$14:$E$43,C711&amp;"")&gt;0,"Sensitive account | ","")&amp;IF(AND(MAX(N(E711),N(F711))&gt;=Settings!$C$9,MOD(MAX(N(E711),N(F711)),Settings!$C$10)=0),"Round amount | ",""),LEN(IF(K711="No","Does not balance | ","")&amp;IF(I711="","Not approved | ",IF(UPPER(TRIM(H711))=UPPER(TRIM(I711)),"Self-approved | ",""))&amp;IF(J711="","No support | ","")&amp;IF(WEEKDAY(B711,2)&gt;5,"Weekend posting | ","")&amp;IF(COUNTIF(Settings!$A$14:$A$43,B711)&gt;0,"Holiday posting | ","")&amp;IF(B711&gt;Settings!$C$8,"Posted after close | ","")&amp;IF(OR(B711&lt;Settings!$C$6,B711&gt;Settings!$C$7),"Outside period | ","")&amp;IF(COUNTIF(Settings!$E$14:$E$43,C711&amp;"")&gt;0,"Sensitive account | ","")&amp;IF(AND(MAX(N(E711),N(F711))&gt;=Settings!$C$9,MOD(MAX(N(E711),N(F711)),Settings!$C$10)=0),"Round amount | ",""))-3)))</f>
        <v/>
      </c>
      <c r="M711" s="21" t="str">
        <f aca="false">IF(A711="","",IF(COUNTIF($A$9:A711,A711)=1,MAX($M$8:M710)+1,""))</f>
        <v/>
      </c>
    </row>
    <row r="712" customFormat="false" ht="15" hidden="false" customHeight="false" outlineLevel="0" collapsed="false">
      <c r="A712" s="8"/>
      <c r="B712" s="17"/>
      <c r="C712" s="19"/>
      <c r="D712" s="8"/>
      <c r="E712" s="18"/>
      <c r="F712" s="18"/>
      <c r="G712" s="8"/>
      <c r="H712" s="8"/>
      <c r="I712" s="8"/>
      <c r="J712" s="8"/>
      <c r="K712" s="10" t="str">
        <f aca="false">IF(A712="","",IF(ABS(SUMIFS($E$9:$E$2008,$A$9:$A$2008,A712)-SUMIFS($F$9:$F$2008,$A$9:$A$2008,A712))&lt;0.5,"Yes","No"))</f>
        <v/>
      </c>
      <c r="L712" s="10" t="str">
        <f aca="false">IF(A712="","",IF(IF(K712="No","Does not balance | ","")&amp;IF(I712="","Not approved | ",IF(UPPER(TRIM(H712))=UPPER(TRIM(I712)),"Self-approved | ",""))&amp;IF(J712="","No support | ","")&amp;IF(WEEKDAY(B712,2)&gt;5,"Weekend posting | ","")&amp;IF(COUNTIF(Settings!$A$14:$A$43,B712)&gt;0,"Holiday posting | ","")&amp;IF(B712&gt;Settings!$C$8,"Posted after close | ","")&amp;IF(OR(B712&lt;Settings!$C$6,B712&gt;Settings!$C$7),"Outside period | ","")&amp;IF(COUNTIF(Settings!$E$14:$E$43,C712&amp;"")&gt;0,"Sensitive account | ","")&amp;IF(AND(MAX(N(E712),N(F712))&gt;=Settings!$C$9,MOD(MAX(N(E712),N(F712)),Settings!$C$10)=0),"Round amount | ","")="","",LEFT(IF(K712="No","Does not balance | ","")&amp;IF(I712="","Not approved | ",IF(UPPER(TRIM(H712))=UPPER(TRIM(I712)),"Self-approved | ",""))&amp;IF(J712="","No support | ","")&amp;IF(WEEKDAY(B712,2)&gt;5,"Weekend posting | ","")&amp;IF(COUNTIF(Settings!$A$14:$A$43,B712)&gt;0,"Holiday posting | ","")&amp;IF(B712&gt;Settings!$C$8,"Posted after close | ","")&amp;IF(OR(B712&lt;Settings!$C$6,B712&gt;Settings!$C$7),"Outside period | ","")&amp;IF(COUNTIF(Settings!$E$14:$E$43,C712&amp;"")&gt;0,"Sensitive account | ","")&amp;IF(AND(MAX(N(E712),N(F712))&gt;=Settings!$C$9,MOD(MAX(N(E712),N(F712)),Settings!$C$10)=0),"Round amount | ",""),LEN(IF(K712="No","Does not balance | ","")&amp;IF(I712="","Not approved | ",IF(UPPER(TRIM(H712))=UPPER(TRIM(I712)),"Self-approved | ",""))&amp;IF(J712="","No support | ","")&amp;IF(WEEKDAY(B712,2)&gt;5,"Weekend posting | ","")&amp;IF(COUNTIF(Settings!$A$14:$A$43,B712)&gt;0,"Holiday posting | ","")&amp;IF(B712&gt;Settings!$C$8,"Posted after close | ","")&amp;IF(OR(B712&lt;Settings!$C$6,B712&gt;Settings!$C$7),"Outside period | ","")&amp;IF(COUNTIF(Settings!$E$14:$E$43,C712&amp;"")&gt;0,"Sensitive account | ","")&amp;IF(AND(MAX(N(E712),N(F712))&gt;=Settings!$C$9,MOD(MAX(N(E712),N(F712)),Settings!$C$10)=0),"Round amount | ",""))-3)))</f>
        <v/>
      </c>
      <c r="M712" s="21" t="str">
        <f aca="false">IF(A712="","",IF(COUNTIF($A$9:A712,A712)=1,MAX($M$8:M711)+1,""))</f>
        <v/>
      </c>
    </row>
    <row r="713" customFormat="false" ht="15" hidden="false" customHeight="false" outlineLevel="0" collapsed="false">
      <c r="A713" s="8"/>
      <c r="B713" s="17"/>
      <c r="C713" s="19"/>
      <c r="D713" s="8"/>
      <c r="E713" s="18"/>
      <c r="F713" s="18"/>
      <c r="G713" s="8"/>
      <c r="H713" s="8"/>
      <c r="I713" s="8"/>
      <c r="J713" s="8"/>
      <c r="K713" s="10" t="str">
        <f aca="false">IF(A713="","",IF(ABS(SUMIFS($E$9:$E$2008,$A$9:$A$2008,A713)-SUMIFS($F$9:$F$2008,$A$9:$A$2008,A713))&lt;0.5,"Yes","No"))</f>
        <v/>
      </c>
      <c r="L713" s="10" t="str">
        <f aca="false">IF(A713="","",IF(IF(K713="No","Does not balance | ","")&amp;IF(I713="","Not approved | ",IF(UPPER(TRIM(H713))=UPPER(TRIM(I713)),"Self-approved | ",""))&amp;IF(J713="","No support | ","")&amp;IF(WEEKDAY(B713,2)&gt;5,"Weekend posting | ","")&amp;IF(COUNTIF(Settings!$A$14:$A$43,B713)&gt;0,"Holiday posting | ","")&amp;IF(B713&gt;Settings!$C$8,"Posted after close | ","")&amp;IF(OR(B713&lt;Settings!$C$6,B713&gt;Settings!$C$7),"Outside period | ","")&amp;IF(COUNTIF(Settings!$E$14:$E$43,C713&amp;"")&gt;0,"Sensitive account | ","")&amp;IF(AND(MAX(N(E713),N(F713))&gt;=Settings!$C$9,MOD(MAX(N(E713),N(F713)),Settings!$C$10)=0),"Round amount | ","")="","",LEFT(IF(K713="No","Does not balance | ","")&amp;IF(I713="","Not approved | ",IF(UPPER(TRIM(H713))=UPPER(TRIM(I713)),"Self-approved | ",""))&amp;IF(J713="","No support | ","")&amp;IF(WEEKDAY(B713,2)&gt;5,"Weekend posting | ","")&amp;IF(COUNTIF(Settings!$A$14:$A$43,B713)&gt;0,"Holiday posting | ","")&amp;IF(B713&gt;Settings!$C$8,"Posted after close | ","")&amp;IF(OR(B713&lt;Settings!$C$6,B713&gt;Settings!$C$7),"Outside period | ","")&amp;IF(COUNTIF(Settings!$E$14:$E$43,C713&amp;"")&gt;0,"Sensitive account | ","")&amp;IF(AND(MAX(N(E713),N(F713))&gt;=Settings!$C$9,MOD(MAX(N(E713),N(F713)),Settings!$C$10)=0),"Round amount | ",""),LEN(IF(K713="No","Does not balance | ","")&amp;IF(I713="","Not approved | ",IF(UPPER(TRIM(H713))=UPPER(TRIM(I713)),"Self-approved | ",""))&amp;IF(J713="","No support | ","")&amp;IF(WEEKDAY(B713,2)&gt;5,"Weekend posting | ","")&amp;IF(COUNTIF(Settings!$A$14:$A$43,B713)&gt;0,"Holiday posting | ","")&amp;IF(B713&gt;Settings!$C$8,"Posted after close | ","")&amp;IF(OR(B713&lt;Settings!$C$6,B713&gt;Settings!$C$7),"Outside period | ","")&amp;IF(COUNTIF(Settings!$E$14:$E$43,C713&amp;"")&gt;0,"Sensitive account | ","")&amp;IF(AND(MAX(N(E713),N(F713))&gt;=Settings!$C$9,MOD(MAX(N(E713),N(F713)),Settings!$C$10)=0),"Round amount | ",""))-3)))</f>
        <v/>
      </c>
      <c r="M713" s="21" t="str">
        <f aca="false">IF(A713="","",IF(COUNTIF($A$9:A713,A713)=1,MAX($M$8:M712)+1,""))</f>
        <v/>
      </c>
    </row>
    <row r="714" customFormat="false" ht="15" hidden="false" customHeight="false" outlineLevel="0" collapsed="false">
      <c r="A714" s="8"/>
      <c r="B714" s="17"/>
      <c r="C714" s="19"/>
      <c r="D714" s="8"/>
      <c r="E714" s="18"/>
      <c r="F714" s="18"/>
      <c r="G714" s="8"/>
      <c r="H714" s="8"/>
      <c r="I714" s="8"/>
      <c r="J714" s="8"/>
      <c r="K714" s="10" t="str">
        <f aca="false">IF(A714="","",IF(ABS(SUMIFS($E$9:$E$2008,$A$9:$A$2008,A714)-SUMIFS($F$9:$F$2008,$A$9:$A$2008,A714))&lt;0.5,"Yes","No"))</f>
        <v/>
      </c>
      <c r="L714" s="10" t="str">
        <f aca="false">IF(A714="","",IF(IF(K714="No","Does not balance | ","")&amp;IF(I714="","Not approved | ",IF(UPPER(TRIM(H714))=UPPER(TRIM(I714)),"Self-approved | ",""))&amp;IF(J714="","No support | ","")&amp;IF(WEEKDAY(B714,2)&gt;5,"Weekend posting | ","")&amp;IF(COUNTIF(Settings!$A$14:$A$43,B714)&gt;0,"Holiday posting | ","")&amp;IF(B714&gt;Settings!$C$8,"Posted after close | ","")&amp;IF(OR(B714&lt;Settings!$C$6,B714&gt;Settings!$C$7),"Outside period | ","")&amp;IF(COUNTIF(Settings!$E$14:$E$43,C714&amp;"")&gt;0,"Sensitive account | ","")&amp;IF(AND(MAX(N(E714),N(F714))&gt;=Settings!$C$9,MOD(MAX(N(E714),N(F714)),Settings!$C$10)=0),"Round amount | ","")="","",LEFT(IF(K714="No","Does not balance | ","")&amp;IF(I714="","Not approved | ",IF(UPPER(TRIM(H714))=UPPER(TRIM(I714)),"Self-approved | ",""))&amp;IF(J714="","No support | ","")&amp;IF(WEEKDAY(B714,2)&gt;5,"Weekend posting | ","")&amp;IF(COUNTIF(Settings!$A$14:$A$43,B714)&gt;0,"Holiday posting | ","")&amp;IF(B714&gt;Settings!$C$8,"Posted after close | ","")&amp;IF(OR(B714&lt;Settings!$C$6,B714&gt;Settings!$C$7),"Outside period | ","")&amp;IF(COUNTIF(Settings!$E$14:$E$43,C714&amp;"")&gt;0,"Sensitive account | ","")&amp;IF(AND(MAX(N(E714),N(F714))&gt;=Settings!$C$9,MOD(MAX(N(E714),N(F714)),Settings!$C$10)=0),"Round amount | ",""),LEN(IF(K714="No","Does not balance | ","")&amp;IF(I714="","Not approved | ",IF(UPPER(TRIM(H714))=UPPER(TRIM(I714)),"Self-approved | ",""))&amp;IF(J714="","No support | ","")&amp;IF(WEEKDAY(B714,2)&gt;5,"Weekend posting | ","")&amp;IF(COUNTIF(Settings!$A$14:$A$43,B714)&gt;0,"Holiday posting | ","")&amp;IF(B714&gt;Settings!$C$8,"Posted after close | ","")&amp;IF(OR(B714&lt;Settings!$C$6,B714&gt;Settings!$C$7),"Outside period | ","")&amp;IF(COUNTIF(Settings!$E$14:$E$43,C714&amp;"")&gt;0,"Sensitive account | ","")&amp;IF(AND(MAX(N(E714),N(F714))&gt;=Settings!$C$9,MOD(MAX(N(E714),N(F714)),Settings!$C$10)=0),"Round amount | ",""))-3)))</f>
        <v/>
      </c>
      <c r="M714" s="21" t="str">
        <f aca="false">IF(A714="","",IF(COUNTIF($A$9:A714,A714)=1,MAX($M$8:M713)+1,""))</f>
        <v/>
      </c>
    </row>
    <row r="715" customFormat="false" ht="15" hidden="false" customHeight="false" outlineLevel="0" collapsed="false">
      <c r="A715" s="8"/>
      <c r="B715" s="17"/>
      <c r="C715" s="19"/>
      <c r="D715" s="8"/>
      <c r="E715" s="18"/>
      <c r="F715" s="18"/>
      <c r="G715" s="8"/>
      <c r="H715" s="8"/>
      <c r="I715" s="8"/>
      <c r="J715" s="8"/>
      <c r="K715" s="10" t="str">
        <f aca="false">IF(A715="","",IF(ABS(SUMIFS($E$9:$E$2008,$A$9:$A$2008,A715)-SUMIFS($F$9:$F$2008,$A$9:$A$2008,A715))&lt;0.5,"Yes","No"))</f>
        <v/>
      </c>
      <c r="L715" s="10" t="str">
        <f aca="false">IF(A715="","",IF(IF(K715="No","Does not balance | ","")&amp;IF(I715="","Not approved | ",IF(UPPER(TRIM(H715))=UPPER(TRIM(I715)),"Self-approved | ",""))&amp;IF(J715="","No support | ","")&amp;IF(WEEKDAY(B715,2)&gt;5,"Weekend posting | ","")&amp;IF(COUNTIF(Settings!$A$14:$A$43,B715)&gt;0,"Holiday posting | ","")&amp;IF(B715&gt;Settings!$C$8,"Posted after close | ","")&amp;IF(OR(B715&lt;Settings!$C$6,B715&gt;Settings!$C$7),"Outside period | ","")&amp;IF(COUNTIF(Settings!$E$14:$E$43,C715&amp;"")&gt;0,"Sensitive account | ","")&amp;IF(AND(MAX(N(E715),N(F715))&gt;=Settings!$C$9,MOD(MAX(N(E715),N(F715)),Settings!$C$10)=0),"Round amount | ","")="","",LEFT(IF(K715="No","Does not balance | ","")&amp;IF(I715="","Not approved | ",IF(UPPER(TRIM(H715))=UPPER(TRIM(I715)),"Self-approved | ",""))&amp;IF(J715="","No support | ","")&amp;IF(WEEKDAY(B715,2)&gt;5,"Weekend posting | ","")&amp;IF(COUNTIF(Settings!$A$14:$A$43,B715)&gt;0,"Holiday posting | ","")&amp;IF(B715&gt;Settings!$C$8,"Posted after close | ","")&amp;IF(OR(B715&lt;Settings!$C$6,B715&gt;Settings!$C$7),"Outside period | ","")&amp;IF(COUNTIF(Settings!$E$14:$E$43,C715&amp;"")&gt;0,"Sensitive account | ","")&amp;IF(AND(MAX(N(E715),N(F715))&gt;=Settings!$C$9,MOD(MAX(N(E715),N(F715)),Settings!$C$10)=0),"Round amount | ",""),LEN(IF(K715="No","Does not balance | ","")&amp;IF(I715="","Not approved | ",IF(UPPER(TRIM(H715))=UPPER(TRIM(I715)),"Self-approved | ",""))&amp;IF(J715="","No support | ","")&amp;IF(WEEKDAY(B715,2)&gt;5,"Weekend posting | ","")&amp;IF(COUNTIF(Settings!$A$14:$A$43,B715)&gt;0,"Holiday posting | ","")&amp;IF(B715&gt;Settings!$C$8,"Posted after close | ","")&amp;IF(OR(B715&lt;Settings!$C$6,B715&gt;Settings!$C$7),"Outside period | ","")&amp;IF(COUNTIF(Settings!$E$14:$E$43,C715&amp;"")&gt;0,"Sensitive account | ","")&amp;IF(AND(MAX(N(E715),N(F715))&gt;=Settings!$C$9,MOD(MAX(N(E715),N(F715)),Settings!$C$10)=0),"Round amount | ",""))-3)))</f>
        <v/>
      </c>
      <c r="M715" s="21" t="str">
        <f aca="false">IF(A715="","",IF(COUNTIF($A$9:A715,A715)=1,MAX($M$8:M714)+1,""))</f>
        <v/>
      </c>
    </row>
    <row r="716" customFormat="false" ht="15" hidden="false" customHeight="false" outlineLevel="0" collapsed="false">
      <c r="A716" s="8"/>
      <c r="B716" s="17"/>
      <c r="C716" s="19"/>
      <c r="D716" s="8"/>
      <c r="E716" s="18"/>
      <c r="F716" s="18"/>
      <c r="G716" s="8"/>
      <c r="H716" s="8"/>
      <c r="I716" s="8"/>
      <c r="J716" s="8"/>
      <c r="K716" s="10" t="str">
        <f aca="false">IF(A716="","",IF(ABS(SUMIFS($E$9:$E$2008,$A$9:$A$2008,A716)-SUMIFS($F$9:$F$2008,$A$9:$A$2008,A716))&lt;0.5,"Yes","No"))</f>
        <v/>
      </c>
      <c r="L716" s="10" t="str">
        <f aca="false">IF(A716="","",IF(IF(K716="No","Does not balance | ","")&amp;IF(I716="","Not approved | ",IF(UPPER(TRIM(H716))=UPPER(TRIM(I716)),"Self-approved | ",""))&amp;IF(J716="","No support | ","")&amp;IF(WEEKDAY(B716,2)&gt;5,"Weekend posting | ","")&amp;IF(COUNTIF(Settings!$A$14:$A$43,B716)&gt;0,"Holiday posting | ","")&amp;IF(B716&gt;Settings!$C$8,"Posted after close | ","")&amp;IF(OR(B716&lt;Settings!$C$6,B716&gt;Settings!$C$7),"Outside period | ","")&amp;IF(COUNTIF(Settings!$E$14:$E$43,C716&amp;"")&gt;0,"Sensitive account | ","")&amp;IF(AND(MAX(N(E716),N(F716))&gt;=Settings!$C$9,MOD(MAX(N(E716),N(F716)),Settings!$C$10)=0),"Round amount | ","")="","",LEFT(IF(K716="No","Does not balance | ","")&amp;IF(I716="","Not approved | ",IF(UPPER(TRIM(H716))=UPPER(TRIM(I716)),"Self-approved | ",""))&amp;IF(J716="","No support | ","")&amp;IF(WEEKDAY(B716,2)&gt;5,"Weekend posting | ","")&amp;IF(COUNTIF(Settings!$A$14:$A$43,B716)&gt;0,"Holiday posting | ","")&amp;IF(B716&gt;Settings!$C$8,"Posted after close | ","")&amp;IF(OR(B716&lt;Settings!$C$6,B716&gt;Settings!$C$7),"Outside period | ","")&amp;IF(COUNTIF(Settings!$E$14:$E$43,C716&amp;"")&gt;0,"Sensitive account | ","")&amp;IF(AND(MAX(N(E716),N(F716))&gt;=Settings!$C$9,MOD(MAX(N(E716),N(F716)),Settings!$C$10)=0),"Round amount | ",""),LEN(IF(K716="No","Does not balance | ","")&amp;IF(I716="","Not approved | ",IF(UPPER(TRIM(H716))=UPPER(TRIM(I716)),"Self-approved | ",""))&amp;IF(J716="","No support | ","")&amp;IF(WEEKDAY(B716,2)&gt;5,"Weekend posting | ","")&amp;IF(COUNTIF(Settings!$A$14:$A$43,B716)&gt;0,"Holiday posting | ","")&amp;IF(B716&gt;Settings!$C$8,"Posted after close | ","")&amp;IF(OR(B716&lt;Settings!$C$6,B716&gt;Settings!$C$7),"Outside period | ","")&amp;IF(COUNTIF(Settings!$E$14:$E$43,C716&amp;"")&gt;0,"Sensitive account | ","")&amp;IF(AND(MAX(N(E716),N(F716))&gt;=Settings!$C$9,MOD(MAX(N(E716),N(F716)),Settings!$C$10)=0),"Round amount | ",""))-3)))</f>
        <v/>
      </c>
      <c r="M716" s="21" t="str">
        <f aca="false">IF(A716="","",IF(COUNTIF($A$9:A716,A716)=1,MAX($M$8:M715)+1,""))</f>
        <v/>
      </c>
    </row>
    <row r="717" customFormat="false" ht="15" hidden="false" customHeight="false" outlineLevel="0" collapsed="false">
      <c r="A717" s="8"/>
      <c r="B717" s="17"/>
      <c r="C717" s="19"/>
      <c r="D717" s="8"/>
      <c r="E717" s="18"/>
      <c r="F717" s="18"/>
      <c r="G717" s="8"/>
      <c r="H717" s="8"/>
      <c r="I717" s="8"/>
      <c r="J717" s="8"/>
      <c r="K717" s="10" t="str">
        <f aca="false">IF(A717="","",IF(ABS(SUMIFS($E$9:$E$2008,$A$9:$A$2008,A717)-SUMIFS($F$9:$F$2008,$A$9:$A$2008,A717))&lt;0.5,"Yes","No"))</f>
        <v/>
      </c>
      <c r="L717" s="10" t="str">
        <f aca="false">IF(A717="","",IF(IF(K717="No","Does not balance | ","")&amp;IF(I717="","Not approved | ",IF(UPPER(TRIM(H717))=UPPER(TRIM(I717)),"Self-approved | ",""))&amp;IF(J717="","No support | ","")&amp;IF(WEEKDAY(B717,2)&gt;5,"Weekend posting | ","")&amp;IF(COUNTIF(Settings!$A$14:$A$43,B717)&gt;0,"Holiday posting | ","")&amp;IF(B717&gt;Settings!$C$8,"Posted after close | ","")&amp;IF(OR(B717&lt;Settings!$C$6,B717&gt;Settings!$C$7),"Outside period | ","")&amp;IF(COUNTIF(Settings!$E$14:$E$43,C717&amp;"")&gt;0,"Sensitive account | ","")&amp;IF(AND(MAX(N(E717),N(F717))&gt;=Settings!$C$9,MOD(MAX(N(E717),N(F717)),Settings!$C$10)=0),"Round amount | ","")="","",LEFT(IF(K717="No","Does not balance | ","")&amp;IF(I717="","Not approved | ",IF(UPPER(TRIM(H717))=UPPER(TRIM(I717)),"Self-approved | ",""))&amp;IF(J717="","No support | ","")&amp;IF(WEEKDAY(B717,2)&gt;5,"Weekend posting | ","")&amp;IF(COUNTIF(Settings!$A$14:$A$43,B717)&gt;0,"Holiday posting | ","")&amp;IF(B717&gt;Settings!$C$8,"Posted after close | ","")&amp;IF(OR(B717&lt;Settings!$C$6,B717&gt;Settings!$C$7),"Outside period | ","")&amp;IF(COUNTIF(Settings!$E$14:$E$43,C717&amp;"")&gt;0,"Sensitive account | ","")&amp;IF(AND(MAX(N(E717),N(F717))&gt;=Settings!$C$9,MOD(MAX(N(E717),N(F717)),Settings!$C$10)=0),"Round amount | ",""),LEN(IF(K717="No","Does not balance | ","")&amp;IF(I717="","Not approved | ",IF(UPPER(TRIM(H717))=UPPER(TRIM(I717)),"Self-approved | ",""))&amp;IF(J717="","No support | ","")&amp;IF(WEEKDAY(B717,2)&gt;5,"Weekend posting | ","")&amp;IF(COUNTIF(Settings!$A$14:$A$43,B717)&gt;0,"Holiday posting | ","")&amp;IF(B717&gt;Settings!$C$8,"Posted after close | ","")&amp;IF(OR(B717&lt;Settings!$C$6,B717&gt;Settings!$C$7),"Outside period | ","")&amp;IF(COUNTIF(Settings!$E$14:$E$43,C717&amp;"")&gt;0,"Sensitive account | ","")&amp;IF(AND(MAX(N(E717),N(F717))&gt;=Settings!$C$9,MOD(MAX(N(E717),N(F717)),Settings!$C$10)=0),"Round amount | ",""))-3)))</f>
        <v/>
      </c>
      <c r="M717" s="21" t="str">
        <f aca="false">IF(A717="","",IF(COUNTIF($A$9:A717,A717)=1,MAX($M$8:M716)+1,""))</f>
        <v/>
      </c>
    </row>
    <row r="718" customFormat="false" ht="15" hidden="false" customHeight="false" outlineLevel="0" collapsed="false">
      <c r="A718" s="8"/>
      <c r="B718" s="17"/>
      <c r="C718" s="19"/>
      <c r="D718" s="8"/>
      <c r="E718" s="18"/>
      <c r="F718" s="18"/>
      <c r="G718" s="8"/>
      <c r="H718" s="8"/>
      <c r="I718" s="8"/>
      <c r="J718" s="8"/>
      <c r="K718" s="10" t="str">
        <f aca="false">IF(A718="","",IF(ABS(SUMIFS($E$9:$E$2008,$A$9:$A$2008,A718)-SUMIFS($F$9:$F$2008,$A$9:$A$2008,A718))&lt;0.5,"Yes","No"))</f>
        <v/>
      </c>
      <c r="L718" s="10" t="str">
        <f aca="false">IF(A718="","",IF(IF(K718="No","Does not balance | ","")&amp;IF(I718="","Not approved | ",IF(UPPER(TRIM(H718))=UPPER(TRIM(I718)),"Self-approved | ",""))&amp;IF(J718="","No support | ","")&amp;IF(WEEKDAY(B718,2)&gt;5,"Weekend posting | ","")&amp;IF(COUNTIF(Settings!$A$14:$A$43,B718)&gt;0,"Holiday posting | ","")&amp;IF(B718&gt;Settings!$C$8,"Posted after close | ","")&amp;IF(OR(B718&lt;Settings!$C$6,B718&gt;Settings!$C$7),"Outside period | ","")&amp;IF(COUNTIF(Settings!$E$14:$E$43,C718&amp;"")&gt;0,"Sensitive account | ","")&amp;IF(AND(MAX(N(E718),N(F718))&gt;=Settings!$C$9,MOD(MAX(N(E718),N(F718)),Settings!$C$10)=0),"Round amount | ","")="","",LEFT(IF(K718="No","Does not balance | ","")&amp;IF(I718="","Not approved | ",IF(UPPER(TRIM(H718))=UPPER(TRIM(I718)),"Self-approved | ",""))&amp;IF(J718="","No support | ","")&amp;IF(WEEKDAY(B718,2)&gt;5,"Weekend posting | ","")&amp;IF(COUNTIF(Settings!$A$14:$A$43,B718)&gt;0,"Holiday posting | ","")&amp;IF(B718&gt;Settings!$C$8,"Posted after close | ","")&amp;IF(OR(B718&lt;Settings!$C$6,B718&gt;Settings!$C$7),"Outside period | ","")&amp;IF(COUNTIF(Settings!$E$14:$E$43,C718&amp;"")&gt;0,"Sensitive account | ","")&amp;IF(AND(MAX(N(E718),N(F718))&gt;=Settings!$C$9,MOD(MAX(N(E718),N(F718)),Settings!$C$10)=0),"Round amount | ",""),LEN(IF(K718="No","Does not balance | ","")&amp;IF(I718="","Not approved | ",IF(UPPER(TRIM(H718))=UPPER(TRIM(I718)),"Self-approved | ",""))&amp;IF(J718="","No support | ","")&amp;IF(WEEKDAY(B718,2)&gt;5,"Weekend posting | ","")&amp;IF(COUNTIF(Settings!$A$14:$A$43,B718)&gt;0,"Holiday posting | ","")&amp;IF(B718&gt;Settings!$C$8,"Posted after close | ","")&amp;IF(OR(B718&lt;Settings!$C$6,B718&gt;Settings!$C$7),"Outside period | ","")&amp;IF(COUNTIF(Settings!$E$14:$E$43,C718&amp;"")&gt;0,"Sensitive account | ","")&amp;IF(AND(MAX(N(E718),N(F718))&gt;=Settings!$C$9,MOD(MAX(N(E718),N(F718)),Settings!$C$10)=0),"Round amount | ",""))-3)))</f>
        <v/>
      </c>
      <c r="M718" s="21" t="str">
        <f aca="false">IF(A718="","",IF(COUNTIF($A$9:A718,A718)=1,MAX($M$8:M717)+1,""))</f>
        <v/>
      </c>
    </row>
    <row r="719" customFormat="false" ht="15" hidden="false" customHeight="false" outlineLevel="0" collapsed="false">
      <c r="A719" s="8"/>
      <c r="B719" s="17"/>
      <c r="C719" s="19"/>
      <c r="D719" s="8"/>
      <c r="E719" s="18"/>
      <c r="F719" s="18"/>
      <c r="G719" s="8"/>
      <c r="H719" s="8"/>
      <c r="I719" s="8"/>
      <c r="J719" s="8"/>
      <c r="K719" s="10" t="str">
        <f aca="false">IF(A719="","",IF(ABS(SUMIFS($E$9:$E$2008,$A$9:$A$2008,A719)-SUMIFS($F$9:$F$2008,$A$9:$A$2008,A719))&lt;0.5,"Yes","No"))</f>
        <v/>
      </c>
      <c r="L719" s="10" t="str">
        <f aca="false">IF(A719="","",IF(IF(K719="No","Does not balance | ","")&amp;IF(I719="","Not approved | ",IF(UPPER(TRIM(H719))=UPPER(TRIM(I719)),"Self-approved | ",""))&amp;IF(J719="","No support | ","")&amp;IF(WEEKDAY(B719,2)&gt;5,"Weekend posting | ","")&amp;IF(COUNTIF(Settings!$A$14:$A$43,B719)&gt;0,"Holiday posting | ","")&amp;IF(B719&gt;Settings!$C$8,"Posted after close | ","")&amp;IF(OR(B719&lt;Settings!$C$6,B719&gt;Settings!$C$7),"Outside period | ","")&amp;IF(COUNTIF(Settings!$E$14:$E$43,C719&amp;"")&gt;0,"Sensitive account | ","")&amp;IF(AND(MAX(N(E719),N(F719))&gt;=Settings!$C$9,MOD(MAX(N(E719),N(F719)),Settings!$C$10)=0),"Round amount | ","")="","",LEFT(IF(K719="No","Does not balance | ","")&amp;IF(I719="","Not approved | ",IF(UPPER(TRIM(H719))=UPPER(TRIM(I719)),"Self-approved | ",""))&amp;IF(J719="","No support | ","")&amp;IF(WEEKDAY(B719,2)&gt;5,"Weekend posting | ","")&amp;IF(COUNTIF(Settings!$A$14:$A$43,B719)&gt;0,"Holiday posting | ","")&amp;IF(B719&gt;Settings!$C$8,"Posted after close | ","")&amp;IF(OR(B719&lt;Settings!$C$6,B719&gt;Settings!$C$7),"Outside period | ","")&amp;IF(COUNTIF(Settings!$E$14:$E$43,C719&amp;"")&gt;0,"Sensitive account | ","")&amp;IF(AND(MAX(N(E719),N(F719))&gt;=Settings!$C$9,MOD(MAX(N(E719),N(F719)),Settings!$C$10)=0),"Round amount | ",""),LEN(IF(K719="No","Does not balance | ","")&amp;IF(I719="","Not approved | ",IF(UPPER(TRIM(H719))=UPPER(TRIM(I719)),"Self-approved | ",""))&amp;IF(J719="","No support | ","")&amp;IF(WEEKDAY(B719,2)&gt;5,"Weekend posting | ","")&amp;IF(COUNTIF(Settings!$A$14:$A$43,B719)&gt;0,"Holiday posting | ","")&amp;IF(B719&gt;Settings!$C$8,"Posted after close | ","")&amp;IF(OR(B719&lt;Settings!$C$6,B719&gt;Settings!$C$7),"Outside period | ","")&amp;IF(COUNTIF(Settings!$E$14:$E$43,C719&amp;"")&gt;0,"Sensitive account | ","")&amp;IF(AND(MAX(N(E719),N(F719))&gt;=Settings!$C$9,MOD(MAX(N(E719),N(F719)),Settings!$C$10)=0),"Round amount | ",""))-3)))</f>
        <v/>
      </c>
      <c r="M719" s="21" t="str">
        <f aca="false">IF(A719="","",IF(COUNTIF($A$9:A719,A719)=1,MAX($M$8:M718)+1,""))</f>
        <v/>
      </c>
    </row>
    <row r="720" customFormat="false" ht="15" hidden="false" customHeight="false" outlineLevel="0" collapsed="false">
      <c r="A720" s="8"/>
      <c r="B720" s="17"/>
      <c r="C720" s="19"/>
      <c r="D720" s="8"/>
      <c r="E720" s="18"/>
      <c r="F720" s="18"/>
      <c r="G720" s="8"/>
      <c r="H720" s="8"/>
      <c r="I720" s="8"/>
      <c r="J720" s="8"/>
      <c r="K720" s="10" t="str">
        <f aca="false">IF(A720="","",IF(ABS(SUMIFS($E$9:$E$2008,$A$9:$A$2008,A720)-SUMIFS($F$9:$F$2008,$A$9:$A$2008,A720))&lt;0.5,"Yes","No"))</f>
        <v/>
      </c>
      <c r="L720" s="10" t="str">
        <f aca="false">IF(A720="","",IF(IF(K720="No","Does not balance | ","")&amp;IF(I720="","Not approved | ",IF(UPPER(TRIM(H720))=UPPER(TRIM(I720)),"Self-approved | ",""))&amp;IF(J720="","No support | ","")&amp;IF(WEEKDAY(B720,2)&gt;5,"Weekend posting | ","")&amp;IF(COUNTIF(Settings!$A$14:$A$43,B720)&gt;0,"Holiday posting | ","")&amp;IF(B720&gt;Settings!$C$8,"Posted after close | ","")&amp;IF(OR(B720&lt;Settings!$C$6,B720&gt;Settings!$C$7),"Outside period | ","")&amp;IF(COUNTIF(Settings!$E$14:$E$43,C720&amp;"")&gt;0,"Sensitive account | ","")&amp;IF(AND(MAX(N(E720),N(F720))&gt;=Settings!$C$9,MOD(MAX(N(E720),N(F720)),Settings!$C$10)=0),"Round amount | ","")="","",LEFT(IF(K720="No","Does not balance | ","")&amp;IF(I720="","Not approved | ",IF(UPPER(TRIM(H720))=UPPER(TRIM(I720)),"Self-approved | ",""))&amp;IF(J720="","No support | ","")&amp;IF(WEEKDAY(B720,2)&gt;5,"Weekend posting | ","")&amp;IF(COUNTIF(Settings!$A$14:$A$43,B720)&gt;0,"Holiday posting | ","")&amp;IF(B720&gt;Settings!$C$8,"Posted after close | ","")&amp;IF(OR(B720&lt;Settings!$C$6,B720&gt;Settings!$C$7),"Outside period | ","")&amp;IF(COUNTIF(Settings!$E$14:$E$43,C720&amp;"")&gt;0,"Sensitive account | ","")&amp;IF(AND(MAX(N(E720),N(F720))&gt;=Settings!$C$9,MOD(MAX(N(E720),N(F720)),Settings!$C$10)=0),"Round amount | ",""),LEN(IF(K720="No","Does not balance | ","")&amp;IF(I720="","Not approved | ",IF(UPPER(TRIM(H720))=UPPER(TRIM(I720)),"Self-approved | ",""))&amp;IF(J720="","No support | ","")&amp;IF(WEEKDAY(B720,2)&gt;5,"Weekend posting | ","")&amp;IF(COUNTIF(Settings!$A$14:$A$43,B720)&gt;0,"Holiday posting | ","")&amp;IF(B720&gt;Settings!$C$8,"Posted after close | ","")&amp;IF(OR(B720&lt;Settings!$C$6,B720&gt;Settings!$C$7),"Outside period | ","")&amp;IF(COUNTIF(Settings!$E$14:$E$43,C720&amp;"")&gt;0,"Sensitive account | ","")&amp;IF(AND(MAX(N(E720),N(F720))&gt;=Settings!$C$9,MOD(MAX(N(E720),N(F720)),Settings!$C$10)=0),"Round amount | ",""))-3)))</f>
        <v/>
      </c>
      <c r="M720" s="21" t="str">
        <f aca="false">IF(A720="","",IF(COUNTIF($A$9:A720,A720)=1,MAX($M$8:M719)+1,""))</f>
        <v/>
      </c>
    </row>
    <row r="721" customFormat="false" ht="15" hidden="false" customHeight="false" outlineLevel="0" collapsed="false">
      <c r="A721" s="8"/>
      <c r="B721" s="17"/>
      <c r="C721" s="19"/>
      <c r="D721" s="8"/>
      <c r="E721" s="18"/>
      <c r="F721" s="18"/>
      <c r="G721" s="8"/>
      <c r="H721" s="8"/>
      <c r="I721" s="8"/>
      <c r="J721" s="8"/>
      <c r="K721" s="10" t="str">
        <f aca="false">IF(A721="","",IF(ABS(SUMIFS($E$9:$E$2008,$A$9:$A$2008,A721)-SUMIFS($F$9:$F$2008,$A$9:$A$2008,A721))&lt;0.5,"Yes","No"))</f>
        <v/>
      </c>
      <c r="L721" s="10" t="str">
        <f aca="false">IF(A721="","",IF(IF(K721="No","Does not balance | ","")&amp;IF(I721="","Not approved | ",IF(UPPER(TRIM(H721))=UPPER(TRIM(I721)),"Self-approved | ",""))&amp;IF(J721="","No support | ","")&amp;IF(WEEKDAY(B721,2)&gt;5,"Weekend posting | ","")&amp;IF(COUNTIF(Settings!$A$14:$A$43,B721)&gt;0,"Holiday posting | ","")&amp;IF(B721&gt;Settings!$C$8,"Posted after close | ","")&amp;IF(OR(B721&lt;Settings!$C$6,B721&gt;Settings!$C$7),"Outside period | ","")&amp;IF(COUNTIF(Settings!$E$14:$E$43,C721&amp;"")&gt;0,"Sensitive account | ","")&amp;IF(AND(MAX(N(E721),N(F721))&gt;=Settings!$C$9,MOD(MAX(N(E721),N(F721)),Settings!$C$10)=0),"Round amount | ","")="","",LEFT(IF(K721="No","Does not balance | ","")&amp;IF(I721="","Not approved | ",IF(UPPER(TRIM(H721))=UPPER(TRIM(I721)),"Self-approved | ",""))&amp;IF(J721="","No support | ","")&amp;IF(WEEKDAY(B721,2)&gt;5,"Weekend posting | ","")&amp;IF(COUNTIF(Settings!$A$14:$A$43,B721)&gt;0,"Holiday posting | ","")&amp;IF(B721&gt;Settings!$C$8,"Posted after close | ","")&amp;IF(OR(B721&lt;Settings!$C$6,B721&gt;Settings!$C$7),"Outside period | ","")&amp;IF(COUNTIF(Settings!$E$14:$E$43,C721&amp;"")&gt;0,"Sensitive account | ","")&amp;IF(AND(MAX(N(E721),N(F721))&gt;=Settings!$C$9,MOD(MAX(N(E721),N(F721)),Settings!$C$10)=0),"Round amount | ",""),LEN(IF(K721="No","Does not balance | ","")&amp;IF(I721="","Not approved | ",IF(UPPER(TRIM(H721))=UPPER(TRIM(I721)),"Self-approved | ",""))&amp;IF(J721="","No support | ","")&amp;IF(WEEKDAY(B721,2)&gt;5,"Weekend posting | ","")&amp;IF(COUNTIF(Settings!$A$14:$A$43,B721)&gt;0,"Holiday posting | ","")&amp;IF(B721&gt;Settings!$C$8,"Posted after close | ","")&amp;IF(OR(B721&lt;Settings!$C$6,B721&gt;Settings!$C$7),"Outside period | ","")&amp;IF(COUNTIF(Settings!$E$14:$E$43,C721&amp;"")&gt;0,"Sensitive account | ","")&amp;IF(AND(MAX(N(E721),N(F721))&gt;=Settings!$C$9,MOD(MAX(N(E721),N(F721)),Settings!$C$10)=0),"Round amount | ",""))-3)))</f>
        <v/>
      </c>
      <c r="M721" s="21" t="str">
        <f aca="false">IF(A721="","",IF(COUNTIF($A$9:A721,A721)=1,MAX($M$8:M720)+1,""))</f>
        <v/>
      </c>
    </row>
    <row r="722" customFormat="false" ht="15" hidden="false" customHeight="false" outlineLevel="0" collapsed="false">
      <c r="A722" s="8"/>
      <c r="B722" s="17"/>
      <c r="C722" s="19"/>
      <c r="D722" s="8"/>
      <c r="E722" s="18"/>
      <c r="F722" s="18"/>
      <c r="G722" s="8"/>
      <c r="H722" s="8"/>
      <c r="I722" s="8"/>
      <c r="J722" s="8"/>
      <c r="K722" s="10" t="str">
        <f aca="false">IF(A722="","",IF(ABS(SUMIFS($E$9:$E$2008,$A$9:$A$2008,A722)-SUMIFS($F$9:$F$2008,$A$9:$A$2008,A722))&lt;0.5,"Yes","No"))</f>
        <v/>
      </c>
      <c r="L722" s="10" t="str">
        <f aca="false">IF(A722="","",IF(IF(K722="No","Does not balance | ","")&amp;IF(I722="","Not approved | ",IF(UPPER(TRIM(H722))=UPPER(TRIM(I722)),"Self-approved | ",""))&amp;IF(J722="","No support | ","")&amp;IF(WEEKDAY(B722,2)&gt;5,"Weekend posting | ","")&amp;IF(COUNTIF(Settings!$A$14:$A$43,B722)&gt;0,"Holiday posting | ","")&amp;IF(B722&gt;Settings!$C$8,"Posted after close | ","")&amp;IF(OR(B722&lt;Settings!$C$6,B722&gt;Settings!$C$7),"Outside period | ","")&amp;IF(COUNTIF(Settings!$E$14:$E$43,C722&amp;"")&gt;0,"Sensitive account | ","")&amp;IF(AND(MAX(N(E722),N(F722))&gt;=Settings!$C$9,MOD(MAX(N(E722),N(F722)),Settings!$C$10)=0),"Round amount | ","")="","",LEFT(IF(K722="No","Does not balance | ","")&amp;IF(I722="","Not approved | ",IF(UPPER(TRIM(H722))=UPPER(TRIM(I722)),"Self-approved | ",""))&amp;IF(J722="","No support | ","")&amp;IF(WEEKDAY(B722,2)&gt;5,"Weekend posting | ","")&amp;IF(COUNTIF(Settings!$A$14:$A$43,B722)&gt;0,"Holiday posting | ","")&amp;IF(B722&gt;Settings!$C$8,"Posted after close | ","")&amp;IF(OR(B722&lt;Settings!$C$6,B722&gt;Settings!$C$7),"Outside period | ","")&amp;IF(COUNTIF(Settings!$E$14:$E$43,C722&amp;"")&gt;0,"Sensitive account | ","")&amp;IF(AND(MAX(N(E722),N(F722))&gt;=Settings!$C$9,MOD(MAX(N(E722),N(F722)),Settings!$C$10)=0),"Round amount | ",""),LEN(IF(K722="No","Does not balance | ","")&amp;IF(I722="","Not approved | ",IF(UPPER(TRIM(H722))=UPPER(TRIM(I722)),"Self-approved | ",""))&amp;IF(J722="","No support | ","")&amp;IF(WEEKDAY(B722,2)&gt;5,"Weekend posting | ","")&amp;IF(COUNTIF(Settings!$A$14:$A$43,B722)&gt;0,"Holiday posting | ","")&amp;IF(B722&gt;Settings!$C$8,"Posted after close | ","")&amp;IF(OR(B722&lt;Settings!$C$6,B722&gt;Settings!$C$7),"Outside period | ","")&amp;IF(COUNTIF(Settings!$E$14:$E$43,C722&amp;"")&gt;0,"Sensitive account | ","")&amp;IF(AND(MAX(N(E722),N(F722))&gt;=Settings!$C$9,MOD(MAX(N(E722),N(F722)),Settings!$C$10)=0),"Round amount | ",""))-3)))</f>
        <v/>
      </c>
      <c r="M722" s="21" t="str">
        <f aca="false">IF(A722="","",IF(COUNTIF($A$9:A722,A722)=1,MAX($M$8:M721)+1,""))</f>
        <v/>
      </c>
    </row>
    <row r="723" customFormat="false" ht="15" hidden="false" customHeight="false" outlineLevel="0" collapsed="false">
      <c r="A723" s="8"/>
      <c r="B723" s="17"/>
      <c r="C723" s="19"/>
      <c r="D723" s="8"/>
      <c r="E723" s="18"/>
      <c r="F723" s="18"/>
      <c r="G723" s="8"/>
      <c r="H723" s="8"/>
      <c r="I723" s="8"/>
      <c r="J723" s="8"/>
      <c r="K723" s="10" t="str">
        <f aca="false">IF(A723="","",IF(ABS(SUMIFS($E$9:$E$2008,$A$9:$A$2008,A723)-SUMIFS($F$9:$F$2008,$A$9:$A$2008,A723))&lt;0.5,"Yes","No"))</f>
        <v/>
      </c>
      <c r="L723" s="10" t="str">
        <f aca="false">IF(A723="","",IF(IF(K723="No","Does not balance | ","")&amp;IF(I723="","Not approved | ",IF(UPPER(TRIM(H723))=UPPER(TRIM(I723)),"Self-approved | ",""))&amp;IF(J723="","No support | ","")&amp;IF(WEEKDAY(B723,2)&gt;5,"Weekend posting | ","")&amp;IF(COUNTIF(Settings!$A$14:$A$43,B723)&gt;0,"Holiday posting | ","")&amp;IF(B723&gt;Settings!$C$8,"Posted after close | ","")&amp;IF(OR(B723&lt;Settings!$C$6,B723&gt;Settings!$C$7),"Outside period | ","")&amp;IF(COUNTIF(Settings!$E$14:$E$43,C723&amp;"")&gt;0,"Sensitive account | ","")&amp;IF(AND(MAX(N(E723),N(F723))&gt;=Settings!$C$9,MOD(MAX(N(E723),N(F723)),Settings!$C$10)=0),"Round amount | ","")="","",LEFT(IF(K723="No","Does not balance | ","")&amp;IF(I723="","Not approved | ",IF(UPPER(TRIM(H723))=UPPER(TRIM(I723)),"Self-approved | ",""))&amp;IF(J723="","No support | ","")&amp;IF(WEEKDAY(B723,2)&gt;5,"Weekend posting | ","")&amp;IF(COUNTIF(Settings!$A$14:$A$43,B723)&gt;0,"Holiday posting | ","")&amp;IF(B723&gt;Settings!$C$8,"Posted after close | ","")&amp;IF(OR(B723&lt;Settings!$C$6,B723&gt;Settings!$C$7),"Outside period | ","")&amp;IF(COUNTIF(Settings!$E$14:$E$43,C723&amp;"")&gt;0,"Sensitive account | ","")&amp;IF(AND(MAX(N(E723),N(F723))&gt;=Settings!$C$9,MOD(MAX(N(E723),N(F723)),Settings!$C$10)=0),"Round amount | ",""),LEN(IF(K723="No","Does not balance | ","")&amp;IF(I723="","Not approved | ",IF(UPPER(TRIM(H723))=UPPER(TRIM(I723)),"Self-approved | ",""))&amp;IF(J723="","No support | ","")&amp;IF(WEEKDAY(B723,2)&gt;5,"Weekend posting | ","")&amp;IF(COUNTIF(Settings!$A$14:$A$43,B723)&gt;0,"Holiday posting | ","")&amp;IF(B723&gt;Settings!$C$8,"Posted after close | ","")&amp;IF(OR(B723&lt;Settings!$C$6,B723&gt;Settings!$C$7),"Outside period | ","")&amp;IF(COUNTIF(Settings!$E$14:$E$43,C723&amp;"")&gt;0,"Sensitive account | ","")&amp;IF(AND(MAX(N(E723),N(F723))&gt;=Settings!$C$9,MOD(MAX(N(E723),N(F723)),Settings!$C$10)=0),"Round amount | ",""))-3)))</f>
        <v/>
      </c>
      <c r="M723" s="21" t="str">
        <f aca="false">IF(A723="","",IF(COUNTIF($A$9:A723,A723)=1,MAX($M$8:M722)+1,""))</f>
        <v/>
      </c>
    </row>
    <row r="724" customFormat="false" ht="15" hidden="false" customHeight="false" outlineLevel="0" collapsed="false">
      <c r="A724" s="8"/>
      <c r="B724" s="17"/>
      <c r="C724" s="19"/>
      <c r="D724" s="8"/>
      <c r="E724" s="18"/>
      <c r="F724" s="18"/>
      <c r="G724" s="8"/>
      <c r="H724" s="8"/>
      <c r="I724" s="8"/>
      <c r="J724" s="8"/>
      <c r="K724" s="10" t="str">
        <f aca="false">IF(A724="","",IF(ABS(SUMIFS($E$9:$E$2008,$A$9:$A$2008,A724)-SUMIFS($F$9:$F$2008,$A$9:$A$2008,A724))&lt;0.5,"Yes","No"))</f>
        <v/>
      </c>
      <c r="L724" s="10" t="str">
        <f aca="false">IF(A724="","",IF(IF(K724="No","Does not balance | ","")&amp;IF(I724="","Not approved | ",IF(UPPER(TRIM(H724))=UPPER(TRIM(I724)),"Self-approved | ",""))&amp;IF(J724="","No support | ","")&amp;IF(WEEKDAY(B724,2)&gt;5,"Weekend posting | ","")&amp;IF(COUNTIF(Settings!$A$14:$A$43,B724)&gt;0,"Holiday posting | ","")&amp;IF(B724&gt;Settings!$C$8,"Posted after close | ","")&amp;IF(OR(B724&lt;Settings!$C$6,B724&gt;Settings!$C$7),"Outside period | ","")&amp;IF(COUNTIF(Settings!$E$14:$E$43,C724&amp;"")&gt;0,"Sensitive account | ","")&amp;IF(AND(MAX(N(E724),N(F724))&gt;=Settings!$C$9,MOD(MAX(N(E724),N(F724)),Settings!$C$10)=0),"Round amount | ","")="","",LEFT(IF(K724="No","Does not balance | ","")&amp;IF(I724="","Not approved | ",IF(UPPER(TRIM(H724))=UPPER(TRIM(I724)),"Self-approved | ",""))&amp;IF(J724="","No support | ","")&amp;IF(WEEKDAY(B724,2)&gt;5,"Weekend posting | ","")&amp;IF(COUNTIF(Settings!$A$14:$A$43,B724)&gt;0,"Holiday posting | ","")&amp;IF(B724&gt;Settings!$C$8,"Posted after close | ","")&amp;IF(OR(B724&lt;Settings!$C$6,B724&gt;Settings!$C$7),"Outside period | ","")&amp;IF(COUNTIF(Settings!$E$14:$E$43,C724&amp;"")&gt;0,"Sensitive account | ","")&amp;IF(AND(MAX(N(E724),N(F724))&gt;=Settings!$C$9,MOD(MAX(N(E724),N(F724)),Settings!$C$10)=0),"Round amount | ",""),LEN(IF(K724="No","Does not balance | ","")&amp;IF(I724="","Not approved | ",IF(UPPER(TRIM(H724))=UPPER(TRIM(I724)),"Self-approved | ",""))&amp;IF(J724="","No support | ","")&amp;IF(WEEKDAY(B724,2)&gt;5,"Weekend posting | ","")&amp;IF(COUNTIF(Settings!$A$14:$A$43,B724)&gt;0,"Holiday posting | ","")&amp;IF(B724&gt;Settings!$C$8,"Posted after close | ","")&amp;IF(OR(B724&lt;Settings!$C$6,B724&gt;Settings!$C$7),"Outside period | ","")&amp;IF(COUNTIF(Settings!$E$14:$E$43,C724&amp;"")&gt;0,"Sensitive account | ","")&amp;IF(AND(MAX(N(E724),N(F724))&gt;=Settings!$C$9,MOD(MAX(N(E724),N(F724)),Settings!$C$10)=0),"Round amount | ",""))-3)))</f>
        <v/>
      </c>
      <c r="M724" s="21" t="str">
        <f aca="false">IF(A724="","",IF(COUNTIF($A$9:A724,A724)=1,MAX($M$8:M723)+1,""))</f>
        <v/>
      </c>
    </row>
    <row r="725" customFormat="false" ht="15" hidden="false" customHeight="false" outlineLevel="0" collapsed="false">
      <c r="A725" s="8"/>
      <c r="B725" s="17"/>
      <c r="C725" s="19"/>
      <c r="D725" s="8"/>
      <c r="E725" s="18"/>
      <c r="F725" s="18"/>
      <c r="G725" s="8"/>
      <c r="H725" s="8"/>
      <c r="I725" s="8"/>
      <c r="J725" s="8"/>
      <c r="K725" s="10" t="str">
        <f aca="false">IF(A725="","",IF(ABS(SUMIFS($E$9:$E$2008,$A$9:$A$2008,A725)-SUMIFS($F$9:$F$2008,$A$9:$A$2008,A725))&lt;0.5,"Yes","No"))</f>
        <v/>
      </c>
      <c r="L725" s="10" t="str">
        <f aca="false">IF(A725="","",IF(IF(K725="No","Does not balance | ","")&amp;IF(I725="","Not approved | ",IF(UPPER(TRIM(H725))=UPPER(TRIM(I725)),"Self-approved | ",""))&amp;IF(J725="","No support | ","")&amp;IF(WEEKDAY(B725,2)&gt;5,"Weekend posting | ","")&amp;IF(COUNTIF(Settings!$A$14:$A$43,B725)&gt;0,"Holiday posting | ","")&amp;IF(B725&gt;Settings!$C$8,"Posted after close | ","")&amp;IF(OR(B725&lt;Settings!$C$6,B725&gt;Settings!$C$7),"Outside period | ","")&amp;IF(COUNTIF(Settings!$E$14:$E$43,C725&amp;"")&gt;0,"Sensitive account | ","")&amp;IF(AND(MAX(N(E725),N(F725))&gt;=Settings!$C$9,MOD(MAX(N(E725),N(F725)),Settings!$C$10)=0),"Round amount | ","")="","",LEFT(IF(K725="No","Does not balance | ","")&amp;IF(I725="","Not approved | ",IF(UPPER(TRIM(H725))=UPPER(TRIM(I725)),"Self-approved | ",""))&amp;IF(J725="","No support | ","")&amp;IF(WEEKDAY(B725,2)&gt;5,"Weekend posting | ","")&amp;IF(COUNTIF(Settings!$A$14:$A$43,B725)&gt;0,"Holiday posting | ","")&amp;IF(B725&gt;Settings!$C$8,"Posted after close | ","")&amp;IF(OR(B725&lt;Settings!$C$6,B725&gt;Settings!$C$7),"Outside period | ","")&amp;IF(COUNTIF(Settings!$E$14:$E$43,C725&amp;"")&gt;0,"Sensitive account | ","")&amp;IF(AND(MAX(N(E725),N(F725))&gt;=Settings!$C$9,MOD(MAX(N(E725),N(F725)),Settings!$C$10)=0),"Round amount | ",""),LEN(IF(K725="No","Does not balance | ","")&amp;IF(I725="","Not approved | ",IF(UPPER(TRIM(H725))=UPPER(TRIM(I725)),"Self-approved | ",""))&amp;IF(J725="","No support | ","")&amp;IF(WEEKDAY(B725,2)&gt;5,"Weekend posting | ","")&amp;IF(COUNTIF(Settings!$A$14:$A$43,B725)&gt;0,"Holiday posting | ","")&amp;IF(B725&gt;Settings!$C$8,"Posted after close | ","")&amp;IF(OR(B725&lt;Settings!$C$6,B725&gt;Settings!$C$7),"Outside period | ","")&amp;IF(COUNTIF(Settings!$E$14:$E$43,C725&amp;"")&gt;0,"Sensitive account | ","")&amp;IF(AND(MAX(N(E725),N(F725))&gt;=Settings!$C$9,MOD(MAX(N(E725),N(F725)),Settings!$C$10)=0),"Round amount | ",""))-3)))</f>
        <v/>
      </c>
      <c r="M725" s="21" t="str">
        <f aca="false">IF(A725="","",IF(COUNTIF($A$9:A725,A725)=1,MAX($M$8:M724)+1,""))</f>
        <v/>
      </c>
    </row>
    <row r="726" customFormat="false" ht="15" hidden="false" customHeight="false" outlineLevel="0" collapsed="false">
      <c r="A726" s="8"/>
      <c r="B726" s="17"/>
      <c r="C726" s="19"/>
      <c r="D726" s="8"/>
      <c r="E726" s="18"/>
      <c r="F726" s="18"/>
      <c r="G726" s="8"/>
      <c r="H726" s="8"/>
      <c r="I726" s="8"/>
      <c r="J726" s="8"/>
      <c r="K726" s="10" t="str">
        <f aca="false">IF(A726="","",IF(ABS(SUMIFS($E$9:$E$2008,$A$9:$A$2008,A726)-SUMIFS($F$9:$F$2008,$A$9:$A$2008,A726))&lt;0.5,"Yes","No"))</f>
        <v/>
      </c>
      <c r="L726" s="10" t="str">
        <f aca="false">IF(A726="","",IF(IF(K726="No","Does not balance | ","")&amp;IF(I726="","Not approved | ",IF(UPPER(TRIM(H726))=UPPER(TRIM(I726)),"Self-approved | ",""))&amp;IF(J726="","No support | ","")&amp;IF(WEEKDAY(B726,2)&gt;5,"Weekend posting | ","")&amp;IF(COUNTIF(Settings!$A$14:$A$43,B726)&gt;0,"Holiday posting | ","")&amp;IF(B726&gt;Settings!$C$8,"Posted after close | ","")&amp;IF(OR(B726&lt;Settings!$C$6,B726&gt;Settings!$C$7),"Outside period | ","")&amp;IF(COUNTIF(Settings!$E$14:$E$43,C726&amp;"")&gt;0,"Sensitive account | ","")&amp;IF(AND(MAX(N(E726),N(F726))&gt;=Settings!$C$9,MOD(MAX(N(E726),N(F726)),Settings!$C$10)=0),"Round amount | ","")="","",LEFT(IF(K726="No","Does not balance | ","")&amp;IF(I726="","Not approved | ",IF(UPPER(TRIM(H726))=UPPER(TRIM(I726)),"Self-approved | ",""))&amp;IF(J726="","No support | ","")&amp;IF(WEEKDAY(B726,2)&gt;5,"Weekend posting | ","")&amp;IF(COUNTIF(Settings!$A$14:$A$43,B726)&gt;0,"Holiday posting | ","")&amp;IF(B726&gt;Settings!$C$8,"Posted after close | ","")&amp;IF(OR(B726&lt;Settings!$C$6,B726&gt;Settings!$C$7),"Outside period | ","")&amp;IF(COUNTIF(Settings!$E$14:$E$43,C726&amp;"")&gt;0,"Sensitive account | ","")&amp;IF(AND(MAX(N(E726),N(F726))&gt;=Settings!$C$9,MOD(MAX(N(E726),N(F726)),Settings!$C$10)=0),"Round amount | ",""),LEN(IF(K726="No","Does not balance | ","")&amp;IF(I726="","Not approved | ",IF(UPPER(TRIM(H726))=UPPER(TRIM(I726)),"Self-approved | ",""))&amp;IF(J726="","No support | ","")&amp;IF(WEEKDAY(B726,2)&gt;5,"Weekend posting | ","")&amp;IF(COUNTIF(Settings!$A$14:$A$43,B726)&gt;0,"Holiday posting | ","")&amp;IF(B726&gt;Settings!$C$8,"Posted after close | ","")&amp;IF(OR(B726&lt;Settings!$C$6,B726&gt;Settings!$C$7),"Outside period | ","")&amp;IF(COUNTIF(Settings!$E$14:$E$43,C726&amp;"")&gt;0,"Sensitive account | ","")&amp;IF(AND(MAX(N(E726),N(F726))&gt;=Settings!$C$9,MOD(MAX(N(E726),N(F726)),Settings!$C$10)=0),"Round amount | ",""))-3)))</f>
        <v/>
      </c>
      <c r="M726" s="21" t="str">
        <f aca="false">IF(A726="","",IF(COUNTIF($A$9:A726,A726)=1,MAX($M$8:M725)+1,""))</f>
        <v/>
      </c>
    </row>
    <row r="727" customFormat="false" ht="15" hidden="false" customHeight="false" outlineLevel="0" collapsed="false">
      <c r="A727" s="8"/>
      <c r="B727" s="17"/>
      <c r="C727" s="19"/>
      <c r="D727" s="8"/>
      <c r="E727" s="18"/>
      <c r="F727" s="18"/>
      <c r="G727" s="8"/>
      <c r="H727" s="8"/>
      <c r="I727" s="8"/>
      <c r="J727" s="8"/>
      <c r="K727" s="10" t="str">
        <f aca="false">IF(A727="","",IF(ABS(SUMIFS($E$9:$E$2008,$A$9:$A$2008,A727)-SUMIFS($F$9:$F$2008,$A$9:$A$2008,A727))&lt;0.5,"Yes","No"))</f>
        <v/>
      </c>
      <c r="L727" s="10" t="str">
        <f aca="false">IF(A727="","",IF(IF(K727="No","Does not balance | ","")&amp;IF(I727="","Not approved | ",IF(UPPER(TRIM(H727))=UPPER(TRIM(I727)),"Self-approved | ",""))&amp;IF(J727="","No support | ","")&amp;IF(WEEKDAY(B727,2)&gt;5,"Weekend posting | ","")&amp;IF(COUNTIF(Settings!$A$14:$A$43,B727)&gt;0,"Holiday posting | ","")&amp;IF(B727&gt;Settings!$C$8,"Posted after close | ","")&amp;IF(OR(B727&lt;Settings!$C$6,B727&gt;Settings!$C$7),"Outside period | ","")&amp;IF(COUNTIF(Settings!$E$14:$E$43,C727&amp;"")&gt;0,"Sensitive account | ","")&amp;IF(AND(MAX(N(E727),N(F727))&gt;=Settings!$C$9,MOD(MAX(N(E727),N(F727)),Settings!$C$10)=0),"Round amount | ","")="","",LEFT(IF(K727="No","Does not balance | ","")&amp;IF(I727="","Not approved | ",IF(UPPER(TRIM(H727))=UPPER(TRIM(I727)),"Self-approved | ",""))&amp;IF(J727="","No support | ","")&amp;IF(WEEKDAY(B727,2)&gt;5,"Weekend posting | ","")&amp;IF(COUNTIF(Settings!$A$14:$A$43,B727)&gt;0,"Holiday posting | ","")&amp;IF(B727&gt;Settings!$C$8,"Posted after close | ","")&amp;IF(OR(B727&lt;Settings!$C$6,B727&gt;Settings!$C$7),"Outside period | ","")&amp;IF(COUNTIF(Settings!$E$14:$E$43,C727&amp;"")&gt;0,"Sensitive account | ","")&amp;IF(AND(MAX(N(E727),N(F727))&gt;=Settings!$C$9,MOD(MAX(N(E727),N(F727)),Settings!$C$10)=0),"Round amount | ",""),LEN(IF(K727="No","Does not balance | ","")&amp;IF(I727="","Not approved | ",IF(UPPER(TRIM(H727))=UPPER(TRIM(I727)),"Self-approved | ",""))&amp;IF(J727="","No support | ","")&amp;IF(WEEKDAY(B727,2)&gt;5,"Weekend posting | ","")&amp;IF(COUNTIF(Settings!$A$14:$A$43,B727)&gt;0,"Holiday posting | ","")&amp;IF(B727&gt;Settings!$C$8,"Posted after close | ","")&amp;IF(OR(B727&lt;Settings!$C$6,B727&gt;Settings!$C$7),"Outside period | ","")&amp;IF(COUNTIF(Settings!$E$14:$E$43,C727&amp;"")&gt;0,"Sensitive account | ","")&amp;IF(AND(MAX(N(E727),N(F727))&gt;=Settings!$C$9,MOD(MAX(N(E727),N(F727)),Settings!$C$10)=0),"Round amount | ",""))-3)))</f>
        <v/>
      </c>
      <c r="M727" s="21" t="str">
        <f aca="false">IF(A727="","",IF(COUNTIF($A$9:A727,A727)=1,MAX($M$8:M726)+1,""))</f>
        <v/>
      </c>
    </row>
    <row r="728" customFormat="false" ht="15" hidden="false" customHeight="false" outlineLevel="0" collapsed="false">
      <c r="A728" s="8"/>
      <c r="B728" s="17"/>
      <c r="C728" s="19"/>
      <c r="D728" s="8"/>
      <c r="E728" s="18"/>
      <c r="F728" s="18"/>
      <c r="G728" s="8"/>
      <c r="H728" s="8"/>
      <c r="I728" s="8"/>
      <c r="J728" s="8"/>
      <c r="K728" s="10" t="str">
        <f aca="false">IF(A728="","",IF(ABS(SUMIFS($E$9:$E$2008,$A$9:$A$2008,A728)-SUMIFS($F$9:$F$2008,$A$9:$A$2008,A728))&lt;0.5,"Yes","No"))</f>
        <v/>
      </c>
      <c r="L728" s="10" t="str">
        <f aca="false">IF(A728="","",IF(IF(K728="No","Does not balance | ","")&amp;IF(I728="","Not approved | ",IF(UPPER(TRIM(H728))=UPPER(TRIM(I728)),"Self-approved | ",""))&amp;IF(J728="","No support | ","")&amp;IF(WEEKDAY(B728,2)&gt;5,"Weekend posting | ","")&amp;IF(COUNTIF(Settings!$A$14:$A$43,B728)&gt;0,"Holiday posting | ","")&amp;IF(B728&gt;Settings!$C$8,"Posted after close | ","")&amp;IF(OR(B728&lt;Settings!$C$6,B728&gt;Settings!$C$7),"Outside period | ","")&amp;IF(COUNTIF(Settings!$E$14:$E$43,C728&amp;"")&gt;0,"Sensitive account | ","")&amp;IF(AND(MAX(N(E728),N(F728))&gt;=Settings!$C$9,MOD(MAX(N(E728),N(F728)),Settings!$C$10)=0),"Round amount | ","")="","",LEFT(IF(K728="No","Does not balance | ","")&amp;IF(I728="","Not approved | ",IF(UPPER(TRIM(H728))=UPPER(TRIM(I728)),"Self-approved | ",""))&amp;IF(J728="","No support | ","")&amp;IF(WEEKDAY(B728,2)&gt;5,"Weekend posting | ","")&amp;IF(COUNTIF(Settings!$A$14:$A$43,B728)&gt;0,"Holiday posting | ","")&amp;IF(B728&gt;Settings!$C$8,"Posted after close | ","")&amp;IF(OR(B728&lt;Settings!$C$6,B728&gt;Settings!$C$7),"Outside period | ","")&amp;IF(COUNTIF(Settings!$E$14:$E$43,C728&amp;"")&gt;0,"Sensitive account | ","")&amp;IF(AND(MAX(N(E728),N(F728))&gt;=Settings!$C$9,MOD(MAX(N(E728),N(F728)),Settings!$C$10)=0),"Round amount | ",""),LEN(IF(K728="No","Does not balance | ","")&amp;IF(I728="","Not approved | ",IF(UPPER(TRIM(H728))=UPPER(TRIM(I728)),"Self-approved | ",""))&amp;IF(J728="","No support | ","")&amp;IF(WEEKDAY(B728,2)&gt;5,"Weekend posting | ","")&amp;IF(COUNTIF(Settings!$A$14:$A$43,B728)&gt;0,"Holiday posting | ","")&amp;IF(B728&gt;Settings!$C$8,"Posted after close | ","")&amp;IF(OR(B728&lt;Settings!$C$6,B728&gt;Settings!$C$7),"Outside period | ","")&amp;IF(COUNTIF(Settings!$E$14:$E$43,C728&amp;"")&gt;0,"Sensitive account | ","")&amp;IF(AND(MAX(N(E728),N(F728))&gt;=Settings!$C$9,MOD(MAX(N(E728),N(F728)),Settings!$C$10)=0),"Round amount | ",""))-3)))</f>
        <v/>
      </c>
      <c r="M728" s="21" t="str">
        <f aca="false">IF(A728="","",IF(COUNTIF($A$9:A728,A728)=1,MAX($M$8:M727)+1,""))</f>
        <v/>
      </c>
    </row>
    <row r="729" customFormat="false" ht="15" hidden="false" customHeight="false" outlineLevel="0" collapsed="false">
      <c r="A729" s="8"/>
      <c r="B729" s="17"/>
      <c r="C729" s="19"/>
      <c r="D729" s="8"/>
      <c r="E729" s="18"/>
      <c r="F729" s="18"/>
      <c r="G729" s="8"/>
      <c r="H729" s="8"/>
      <c r="I729" s="8"/>
      <c r="J729" s="8"/>
      <c r="K729" s="10" t="str">
        <f aca="false">IF(A729="","",IF(ABS(SUMIFS($E$9:$E$2008,$A$9:$A$2008,A729)-SUMIFS($F$9:$F$2008,$A$9:$A$2008,A729))&lt;0.5,"Yes","No"))</f>
        <v/>
      </c>
      <c r="L729" s="10" t="str">
        <f aca="false">IF(A729="","",IF(IF(K729="No","Does not balance | ","")&amp;IF(I729="","Not approved | ",IF(UPPER(TRIM(H729))=UPPER(TRIM(I729)),"Self-approved | ",""))&amp;IF(J729="","No support | ","")&amp;IF(WEEKDAY(B729,2)&gt;5,"Weekend posting | ","")&amp;IF(COUNTIF(Settings!$A$14:$A$43,B729)&gt;0,"Holiday posting | ","")&amp;IF(B729&gt;Settings!$C$8,"Posted after close | ","")&amp;IF(OR(B729&lt;Settings!$C$6,B729&gt;Settings!$C$7),"Outside period | ","")&amp;IF(COUNTIF(Settings!$E$14:$E$43,C729&amp;"")&gt;0,"Sensitive account | ","")&amp;IF(AND(MAX(N(E729),N(F729))&gt;=Settings!$C$9,MOD(MAX(N(E729),N(F729)),Settings!$C$10)=0),"Round amount | ","")="","",LEFT(IF(K729="No","Does not balance | ","")&amp;IF(I729="","Not approved | ",IF(UPPER(TRIM(H729))=UPPER(TRIM(I729)),"Self-approved | ",""))&amp;IF(J729="","No support | ","")&amp;IF(WEEKDAY(B729,2)&gt;5,"Weekend posting | ","")&amp;IF(COUNTIF(Settings!$A$14:$A$43,B729)&gt;0,"Holiday posting | ","")&amp;IF(B729&gt;Settings!$C$8,"Posted after close | ","")&amp;IF(OR(B729&lt;Settings!$C$6,B729&gt;Settings!$C$7),"Outside period | ","")&amp;IF(COUNTIF(Settings!$E$14:$E$43,C729&amp;"")&gt;0,"Sensitive account | ","")&amp;IF(AND(MAX(N(E729),N(F729))&gt;=Settings!$C$9,MOD(MAX(N(E729),N(F729)),Settings!$C$10)=0),"Round amount | ",""),LEN(IF(K729="No","Does not balance | ","")&amp;IF(I729="","Not approved | ",IF(UPPER(TRIM(H729))=UPPER(TRIM(I729)),"Self-approved | ",""))&amp;IF(J729="","No support | ","")&amp;IF(WEEKDAY(B729,2)&gt;5,"Weekend posting | ","")&amp;IF(COUNTIF(Settings!$A$14:$A$43,B729)&gt;0,"Holiday posting | ","")&amp;IF(B729&gt;Settings!$C$8,"Posted after close | ","")&amp;IF(OR(B729&lt;Settings!$C$6,B729&gt;Settings!$C$7),"Outside period | ","")&amp;IF(COUNTIF(Settings!$E$14:$E$43,C729&amp;"")&gt;0,"Sensitive account | ","")&amp;IF(AND(MAX(N(E729),N(F729))&gt;=Settings!$C$9,MOD(MAX(N(E729),N(F729)),Settings!$C$10)=0),"Round amount | ",""))-3)))</f>
        <v/>
      </c>
      <c r="M729" s="21" t="str">
        <f aca="false">IF(A729="","",IF(COUNTIF($A$9:A729,A729)=1,MAX($M$8:M728)+1,""))</f>
        <v/>
      </c>
    </row>
    <row r="730" customFormat="false" ht="15" hidden="false" customHeight="false" outlineLevel="0" collapsed="false">
      <c r="A730" s="8"/>
      <c r="B730" s="17"/>
      <c r="C730" s="19"/>
      <c r="D730" s="8"/>
      <c r="E730" s="18"/>
      <c r="F730" s="18"/>
      <c r="G730" s="8"/>
      <c r="H730" s="8"/>
      <c r="I730" s="8"/>
      <c r="J730" s="8"/>
      <c r="K730" s="10" t="str">
        <f aca="false">IF(A730="","",IF(ABS(SUMIFS($E$9:$E$2008,$A$9:$A$2008,A730)-SUMIFS($F$9:$F$2008,$A$9:$A$2008,A730))&lt;0.5,"Yes","No"))</f>
        <v/>
      </c>
      <c r="L730" s="10" t="str">
        <f aca="false">IF(A730="","",IF(IF(K730="No","Does not balance | ","")&amp;IF(I730="","Not approved | ",IF(UPPER(TRIM(H730))=UPPER(TRIM(I730)),"Self-approved | ",""))&amp;IF(J730="","No support | ","")&amp;IF(WEEKDAY(B730,2)&gt;5,"Weekend posting | ","")&amp;IF(COUNTIF(Settings!$A$14:$A$43,B730)&gt;0,"Holiday posting | ","")&amp;IF(B730&gt;Settings!$C$8,"Posted after close | ","")&amp;IF(OR(B730&lt;Settings!$C$6,B730&gt;Settings!$C$7),"Outside period | ","")&amp;IF(COUNTIF(Settings!$E$14:$E$43,C730&amp;"")&gt;0,"Sensitive account | ","")&amp;IF(AND(MAX(N(E730),N(F730))&gt;=Settings!$C$9,MOD(MAX(N(E730),N(F730)),Settings!$C$10)=0),"Round amount | ","")="","",LEFT(IF(K730="No","Does not balance | ","")&amp;IF(I730="","Not approved | ",IF(UPPER(TRIM(H730))=UPPER(TRIM(I730)),"Self-approved | ",""))&amp;IF(J730="","No support | ","")&amp;IF(WEEKDAY(B730,2)&gt;5,"Weekend posting | ","")&amp;IF(COUNTIF(Settings!$A$14:$A$43,B730)&gt;0,"Holiday posting | ","")&amp;IF(B730&gt;Settings!$C$8,"Posted after close | ","")&amp;IF(OR(B730&lt;Settings!$C$6,B730&gt;Settings!$C$7),"Outside period | ","")&amp;IF(COUNTIF(Settings!$E$14:$E$43,C730&amp;"")&gt;0,"Sensitive account | ","")&amp;IF(AND(MAX(N(E730),N(F730))&gt;=Settings!$C$9,MOD(MAX(N(E730),N(F730)),Settings!$C$10)=0),"Round amount | ",""),LEN(IF(K730="No","Does not balance | ","")&amp;IF(I730="","Not approved | ",IF(UPPER(TRIM(H730))=UPPER(TRIM(I730)),"Self-approved | ",""))&amp;IF(J730="","No support | ","")&amp;IF(WEEKDAY(B730,2)&gt;5,"Weekend posting | ","")&amp;IF(COUNTIF(Settings!$A$14:$A$43,B730)&gt;0,"Holiday posting | ","")&amp;IF(B730&gt;Settings!$C$8,"Posted after close | ","")&amp;IF(OR(B730&lt;Settings!$C$6,B730&gt;Settings!$C$7),"Outside period | ","")&amp;IF(COUNTIF(Settings!$E$14:$E$43,C730&amp;"")&gt;0,"Sensitive account | ","")&amp;IF(AND(MAX(N(E730),N(F730))&gt;=Settings!$C$9,MOD(MAX(N(E730),N(F730)),Settings!$C$10)=0),"Round amount | ",""))-3)))</f>
        <v/>
      </c>
      <c r="M730" s="21" t="str">
        <f aca="false">IF(A730="","",IF(COUNTIF($A$9:A730,A730)=1,MAX($M$8:M729)+1,""))</f>
        <v/>
      </c>
    </row>
    <row r="731" customFormat="false" ht="15" hidden="false" customHeight="false" outlineLevel="0" collapsed="false">
      <c r="A731" s="8"/>
      <c r="B731" s="17"/>
      <c r="C731" s="19"/>
      <c r="D731" s="8"/>
      <c r="E731" s="18"/>
      <c r="F731" s="18"/>
      <c r="G731" s="8"/>
      <c r="H731" s="8"/>
      <c r="I731" s="8"/>
      <c r="J731" s="8"/>
      <c r="K731" s="10" t="str">
        <f aca="false">IF(A731="","",IF(ABS(SUMIFS($E$9:$E$2008,$A$9:$A$2008,A731)-SUMIFS($F$9:$F$2008,$A$9:$A$2008,A731))&lt;0.5,"Yes","No"))</f>
        <v/>
      </c>
      <c r="L731" s="10" t="str">
        <f aca="false">IF(A731="","",IF(IF(K731="No","Does not balance | ","")&amp;IF(I731="","Not approved | ",IF(UPPER(TRIM(H731))=UPPER(TRIM(I731)),"Self-approved | ",""))&amp;IF(J731="","No support | ","")&amp;IF(WEEKDAY(B731,2)&gt;5,"Weekend posting | ","")&amp;IF(COUNTIF(Settings!$A$14:$A$43,B731)&gt;0,"Holiday posting | ","")&amp;IF(B731&gt;Settings!$C$8,"Posted after close | ","")&amp;IF(OR(B731&lt;Settings!$C$6,B731&gt;Settings!$C$7),"Outside period | ","")&amp;IF(COUNTIF(Settings!$E$14:$E$43,C731&amp;"")&gt;0,"Sensitive account | ","")&amp;IF(AND(MAX(N(E731),N(F731))&gt;=Settings!$C$9,MOD(MAX(N(E731),N(F731)),Settings!$C$10)=0),"Round amount | ","")="","",LEFT(IF(K731="No","Does not balance | ","")&amp;IF(I731="","Not approved | ",IF(UPPER(TRIM(H731))=UPPER(TRIM(I731)),"Self-approved | ",""))&amp;IF(J731="","No support | ","")&amp;IF(WEEKDAY(B731,2)&gt;5,"Weekend posting | ","")&amp;IF(COUNTIF(Settings!$A$14:$A$43,B731)&gt;0,"Holiday posting | ","")&amp;IF(B731&gt;Settings!$C$8,"Posted after close | ","")&amp;IF(OR(B731&lt;Settings!$C$6,B731&gt;Settings!$C$7),"Outside period | ","")&amp;IF(COUNTIF(Settings!$E$14:$E$43,C731&amp;"")&gt;0,"Sensitive account | ","")&amp;IF(AND(MAX(N(E731),N(F731))&gt;=Settings!$C$9,MOD(MAX(N(E731),N(F731)),Settings!$C$10)=0),"Round amount | ",""),LEN(IF(K731="No","Does not balance | ","")&amp;IF(I731="","Not approved | ",IF(UPPER(TRIM(H731))=UPPER(TRIM(I731)),"Self-approved | ",""))&amp;IF(J731="","No support | ","")&amp;IF(WEEKDAY(B731,2)&gt;5,"Weekend posting | ","")&amp;IF(COUNTIF(Settings!$A$14:$A$43,B731)&gt;0,"Holiday posting | ","")&amp;IF(B731&gt;Settings!$C$8,"Posted after close | ","")&amp;IF(OR(B731&lt;Settings!$C$6,B731&gt;Settings!$C$7),"Outside period | ","")&amp;IF(COUNTIF(Settings!$E$14:$E$43,C731&amp;"")&gt;0,"Sensitive account | ","")&amp;IF(AND(MAX(N(E731),N(F731))&gt;=Settings!$C$9,MOD(MAX(N(E731),N(F731)),Settings!$C$10)=0),"Round amount | ",""))-3)))</f>
        <v/>
      </c>
      <c r="M731" s="21" t="str">
        <f aca="false">IF(A731="","",IF(COUNTIF($A$9:A731,A731)=1,MAX($M$8:M730)+1,""))</f>
        <v/>
      </c>
    </row>
    <row r="732" customFormat="false" ht="15" hidden="false" customHeight="false" outlineLevel="0" collapsed="false">
      <c r="A732" s="8"/>
      <c r="B732" s="17"/>
      <c r="C732" s="19"/>
      <c r="D732" s="8"/>
      <c r="E732" s="18"/>
      <c r="F732" s="18"/>
      <c r="G732" s="8"/>
      <c r="H732" s="8"/>
      <c r="I732" s="8"/>
      <c r="J732" s="8"/>
      <c r="K732" s="10" t="str">
        <f aca="false">IF(A732="","",IF(ABS(SUMIFS($E$9:$E$2008,$A$9:$A$2008,A732)-SUMIFS($F$9:$F$2008,$A$9:$A$2008,A732))&lt;0.5,"Yes","No"))</f>
        <v/>
      </c>
      <c r="L732" s="10" t="str">
        <f aca="false">IF(A732="","",IF(IF(K732="No","Does not balance | ","")&amp;IF(I732="","Not approved | ",IF(UPPER(TRIM(H732))=UPPER(TRIM(I732)),"Self-approved | ",""))&amp;IF(J732="","No support | ","")&amp;IF(WEEKDAY(B732,2)&gt;5,"Weekend posting | ","")&amp;IF(COUNTIF(Settings!$A$14:$A$43,B732)&gt;0,"Holiday posting | ","")&amp;IF(B732&gt;Settings!$C$8,"Posted after close | ","")&amp;IF(OR(B732&lt;Settings!$C$6,B732&gt;Settings!$C$7),"Outside period | ","")&amp;IF(COUNTIF(Settings!$E$14:$E$43,C732&amp;"")&gt;0,"Sensitive account | ","")&amp;IF(AND(MAX(N(E732),N(F732))&gt;=Settings!$C$9,MOD(MAX(N(E732),N(F732)),Settings!$C$10)=0),"Round amount | ","")="","",LEFT(IF(K732="No","Does not balance | ","")&amp;IF(I732="","Not approved | ",IF(UPPER(TRIM(H732))=UPPER(TRIM(I732)),"Self-approved | ",""))&amp;IF(J732="","No support | ","")&amp;IF(WEEKDAY(B732,2)&gt;5,"Weekend posting | ","")&amp;IF(COUNTIF(Settings!$A$14:$A$43,B732)&gt;0,"Holiday posting | ","")&amp;IF(B732&gt;Settings!$C$8,"Posted after close | ","")&amp;IF(OR(B732&lt;Settings!$C$6,B732&gt;Settings!$C$7),"Outside period | ","")&amp;IF(COUNTIF(Settings!$E$14:$E$43,C732&amp;"")&gt;0,"Sensitive account | ","")&amp;IF(AND(MAX(N(E732),N(F732))&gt;=Settings!$C$9,MOD(MAX(N(E732),N(F732)),Settings!$C$10)=0),"Round amount | ",""),LEN(IF(K732="No","Does not balance | ","")&amp;IF(I732="","Not approved | ",IF(UPPER(TRIM(H732))=UPPER(TRIM(I732)),"Self-approved | ",""))&amp;IF(J732="","No support | ","")&amp;IF(WEEKDAY(B732,2)&gt;5,"Weekend posting | ","")&amp;IF(COUNTIF(Settings!$A$14:$A$43,B732)&gt;0,"Holiday posting | ","")&amp;IF(B732&gt;Settings!$C$8,"Posted after close | ","")&amp;IF(OR(B732&lt;Settings!$C$6,B732&gt;Settings!$C$7),"Outside period | ","")&amp;IF(COUNTIF(Settings!$E$14:$E$43,C732&amp;"")&gt;0,"Sensitive account | ","")&amp;IF(AND(MAX(N(E732),N(F732))&gt;=Settings!$C$9,MOD(MAX(N(E732),N(F732)),Settings!$C$10)=0),"Round amount | ",""))-3)))</f>
        <v/>
      </c>
      <c r="M732" s="21" t="str">
        <f aca="false">IF(A732="","",IF(COUNTIF($A$9:A732,A732)=1,MAX($M$8:M731)+1,""))</f>
        <v/>
      </c>
    </row>
    <row r="733" customFormat="false" ht="15" hidden="false" customHeight="false" outlineLevel="0" collapsed="false">
      <c r="A733" s="8"/>
      <c r="B733" s="17"/>
      <c r="C733" s="19"/>
      <c r="D733" s="8"/>
      <c r="E733" s="18"/>
      <c r="F733" s="18"/>
      <c r="G733" s="8"/>
      <c r="H733" s="8"/>
      <c r="I733" s="8"/>
      <c r="J733" s="8"/>
      <c r="K733" s="10" t="str">
        <f aca="false">IF(A733="","",IF(ABS(SUMIFS($E$9:$E$2008,$A$9:$A$2008,A733)-SUMIFS($F$9:$F$2008,$A$9:$A$2008,A733))&lt;0.5,"Yes","No"))</f>
        <v/>
      </c>
      <c r="L733" s="10" t="str">
        <f aca="false">IF(A733="","",IF(IF(K733="No","Does not balance | ","")&amp;IF(I733="","Not approved | ",IF(UPPER(TRIM(H733))=UPPER(TRIM(I733)),"Self-approved | ",""))&amp;IF(J733="","No support | ","")&amp;IF(WEEKDAY(B733,2)&gt;5,"Weekend posting | ","")&amp;IF(COUNTIF(Settings!$A$14:$A$43,B733)&gt;0,"Holiday posting | ","")&amp;IF(B733&gt;Settings!$C$8,"Posted after close | ","")&amp;IF(OR(B733&lt;Settings!$C$6,B733&gt;Settings!$C$7),"Outside period | ","")&amp;IF(COUNTIF(Settings!$E$14:$E$43,C733&amp;"")&gt;0,"Sensitive account | ","")&amp;IF(AND(MAX(N(E733),N(F733))&gt;=Settings!$C$9,MOD(MAX(N(E733),N(F733)),Settings!$C$10)=0),"Round amount | ","")="","",LEFT(IF(K733="No","Does not balance | ","")&amp;IF(I733="","Not approved | ",IF(UPPER(TRIM(H733))=UPPER(TRIM(I733)),"Self-approved | ",""))&amp;IF(J733="","No support | ","")&amp;IF(WEEKDAY(B733,2)&gt;5,"Weekend posting | ","")&amp;IF(COUNTIF(Settings!$A$14:$A$43,B733)&gt;0,"Holiday posting | ","")&amp;IF(B733&gt;Settings!$C$8,"Posted after close | ","")&amp;IF(OR(B733&lt;Settings!$C$6,B733&gt;Settings!$C$7),"Outside period | ","")&amp;IF(COUNTIF(Settings!$E$14:$E$43,C733&amp;"")&gt;0,"Sensitive account | ","")&amp;IF(AND(MAX(N(E733),N(F733))&gt;=Settings!$C$9,MOD(MAX(N(E733),N(F733)),Settings!$C$10)=0),"Round amount | ",""),LEN(IF(K733="No","Does not balance | ","")&amp;IF(I733="","Not approved | ",IF(UPPER(TRIM(H733))=UPPER(TRIM(I733)),"Self-approved | ",""))&amp;IF(J733="","No support | ","")&amp;IF(WEEKDAY(B733,2)&gt;5,"Weekend posting | ","")&amp;IF(COUNTIF(Settings!$A$14:$A$43,B733)&gt;0,"Holiday posting | ","")&amp;IF(B733&gt;Settings!$C$8,"Posted after close | ","")&amp;IF(OR(B733&lt;Settings!$C$6,B733&gt;Settings!$C$7),"Outside period | ","")&amp;IF(COUNTIF(Settings!$E$14:$E$43,C733&amp;"")&gt;0,"Sensitive account | ","")&amp;IF(AND(MAX(N(E733),N(F733))&gt;=Settings!$C$9,MOD(MAX(N(E733),N(F733)),Settings!$C$10)=0),"Round amount | ",""))-3)))</f>
        <v/>
      </c>
      <c r="M733" s="21" t="str">
        <f aca="false">IF(A733="","",IF(COUNTIF($A$9:A733,A733)=1,MAX($M$8:M732)+1,""))</f>
        <v/>
      </c>
    </row>
    <row r="734" customFormat="false" ht="15" hidden="false" customHeight="false" outlineLevel="0" collapsed="false">
      <c r="A734" s="8"/>
      <c r="B734" s="17"/>
      <c r="C734" s="19"/>
      <c r="D734" s="8"/>
      <c r="E734" s="18"/>
      <c r="F734" s="18"/>
      <c r="G734" s="8"/>
      <c r="H734" s="8"/>
      <c r="I734" s="8"/>
      <c r="J734" s="8"/>
      <c r="K734" s="10" t="str">
        <f aca="false">IF(A734="","",IF(ABS(SUMIFS($E$9:$E$2008,$A$9:$A$2008,A734)-SUMIFS($F$9:$F$2008,$A$9:$A$2008,A734))&lt;0.5,"Yes","No"))</f>
        <v/>
      </c>
      <c r="L734" s="10" t="str">
        <f aca="false">IF(A734="","",IF(IF(K734="No","Does not balance | ","")&amp;IF(I734="","Not approved | ",IF(UPPER(TRIM(H734))=UPPER(TRIM(I734)),"Self-approved | ",""))&amp;IF(J734="","No support | ","")&amp;IF(WEEKDAY(B734,2)&gt;5,"Weekend posting | ","")&amp;IF(COUNTIF(Settings!$A$14:$A$43,B734)&gt;0,"Holiday posting | ","")&amp;IF(B734&gt;Settings!$C$8,"Posted after close | ","")&amp;IF(OR(B734&lt;Settings!$C$6,B734&gt;Settings!$C$7),"Outside period | ","")&amp;IF(COUNTIF(Settings!$E$14:$E$43,C734&amp;"")&gt;0,"Sensitive account | ","")&amp;IF(AND(MAX(N(E734),N(F734))&gt;=Settings!$C$9,MOD(MAX(N(E734),N(F734)),Settings!$C$10)=0),"Round amount | ","")="","",LEFT(IF(K734="No","Does not balance | ","")&amp;IF(I734="","Not approved | ",IF(UPPER(TRIM(H734))=UPPER(TRIM(I734)),"Self-approved | ",""))&amp;IF(J734="","No support | ","")&amp;IF(WEEKDAY(B734,2)&gt;5,"Weekend posting | ","")&amp;IF(COUNTIF(Settings!$A$14:$A$43,B734)&gt;0,"Holiday posting | ","")&amp;IF(B734&gt;Settings!$C$8,"Posted after close | ","")&amp;IF(OR(B734&lt;Settings!$C$6,B734&gt;Settings!$C$7),"Outside period | ","")&amp;IF(COUNTIF(Settings!$E$14:$E$43,C734&amp;"")&gt;0,"Sensitive account | ","")&amp;IF(AND(MAX(N(E734),N(F734))&gt;=Settings!$C$9,MOD(MAX(N(E734),N(F734)),Settings!$C$10)=0),"Round amount | ",""),LEN(IF(K734="No","Does not balance | ","")&amp;IF(I734="","Not approved | ",IF(UPPER(TRIM(H734))=UPPER(TRIM(I734)),"Self-approved | ",""))&amp;IF(J734="","No support | ","")&amp;IF(WEEKDAY(B734,2)&gt;5,"Weekend posting | ","")&amp;IF(COUNTIF(Settings!$A$14:$A$43,B734)&gt;0,"Holiday posting | ","")&amp;IF(B734&gt;Settings!$C$8,"Posted after close | ","")&amp;IF(OR(B734&lt;Settings!$C$6,B734&gt;Settings!$C$7),"Outside period | ","")&amp;IF(COUNTIF(Settings!$E$14:$E$43,C734&amp;"")&gt;0,"Sensitive account | ","")&amp;IF(AND(MAX(N(E734),N(F734))&gt;=Settings!$C$9,MOD(MAX(N(E734),N(F734)),Settings!$C$10)=0),"Round amount | ",""))-3)))</f>
        <v/>
      </c>
      <c r="M734" s="21" t="str">
        <f aca="false">IF(A734="","",IF(COUNTIF($A$9:A734,A734)=1,MAX($M$8:M733)+1,""))</f>
        <v/>
      </c>
    </row>
    <row r="735" customFormat="false" ht="15" hidden="false" customHeight="false" outlineLevel="0" collapsed="false">
      <c r="A735" s="8"/>
      <c r="B735" s="17"/>
      <c r="C735" s="19"/>
      <c r="D735" s="8"/>
      <c r="E735" s="18"/>
      <c r="F735" s="18"/>
      <c r="G735" s="8"/>
      <c r="H735" s="8"/>
      <c r="I735" s="8"/>
      <c r="J735" s="8"/>
      <c r="K735" s="10" t="str">
        <f aca="false">IF(A735="","",IF(ABS(SUMIFS($E$9:$E$2008,$A$9:$A$2008,A735)-SUMIFS($F$9:$F$2008,$A$9:$A$2008,A735))&lt;0.5,"Yes","No"))</f>
        <v/>
      </c>
      <c r="L735" s="10" t="str">
        <f aca="false">IF(A735="","",IF(IF(K735="No","Does not balance | ","")&amp;IF(I735="","Not approved | ",IF(UPPER(TRIM(H735))=UPPER(TRIM(I735)),"Self-approved | ",""))&amp;IF(J735="","No support | ","")&amp;IF(WEEKDAY(B735,2)&gt;5,"Weekend posting | ","")&amp;IF(COUNTIF(Settings!$A$14:$A$43,B735)&gt;0,"Holiday posting | ","")&amp;IF(B735&gt;Settings!$C$8,"Posted after close | ","")&amp;IF(OR(B735&lt;Settings!$C$6,B735&gt;Settings!$C$7),"Outside period | ","")&amp;IF(COUNTIF(Settings!$E$14:$E$43,C735&amp;"")&gt;0,"Sensitive account | ","")&amp;IF(AND(MAX(N(E735),N(F735))&gt;=Settings!$C$9,MOD(MAX(N(E735),N(F735)),Settings!$C$10)=0),"Round amount | ","")="","",LEFT(IF(K735="No","Does not balance | ","")&amp;IF(I735="","Not approved | ",IF(UPPER(TRIM(H735))=UPPER(TRIM(I735)),"Self-approved | ",""))&amp;IF(J735="","No support | ","")&amp;IF(WEEKDAY(B735,2)&gt;5,"Weekend posting | ","")&amp;IF(COUNTIF(Settings!$A$14:$A$43,B735)&gt;0,"Holiday posting | ","")&amp;IF(B735&gt;Settings!$C$8,"Posted after close | ","")&amp;IF(OR(B735&lt;Settings!$C$6,B735&gt;Settings!$C$7),"Outside period | ","")&amp;IF(COUNTIF(Settings!$E$14:$E$43,C735&amp;"")&gt;0,"Sensitive account | ","")&amp;IF(AND(MAX(N(E735),N(F735))&gt;=Settings!$C$9,MOD(MAX(N(E735),N(F735)),Settings!$C$10)=0),"Round amount | ",""),LEN(IF(K735="No","Does not balance | ","")&amp;IF(I735="","Not approved | ",IF(UPPER(TRIM(H735))=UPPER(TRIM(I735)),"Self-approved | ",""))&amp;IF(J735="","No support | ","")&amp;IF(WEEKDAY(B735,2)&gt;5,"Weekend posting | ","")&amp;IF(COUNTIF(Settings!$A$14:$A$43,B735)&gt;0,"Holiday posting | ","")&amp;IF(B735&gt;Settings!$C$8,"Posted after close | ","")&amp;IF(OR(B735&lt;Settings!$C$6,B735&gt;Settings!$C$7),"Outside period | ","")&amp;IF(COUNTIF(Settings!$E$14:$E$43,C735&amp;"")&gt;0,"Sensitive account | ","")&amp;IF(AND(MAX(N(E735),N(F735))&gt;=Settings!$C$9,MOD(MAX(N(E735),N(F735)),Settings!$C$10)=0),"Round amount | ",""))-3)))</f>
        <v/>
      </c>
      <c r="M735" s="21" t="str">
        <f aca="false">IF(A735="","",IF(COUNTIF($A$9:A735,A735)=1,MAX($M$8:M734)+1,""))</f>
        <v/>
      </c>
    </row>
    <row r="736" customFormat="false" ht="15" hidden="false" customHeight="false" outlineLevel="0" collapsed="false">
      <c r="A736" s="8"/>
      <c r="B736" s="17"/>
      <c r="C736" s="19"/>
      <c r="D736" s="8"/>
      <c r="E736" s="18"/>
      <c r="F736" s="18"/>
      <c r="G736" s="8"/>
      <c r="H736" s="8"/>
      <c r="I736" s="8"/>
      <c r="J736" s="8"/>
      <c r="K736" s="10" t="str">
        <f aca="false">IF(A736="","",IF(ABS(SUMIFS($E$9:$E$2008,$A$9:$A$2008,A736)-SUMIFS($F$9:$F$2008,$A$9:$A$2008,A736))&lt;0.5,"Yes","No"))</f>
        <v/>
      </c>
      <c r="L736" s="10" t="str">
        <f aca="false">IF(A736="","",IF(IF(K736="No","Does not balance | ","")&amp;IF(I736="","Not approved | ",IF(UPPER(TRIM(H736))=UPPER(TRIM(I736)),"Self-approved | ",""))&amp;IF(J736="","No support | ","")&amp;IF(WEEKDAY(B736,2)&gt;5,"Weekend posting | ","")&amp;IF(COUNTIF(Settings!$A$14:$A$43,B736)&gt;0,"Holiday posting | ","")&amp;IF(B736&gt;Settings!$C$8,"Posted after close | ","")&amp;IF(OR(B736&lt;Settings!$C$6,B736&gt;Settings!$C$7),"Outside period | ","")&amp;IF(COUNTIF(Settings!$E$14:$E$43,C736&amp;"")&gt;0,"Sensitive account | ","")&amp;IF(AND(MAX(N(E736),N(F736))&gt;=Settings!$C$9,MOD(MAX(N(E736),N(F736)),Settings!$C$10)=0),"Round amount | ","")="","",LEFT(IF(K736="No","Does not balance | ","")&amp;IF(I736="","Not approved | ",IF(UPPER(TRIM(H736))=UPPER(TRIM(I736)),"Self-approved | ",""))&amp;IF(J736="","No support | ","")&amp;IF(WEEKDAY(B736,2)&gt;5,"Weekend posting | ","")&amp;IF(COUNTIF(Settings!$A$14:$A$43,B736)&gt;0,"Holiday posting | ","")&amp;IF(B736&gt;Settings!$C$8,"Posted after close | ","")&amp;IF(OR(B736&lt;Settings!$C$6,B736&gt;Settings!$C$7),"Outside period | ","")&amp;IF(COUNTIF(Settings!$E$14:$E$43,C736&amp;"")&gt;0,"Sensitive account | ","")&amp;IF(AND(MAX(N(E736),N(F736))&gt;=Settings!$C$9,MOD(MAX(N(E736),N(F736)),Settings!$C$10)=0),"Round amount | ",""),LEN(IF(K736="No","Does not balance | ","")&amp;IF(I736="","Not approved | ",IF(UPPER(TRIM(H736))=UPPER(TRIM(I736)),"Self-approved | ",""))&amp;IF(J736="","No support | ","")&amp;IF(WEEKDAY(B736,2)&gt;5,"Weekend posting | ","")&amp;IF(COUNTIF(Settings!$A$14:$A$43,B736)&gt;0,"Holiday posting | ","")&amp;IF(B736&gt;Settings!$C$8,"Posted after close | ","")&amp;IF(OR(B736&lt;Settings!$C$6,B736&gt;Settings!$C$7),"Outside period | ","")&amp;IF(COUNTIF(Settings!$E$14:$E$43,C736&amp;"")&gt;0,"Sensitive account | ","")&amp;IF(AND(MAX(N(E736),N(F736))&gt;=Settings!$C$9,MOD(MAX(N(E736),N(F736)),Settings!$C$10)=0),"Round amount | ",""))-3)))</f>
        <v/>
      </c>
      <c r="M736" s="21" t="str">
        <f aca="false">IF(A736="","",IF(COUNTIF($A$9:A736,A736)=1,MAX($M$8:M735)+1,""))</f>
        <v/>
      </c>
    </row>
    <row r="737" customFormat="false" ht="15" hidden="false" customHeight="false" outlineLevel="0" collapsed="false">
      <c r="A737" s="8"/>
      <c r="B737" s="17"/>
      <c r="C737" s="19"/>
      <c r="D737" s="8"/>
      <c r="E737" s="18"/>
      <c r="F737" s="18"/>
      <c r="G737" s="8"/>
      <c r="H737" s="8"/>
      <c r="I737" s="8"/>
      <c r="J737" s="8"/>
      <c r="K737" s="10" t="str">
        <f aca="false">IF(A737="","",IF(ABS(SUMIFS($E$9:$E$2008,$A$9:$A$2008,A737)-SUMIFS($F$9:$F$2008,$A$9:$A$2008,A737))&lt;0.5,"Yes","No"))</f>
        <v/>
      </c>
      <c r="L737" s="10" t="str">
        <f aca="false">IF(A737="","",IF(IF(K737="No","Does not balance | ","")&amp;IF(I737="","Not approved | ",IF(UPPER(TRIM(H737))=UPPER(TRIM(I737)),"Self-approved | ",""))&amp;IF(J737="","No support | ","")&amp;IF(WEEKDAY(B737,2)&gt;5,"Weekend posting | ","")&amp;IF(COUNTIF(Settings!$A$14:$A$43,B737)&gt;0,"Holiday posting | ","")&amp;IF(B737&gt;Settings!$C$8,"Posted after close | ","")&amp;IF(OR(B737&lt;Settings!$C$6,B737&gt;Settings!$C$7),"Outside period | ","")&amp;IF(COUNTIF(Settings!$E$14:$E$43,C737&amp;"")&gt;0,"Sensitive account | ","")&amp;IF(AND(MAX(N(E737),N(F737))&gt;=Settings!$C$9,MOD(MAX(N(E737),N(F737)),Settings!$C$10)=0),"Round amount | ","")="","",LEFT(IF(K737="No","Does not balance | ","")&amp;IF(I737="","Not approved | ",IF(UPPER(TRIM(H737))=UPPER(TRIM(I737)),"Self-approved | ",""))&amp;IF(J737="","No support | ","")&amp;IF(WEEKDAY(B737,2)&gt;5,"Weekend posting | ","")&amp;IF(COUNTIF(Settings!$A$14:$A$43,B737)&gt;0,"Holiday posting | ","")&amp;IF(B737&gt;Settings!$C$8,"Posted after close | ","")&amp;IF(OR(B737&lt;Settings!$C$6,B737&gt;Settings!$C$7),"Outside period | ","")&amp;IF(COUNTIF(Settings!$E$14:$E$43,C737&amp;"")&gt;0,"Sensitive account | ","")&amp;IF(AND(MAX(N(E737),N(F737))&gt;=Settings!$C$9,MOD(MAX(N(E737),N(F737)),Settings!$C$10)=0),"Round amount | ",""),LEN(IF(K737="No","Does not balance | ","")&amp;IF(I737="","Not approved | ",IF(UPPER(TRIM(H737))=UPPER(TRIM(I737)),"Self-approved | ",""))&amp;IF(J737="","No support | ","")&amp;IF(WEEKDAY(B737,2)&gt;5,"Weekend posting | ","")&amp;IF(COUNTIF(Settings!$A$14:$A$43,B737)&gt;0,"Holiday posting | ","")&amp;IF(B737&gt;Settings!$C$8,"Posted after close | ","")&amp;IF(OR(B737&lt;Settings!$C$6,B737&gt;Settings!$C$7),"Outside period | ","")&amp;IF(COUNTIF(Settings!$E$14:$E$43,C737&amp;"")&gt;0,"Sensitive account | ","")&amp;IF(AND(MAX(N(E737),N(F737))&gt;=Settings!$C$9,MOD(MAX(N(E737),N(F737)),Settings!$C$10)=0),"Round amount | ",""))-3)))</f>
        <v/>
      </c>
      <c r="M737" s="21" t="str">
        <f aca="false">IF(A737="","",IF(COUNTIF($A$9:A737,A737)=1,MAX($M$8:M736)+1,""))</f>
        <v/>
      </c>
    </row>
    <row r="738" customFormat="false" ht="15" hidden="false" customHeight="false" outlineLevel="0" collapsed="false">
      <c r="A738" s="8"/>
      <c r="B738" s="17"/>
      <c r="C738" s="19"/>
      <c r="D738" s="8"/>
      <c r="E738" s="18"/>
      <c r="F738" s="18"/>
      <c r="G738" s="8"/>
      <c r="H738" s="8"/>
      <c r="I738" s="8"/>
      <c r="J738" s="8"/>
      <c r="K738" s="10" t="str">
        <f aca="false">IF(A738="","",IF(ABS(SUMIFS($E$9:$E$2008,$A$9:$A$2008,A738)-SUMIFS($F$9:$F$2008,$A$9:$A$2008,A738))&lt;0.5,"Yes","No"))</f>
        <v/>
      </c>
      <c r="L738" s="10" t="str">
        <f aca="false">IF(A738="","",IF(IF(K738="No","Does not balance | ","")&amp;IF(I738="","Not approved | ",IF(UPPER(TRIM(H738))=UPPER(TRIM(I738)),"Self-approved | ",""))&amp;IF(J738="","No support | ","")&amp;IF(WEEKDAY(B738,2)&gt;5,"Weekend posting | ","")&amp;IF(COUNTIF(Settings!$A$14:$A$43,B738)&gt;0,"Holiday posting | ","")&amp;IF(B738&gt;Settings!$C$8,"Posted after close | ","")&amp;IF(OR(B738&lt;Settings!$C$6,B738&gt;Settings!$C$7),"Outside period | ","")&amp;IF(COUNTIF(Settings!$E$14:$E$43,C738&amp;"")&gt;0,"Sensitive account | ","")&amp;IF(AND(MAX(N(E738),N(F738))&gt;=Settings!$C$9,MOD(MAX(N(E738),N(F738)),Settings!$C$10)=0),"Round amount | ","")="","",LEFT(IF(K738="No","Does not balance | ","")&amp;IF(I738="","Not approved | ",IF(UPPER(TRIM(H738))=UPPER(TRIM(I738)),"Self-approved | ",""))&amp;IF(J738="","No support | ","")&amp;IF(WEEKDAY(B738,2)&gt;5,"Weekend posting | ","")&amp;IF(COUNTIF(Settings!$A$14:$A$43,B738)&gt;0,"Holiday posting | ","")&amp;IF(B738&gt;Settings!$C$8,"Posted after close | ","")&amp;IF(OR(B738&lt;Settings!$C$6,B738&gt;Settings!$C$7),"Outside period | ","")&amp;IF(COUNTIF(Settings!$E$14:$E$43,C738&amp;"")&gt;0,"Sensitive account | ","")&amp;IF(AND(MAX(N(E738),N(F738))&gt;=Settings!$C$9,MOD(MAX(N(E738),N(F738)),Settings!$C$10)=0),"Round amount | ",""),LEN(IF(K738="No","Does not balance | ","")&amp;IF(I738="","Not approved | ",IF(UPPER(TRIM(H738))=UPPER(TRIM(I738)),"Self-approved | ",""))&amp;IF(J738="","No support | ","")&amp;IF(WEEKDAY(B738,2)&gt;5,"Weekend posting | ","")&amp;IF(COUNTIF(Settings!$A$14:$A$43,B738)&gt;0,"Holiday posting | ","")&amp;IF(B738&gt;Settings!$C$8,"Posted after close | ","")&amp;IF(OR(B738&lt;Settings!$C$6,B738&gt;Settings!$C$7),"Outside period | ","")&amp;IF(COUNTIF(Settings!$E$14:$E$43,C738&amp;"")&gt;0,"Sensitive account | ","")&amp;IF(AND(MAX(N(E738),N(F738))&gt;=Settings!$C$9,MOD(MAX(N(E738),N(F738)),Settings!$C$10)=0),"Round amount | ",""))-3)))</f>
        <v/>
      </c>
      <c r="M738" s="21" t="str">
        <f aca="false">IF(A738="","",IF(COUNTIF($A$9:A738,A738)=1,MAX($M$8:M737)+1,""))</f>
        <v/>
      </c>
    </row>
    <row r="739" customFormat="false" ht="15" hidden="false" customHeight="false" outlineLevel="0" collapsed="false">
      <c r="A739" s="8"/>
      <c r="B739" s="17"/>
      <c r="C739" s="19"/>
      <c r="D739" s="8"/>
      <c r="E739" s="18"/>
      <c r="F739" s="18"/>
      <c r="G739" s="8"/>
      <c r="H739" s="8"/>
      <c r="I739" s="8"/>
      <c r="J739" s="8"/>
      <c r="K739" s="10" t="str">
        <f aca="false">IF(A739="","",IF(ABS(SUMIFS($E$9:$E$2008,$A$9:$A$2008,A739)-SUMIFS($F$9:$F$2008,$A$9:$A$2008,A739))&lt;0.5,"Yes","No"))</f>
        <v/>
      </c>
      <c r="L739" s="10" t="str">
        <f aca="false">IF(A739="","",IF(IF(K739="No","Does not balance | ","")&amp;IF(I739="","Not approved | ",IF(UPPER(TRIM(H739))=UPPER(TRIM(I739)),"Self-approved | ",""))&amp;IF(J739="","No support | ","")&amp;IF(WEEKDAY(B739,2)&gt;5,"Weekend posting | ","")&amp;IF(COUNTIF(Settings!$A$14:$A$43,B739)&gt;0,"Holiday posting | ","")&amp;IF(B739&gt;Settings!$C$8,"Posted after close | ","")&amp;IF(OR(B739&lt;Settings!$C$6,B739&gt;Settings!$C$7),"Outside period | ","")&amp;IF(COUNTIF(Settings!$E$14:$E$43,C739&amp;"")&gt;0,"Sensitive account | ","")&amp;IF(AND(MAX(N(E739),N(F739))&gt;=Settings!$C$9,MOD(MAX(N(E739),N(F739)),Settings!$C$10)=0),"Round amount | ","")="","",LEFT(IF(K739="No","Does not balance | ","")&amp;IF(I739="","Not approved | ",IF(UPPER(TRIM(H739))=UPPER(TRIM(I739)),"Self-approved | ",""))&amp;IF(J739="","No support | ","")&amp;IF(WEEKDAY(B739,2)&gt;5,"Weekend posting | ","")&amp;IF(COUNTIF(Settings!$A$14:$A$43,B739)&gt;0,"Holiday posting | ","")&amp;IF(B739&gt;Settings!$C$8,"Posted after close | ","")&amp;IF(OR(B739&lt;Settings!$C$6,B739&gt;Settings!$C$7),"Outside period | ","")&amp;IF(COUNTIF(Settings!$E$14:$E$43,C739&amp;"")&gt;0,"Sensitive account | ","")&amp;IF(AND(MAX(N(E739),N(F739))&gt;=Settings!$C$9,MOD(MAX(N(E739),N(F739)),Settings!$C$10)=0),"Round amount | ",""),LEN(IF(K739="No","Does not balance | ","")&amp;IF(I739="","Not approved | ",IF(UPPER(TRIM(H739))=UPPER(TRIM(I739)),"Self-approved | ",""))&amp;IF(J739="","No support | ","")&amp;IF(WEEKDAY(B739,2)&gt;5,"Weekend posting | ","")&amp;IF(COUNTIF(Settings!$A$14:$A$43,B739)&gt;0,"Holiday posting | ","")&amp;IF(B739&gt;Settings!$C$8,"Posted after close | ","")&amp;IF(OR(B739&lt;Settings!$C$6,B739&gt;Settings!$C$7),"Outside period | ","")&amp;IF(COUNTIF(Settings!$E$14:$E$43,C739&amp;"")&gt;0,"Sensitive account | ","")&amp;IF(AND(MAX(N(E739),N(F739))&gt;=Settings!$C$9,MOD(MAX(N(E739),N(F739)),Settings!$C$10)=0),"Round amount | ",""))-3)))</f>
        <v/>
      </c>
      <c r="M739" s="21" t="str">
        <f aca="false">IF(A739="","",IF(COUNTIF($A$9:A739,A739)=1,MAX($M$8:M738)+1,""))</f>
        <v/>
      </c>
    </row>
    <row r="740" customFormat="false" ht="15" hidden="false" customHeight="false" outlineLevel="0" collapsed="false">
      <c r="A740" s="8"/>
      <c r="B740" s="17"/>
      <c r="C740" s="19"/>
      <c r="D740" s="8"/>
      <c r="E740" s="18"/>
      <c r="F740" s="18"/>
      <c r="G740" s="8"/>
      <c r="H740" s="8"/>
      <c r="I740" s="8"/>
      <c r="J740" s="8"/>
      <c r="K740" s="10" t="str">
        <f aca="false">IF(A740="","",IF(ABS(SUMIFS($E$9:$E$2008,$A$9:$A$2008,A740)-SUMIFS($F$9:$F$2008,$A$9:$A$2008,A740))&lt;0.5,"Yes","No"))</f>
        <v/>
      </c>
      <c r="L740" s="10" t="str">
        <f aca="false">IF(A740="","",IF(IF(K740="No","Does not balance | ","")&amp;IF(I740="","Not approved | ",IF(UPPER(TRIM(H740))=UPPER(TRIM(I740)),"Self-approved | ",""))&amp;IF(J740="","No support | ","")&amp;IF(WEEKDAY(B740,2)&gt;5,"Weekend posting | ","")&amp;IF(COUNTIF(Settings!$A$14:$A$43,B740)&gt;0,"Holiday posting | ","")&amp;IF(B740&gt;Settings!$C$8,"Posted after close | ","")&amp;IF(OR(B740&lt;Settings!$C$6,B740&gt;Settings!$C$7),"Outside period | ","")&amp;IF(COUNTIF(Settings!$E$14:$E$43,C740&amp;"")&gt;0,"Sensitive account | ","")&amp;IF(AND(MAX(N(E740),N(F740))&gt;=Settings!$C$9,MOD(MAX(N(E740),N(F740)),Settings!$C$10)=0),"Round amount | ","")="","",LEFT(IF(K740="No","Does not balance | ","")&amp;IF(I740="","Not approved | ",IF(UPPER(TRIM(H740))=UPPER(TRIM(I740)),"Self-approved | ",""))&amp;IF(J740="","No support | ","")&amp;IF(WEEKDAY(B740,2)&gt;5,"Weekend posting | ","")&amp;IF(COUNTIF(Settings!$A$14:$A$43,B740)&gt;0,"Holiday posting | ","")&amp;IF(B740&gt;Settings!$C$8,"Posted after close | ","")&amp;IF(OR(B740&lt;Settings!$C$6,B740&gt;Settings!$C$7),"Outside period | ","")&amp;IF(COUNTIF(Settings!$E$14:$E$43,C740&amp;"")&gt;0,"Sensitive account | ","")&amp;IF(AND(MAX(N(E740),N(F740))&gt;=Settings!$C$9,MOD(MAX(N(E740),N(F740)),Settings!$C$10)=0),"Round amount | ",""),LEN(IF(K740="No","Does not balance | ","")&amp;IF(I740="","Not approved | ",IF(UPPER(TRIM(H740))=UPPER(TRIM(I740)),"Self-approved | ",""))&amp;IF(J740="","No support | ","")&amp;IF(WEEKDAY(B740,2)&gt;5,"Weekend posting | ","")&amp;IF(COUNTIF(Settings!$A$14:$A$43,B740)&gt;0,"Holiday posting | ","")&amp;IF(B740&gt;Settings!$C$8,"Posted after close | ","")&amp;IF(OR(B740&lt;Settings!$C$6,B740&gt;Settings!$C$7),"Outside period | ","")&amp;IF(COUNTIF(Settings!$E$14:$E$43,C740&amp;"")&gt;0,"Sensitive account | ","")&amp;IF(AND(MAX(N(E740),N(F740))&gt;=Settings!$C$9,MOD(MAX(N(E740),N(F740)),Settings!$C$10)=0),"Round amount | ",""))-3)))</f>
        <v/>
      </c>
      <c r="M740" s="21" t="str">
        <f aca="false">IF(A740="","",IF(COUNTIF($A$9:A740,A740)=1,MAX($M$8:M739)+1,""))</f>
        <v/>
      </c>
    </row>
    <row r="741" customFormat="false" ht="15" hidden="false" customHeight="false" outlineLevel="0" collapsed="false">
      <c r="A741" s="8"/>
      <c r="B741" s="17"/>
      <c r="C741" s="19"/>
      <c r="D741" s="8"/>
      <c r="E741" s="18"/>
      <c r="F741" s="18"/>
      <c r="G741" s="8"/>
      <c r="H741" s="8"/>
      <c r="I741" s="8"/>
      <c r="J741" s="8"/>
      <c r="K741" s="10" t="str">
        <f aca="false">IF(A741="","",IF(ABS(SUMIFS($E$9:$E$2008,$A$9:$A$2008,A741)-SUMIFS($F$9:$F$2008,$A$9:$A$2008,A741))&lt;0.5,"Yes","No"))</f>
        <v/>
      </c>
      <c r="L741" s="10" t="str">
        <f aca="false">IF(A741="","",IF(IF(K741="No","Does not balance | ","")&amp;IF(I741="","Not approved | ",IF(UPPER(TRIM(H741))=UPPER(TRIM(I741)),"Self-approved | ",""))&amp;IF(J741="","No support | ","")&amp;IF(WEEKDAY(B741,2)&gt;5,"Weekend posting | ","")&amp;IF(COUNTIF(Settings!$A$14:$A$43,B741)&gt;0,"Holiday posting | ","")&amp;IF(B741&gt;Settings!$C$8,"Posted after close | ","")&amp;IF(OR(B741&lt;Settings!$C$6,B741&gt;Settings!$C$7),"Outside period | ","")&amp;IF(COUNTIF(Settings!$E$14:$E$43,C741&amp;"")&gt;0,"Sensitive account | ","")&amp;IF(AND(MAX(N(E741),N(F741))&gt;=Settings!$C$9,MOD(MAX(N(E741),N(F741)),Settings!$C$10)=0),"Round amount | ","")="","",LEFT(IF(K741="No","Does not balance | ","")&amp;IF(I741="","Not approved | ",IF(UPPER(TRIM(H741))=UPPER(TRIM(I741)),"Self-approved | ",""))&amp;IF(J741="","No support | ","")&amp;IF(WEEKDAY(B741,2)&gt;5,"Weekend posting | ","")&amp;IF(COUNTIF(Settings!$A$14:$A$43,B741)&gt;0,"Holiday posting | ","")&amp;IF(B741&gt;Settings!$C$8,"Posted after close | ","")&amp;IF(OR(B741&lt;Settings!$C$6,B741&gt;Settings!$C$7),"Outside period | ","")&amp;IF(COUNTIF(Settings!$E$14:$E$43,C741&amp;"")&gt;0,"Sensitive account | ","")&amp;IF(AND(MAX(N(E741),N(F741))&gt;=Settings!$C$9,MOD(MAX(N(E741),N(F741)),Settings!$C$10)=0),"Round amount | ",""),LEN(IF(K741="No","Does not balance | ","")&amp;IF(I741="","Not approved | ",IF(UPPER(TRIM(H741))=UPPER(TRIM(I741)),"Self-approved | ",""))&amp;IF(J741="","No support | ","")&amp;IF(WEEKDAY(B741,2)&gt;5,"Weekend posting | ","")&amp;IF(COUNTIF(Settings!$A$14:$A$43,B741)&gt;0,"Holiday posting | ","")&amp;IF(B741&gt;Settings!$C$8,"Posted after close | ","")&amp;IF(OR(B741&lt;Settings!$C$6,B741&gt;Settings!$C$7),"Outside period | ","")&amp;IF(COUNTIF(Settings!$E$14:$E$43,C741&amp;"")&gt;0,"Sensitive account | ","")&amp;IF(AND(MAX(N(E741),N(F741))&gt;=Settings!$C$9,MOD(MAX(N(E741),N(F741)),Settings!$C$10)=0),"Round amount | ",""))-3)))</f>
        <v/>
      </c>
      <c r="M741" s="21" t="str">
        <f aca="false">IF(A741="","",IF(COUNTIF($A$9:A741,A741)=1,MAX($M$8:M740)+1,""))</f>
        <v/>
      </c>
    </row>
    <row r="742" customFormat="false" ht="15" hidden="false" customHeight="false" outlineLevel="0" collapsed="false">
      <c r="A742" s="8"/>
      <c r="B742" s="17"/>
      <c r="C742" s="19"/>
      <c r="D742" s="8"/>
      <c r="E742" s="18"/>
      <c r="F742" s="18"/>
      <c r="G742" s="8"/>
      <c r="H742" s="8"/>
      <c r="I742" s="8"/>
      <c r="J742" s="8"/>
      <c r="K742" s="10" t="str">
        <f aca="false">IF(A742="","",IF(ABS(SUMIFS($E$9:$E$2008,$A$9:$A$2008,A742)-SUMIFS($F$9:$F$2008,$A$9:$A$2008,A742))&lt;0.5,"Yes","No"))</f>
        <v/>
      </c>
      <c r="L742" s="10" t="str">
        <f aca="false">IF(A742="","",IF(IF(K742="No","Does not balance | ","")&amp;IF(I742="","Not approved | ",IF(UPPER(TRIM(H742))=UPPER(TRIM(I742)),"Self-approved | ",""))&amp;IF(J742="","No support | ","")&amp;IF(WEEKDAY(B742,2)&gt;5,"Weekend posting | ","")&amp;IF(COUNTIF(Settings!$A$14:$A$43,B742)&gt;0,"Holiday posting | ","")&amp;IF(B742&gt;Settings!$C$8,"Posted after close | ","")&amp;IF(OR(B742&lt;Settings!$C$6,B742&gt;Settings!$C$7),"Outside period | ","")&amp;IF(COUNTIF(Settings!$E$14:$E$43,C742&amp;"")&gt;0,"Sensitive account | ","")&amp;IF(AND(MAX(N(E742),N(F742))&gt;=Settings!$C$9,MOD(MAX(N(E742),N(F742)),Settings!$C$10)=0),"Round amount | ","")="","",LEFT(IF(K742="No","Does not balance | ","")&amp;IF(I742="","Not approved | ",IF(UPPER(TRIM(H742))=UPPER(TRIM(I742)),"Self-approved | ",""))&amp;IF(J742="","No support | ","")&amp;IF(WEEKDAY(B742,2)&gt;5,"Weekend posting | ","")&amp;IF(COUNTIF(Settings!$A$14:$A$43,B742)&gt;0,"Holiday posting | ","")&amp;IF(B742&gt;Settings!$C$8,"Posted after close | ","")&amp;IF(OR(B742&lt;Settings!$C$6,B742&gt;Settings!$C$7),"Outside period | ","")&amp;IF(COUNTIF(Settings!$E$14:$E$43,C742&amp;"")&gt;0,"Sensitive account | ","")&amp;IF(AND(MAX(N(E742),N(F742))&gt;=Settings!$C$9,MOD(MAX(N(E742),N(F742)),Settings!$C$10)=0),"Round amount | ",""),LEN(IF(K742="No","Does not balance | ","")&amp;IF(I742="","Not approved | ",IF(UPPER(TRIM(H742))=UPPER(TRIM(I742)),"Self-approved | ",""))&amp;IF(J742="","No support | ","")&amp;IF(WEEKDAY(B742,2)&gt;5,"Weekend posting | ","")&amp;IF(COUNTIF(Settings!$A$14:$A$43,B742)&gt;0,"Holiday posting | ","")&amp;IF(B742&gt;Settings!$C$8,"Posted after close | ","")&amp;IF(OR(B742&lt;Settings!$C$6,B742&gt;Settings!$C$7),"Outside period | ","")&amp;IF(COUNTIF(Settings!$E$14:$E$43,C742&amp;"")&gt;0,"Sensitive account | ","")&amp;IF(AND(MAX(N(E742),N(F742))&gt;=Settings!$C$9,MOD(MAX(N(E742),N(F742)),Settings!$C$10)=0),"Round amount | ",""))-3)))</f>
        <v/>
      </c>
      <c r="M742" s="21" t="str">
        <f aca="false">IF(A742="","",IF(COUNTIF($A$9:A742,A742)=1,MAX($M$8:M741)+1,""))</f>
        <v/>
      </c>
    </row>
    <row r="743" customFormat="false" ht="15" hidden="false" customHeight="false" outlineLevel="0" collapsed="false">
      <c r="A743" s="8"/>
      <c r="B743" s="17"/>
      <c r="C743" s="19"/>
      <c r="D743" s="8"/>
      <c r="E743" s="18"/>
      <c r="F743" s="18"/>
      <c r="G743" s="8"/>
      <c r="H743" s="8"/>
      <c r="I743" s="8"/>
      <c r="J743" s="8"/>
      <c r="K743" s="10" t="str">
        <f aca="false">IF(A743="","",IF(ABS(SUMIFS($E$9:$E$2008,$A$9:$A$2008,A743)-SUMIFS($F$9:$F$2008,$A$9:$A$2008,A743))&lt;0.5,"Yes","No"))</f>
        <v/>
      </c>
      <c r="L743" s="10" t="str">
        <f aca="false">IF(A743="","",IF(IF(K743="No","Does not balance | ","")&amp;IF(I743="","Not approved | ",IF(UPPER(TRIM(H743))=UPPER(TRIM(I743)),"Self-approved | ",""))&amp;IF(J743="","No support | ","")&amp;IF(WEEKDAY(B743,2)&gt;5,"Weekend posting | ","")&amp;IF(COUNTIF(Settings!$A$14:$A$43,B743)&gt;0,"Holiday posting | ","")&amp;IF(B743&gt;Settings!$C$8,"Posted after close | ","")&amp;IF(OR(B743&lt;Settings!$C$6,B743&gt;Settings!$C$7),"Outside period | ","")&amp;IF(COUNTIF(Settings!$E$14:$E$43,C743&amp;"")&gt;0,"Sensitive account | ","")&amp;IF(AND(MAX(N(E743),N(F743))&gt;=Settings!$C$9,MOD(MAX(N(E743),N(F743)),Settings!$C$10)=0),"Round amount | ","")="","",LEFT(IF(K743="No","Does not balance | ","")&amp;IF(I743="","Not approved | ",IF(UPPER(TRIM(H743))=UPPER(TRIM(I743)),"Self-approved | ",""))&amp;IF(J743="","No support | ","")&amp;IF(WEEKDAY(B743,2)&gt;5,"Weekend posting | ","")&amp;IF(COUNTIF(Settings!$A$14:$A$43,B743)&gt;0,"Holiday posting | ","")&amp;IF(B743&gt;Settings!$C$8,"Posted after close | ","")&amp;IF(OR(B743&lt;Settings!$C$6,B743&gt;Settings!$C$7),"Outside period | ","")&amp;IF(COUNTIF(Settings!$E$14:$E$43,C743&amp;"")&gt;0,"Sensitive account | ","")&amp;IF(AND(MAX(N(E743),N(F743))&gt;=Settings!$C$9,MOD(MAX(N(E743),N(F743)),Settings!$C$10)=0),"Round amount | ",""),LEN(IF(K743="No","Does not balance | ","")&amp;IF(I743="","Not approved | ",IF(UPPER(TRIM(H743))=UPPER(TRIM(I743)),"Self-approved | ",""))&amp;IF(J743="","No support | ","")&amp;IF(WEEKDAY(B743,2)&gt;5,"Weekend posting | ","")&amp;IF(COUNTIF(Settings!$A$14:$A$43,B743)&gt;0,"Holiday posting | ","")&amp;IF(B743&gt;Settings!$C$8,"Posted after close | ","")&amp;IF(OR(B743&lt;Settings!$C$6,B743&gt;Settings!$C$7),"Outside period | ","")&amp;IF(COUNTIF(Settings!$E$14:$E$43,C743&amp;"")&gt;0,"Sensitive account | ","")&amp;IF(AND(MAX(N(E743),N(F743))&gt;=Settings!$C$9,MOD(MAX(N(E743),N(F743)),Settings!$C$10)=0),"Round amount | ",""))-3)))</f>
        <v/>
      </c>
      <c r="M743" s="21" t="str">
        <f aca="false">IF(A743="","",IF(COUNTIF($A$9:A743,A743)=1,MAX($M$8:M742)+1,""))</f>
        <v/>
      </c>
    </row>
    <row r="744" customFormat="false" ht="15" hidden="false" customHeight="false" outlineLevel="0" collapsed="false">
      <c r="A744" s="8"/>
      <c r="B744" s="17"/>
      <c r="C744" s="19"/>
      <c r="D744" s="8"/>
      <c r="E744" s="18"/>
      <c r="F744" s="18"/>
      <c r="G744" s="8"/>
      <c r="H744" s="8"/>
      <c r="I744" s="8"/>
      <c r="J744" s="8"/>
      <c r="K744" s="10" t="str">
        <f aca="false">IF(A744="","",IF(ABS(SUMIFS($E$9:$E$2008,$A$9:$A$2008,A744)-SUMIFS($F$9:$F$2008,$A$9:$A$2008,A744))&lt;0.5,"Yes","No"))</f>
        <v/>
      </c>
      <c r="L744" s="10" t="str">
        <f aca="false">IF(A744="","",IF(IF(K744="No","Does not balance | ","")&amp;IF(I744="","Not approved | ",IF(UPPER(TRIM(H744))=UPPER(TRIM(I744)),"Self-approved | ",""))&amp;IF(J744="","No support | ","")&amp;IF(WEEKDAY(B744,2)&gt;5,"Weekend posting | ","")&amp;IF(COUNTIF(Settings!$A$14:$A$43,B744)&gt;0,"Holiday posting | ","")&amp;IF(B744&gt;Settings!$C$8,"Posted after close | ","")&amp;IF(OR(B744&lt;Settings!$C$6,B744&gt;Settings!$C$7),"Outside period | ","")&amp;IF(COUNTIF(Settings!$E$14:$E$43,C744&amp;"")&gt;0,"Sensitive account | ","")&amp;IF(AND(MAX(N(E744),N(F744))&gt;=Settings!$C$9,MOD(MAX(N(E744),N(F744)),Settings!$C$10)=0),"Round amount | ","")="","",LEFT(IF(K744="No","Does not balance | ","")&amp;IF(I744="","Not approved | ",IF(UPPER(TRIM(H744))=UPPER(TRIM(I744)),"Self-approved | ",""))&amp;IF(J744="","No support | ","")&amp;IF(WEEKDAY(B744,2)&gt;5,"Weekend posting | ","")&amp;IF(COUNTIF(Settings!$A$14:$A$43,B744)&gt;0,"Holiday posting | ","")&amp;IF(B744&gt;Settings!$C$8,"Posted after close | ","")&amp;IF(OR(B744&lt;Settings!$C$6,B744&gt;Settings!$C$7),"Outside period | ","")&amp;IF(COUNTIF(Settings!$E$14:$E$43,C744&amp;"")&gt;0,"Sensitive account | ","")&amp;IF(AND(MAX(N(E744),N(F744))&gt;=Settings!$C$9,MOD(MAX(N(E744),N(F744)),Settings!$C$10)=0),"Round amount | ",""),LEN(IF(K744="No","Does not balance | ","")&amp;IF(I744="","Not approved | ",IF(UPPER(TRIM(H744))=UPPER(TRIM(I744)),"Self-approved | ",""))&amp;IF(J744="","No support | ","")&amp;IF(WEEKDAY(B744,2)&gt;5,"Weekend posting | ","")&amp;IF(COUNTIF(Settings!$A$14:$A$43,B744)&gt;0,"Holiday posting | ","")&amp;IF(B744&gt;Settings!$C$8,"Posted after close | ","")&amp;IF(OR(B744&lt;Settings!$C$6,B744&gt;Settings!$C$7),"Outside period | ","")&amp;IF(COUNTIF(Settings!$E$14:$E$43,C744&amp;"")&gt;0,"Sensitive account | ","")&amp;IF(AND(MAX(N(E744),N(F744))&gt;=Settings!$C$9,MOD(MAX(N(E744),N(F744)),Settings!$C$10)=0),"Round amount | ",""))-3)))</f>
        <v/>
      </c>
      <c r="M744" s="21" t="str">
        <f aca="false">IF(A744="","",IF(COUNTIF($A$9:A744,A744)=1,MAX($M$8:M743)+1,""))</f>
        <v/>
      </c>
    </row>
    <row r="745" customFormat="false" ht="15" hidden="false" customHeight="false" outlineLevel="0" collapsed="false">
      <c r="A745" s="8"/>
      <c r="B745" s="17"/>
      <c r="C745" s="19"/>
      <c r="D745" s="8"/>
      <c r="E745" s="18"/>
      <c r="F745" s="18"/>
      <c r="G745" s="8"/>
      <c r="H745" s="8"/>
      <c r="I745" s="8"/>
      <c r="J745" s="8"/>
      <c r="K745" s="10" t="str">
        <f aca="false">IF(A745="","",IF(ABS(SUMIFS($E$9:$E$2008,$A$9:$A$2008,A745)-SUMIFS($F$9:$F$2008,$A$9:$A$2008,A745))&lt;0.5,"Yes","No"))</f>
        <v/>
      </c>
      <c r="L745" s="10" t="str">
        <f aca="false">IF(A745="","",IF(IF(K745="No","Does not balance | ","")&amp;IF(I745="","Not approved | ",IF(UPPER(TRIM(H745))=UPPER(TRIM(I745)),"Self-approved | ",""))&amp;IF(J745="","No support | ","")&amp;IF(WEEKDAY(B745,2)&gt;5,"Weekend posting | ","")&amp;IF(COUNTIF(Settings!$A$14:$A$43,B745)&gt;0,"Holiday posting | ","")&amp;IF(B745&gt;Settings!$C$8,"Posted after close | ","")&amp;IF(OR(B745&lt;Settings!$C$6,B745&gt;Settings!$C$7),"Outside period | ","")&amp;IF(COUNTIF(Settings!$E$14:$E$43,C745&amp;"")&gt;0,"Sensitive account | ","")&amp;IF(AND(MAX(N(E745),N(F745))&gt;=Settings!$C$9,MOD(MAX(N(E745),N(F745)),Settings!$C$10)=0),"Round amount | ","")="","",LEFT(IF(K745="No","Does not balance | ","")&amp;IF(I745="","Not approved | ",IF(UPPER(TRIM(H745))=UPPER(TRIM(I745)),"Self-approved | ",""))&amp;IF(J745="","No support | ","")&amp;IF(WEEKDAY(B745,2)&gt;5,"Weekend posting | ","")&amp;IF(COUNTIF(Settings!$A$14:$A$43,B745)&gt;0,"Holiday posting | ","")&amp;IF(B745&gt;Settings!$C$8,"Posted after close | ","")&amp;IF(OR(B745&lt;Settings!$C$6,B745&gt;Settings!$C$7),"Outside period | ","")&amp;IF(COUNTIF(Settings!$E$14:$E$43,C745&amp;"")&gt;0,"Sensitive account | ","")&amp;IF(AND(MAX(N(E745),N(F745))&gt;=Settings!$C$9,MOD(MAX(N(E745),N(F745)),Settings!$C$10)=0),"Round amount | ",""),LEN(IF(K745="No","Does not balance | ","")&amp;IF(I745="","Not approved | ",IF(UPPER(TRIM(H745))=UPPER(TRIM(I745)),"Self-approved | ",""))&amp;IF(J745="","No support | ","")&amp;IF(WEEKDAY(B745,2)&gt;5,"Weekend posting | ","")&amp;IF(COUNTIF(Settings!$A$14:$A$43,B745)&gt;0,"Holiday posting | ","")&amp;IF(B745&gt;Settings!$C$8,"Posted after close | ","")&amp;IF(OR(B745&lt;Settings!$C$6,B745&gt;Settings!$C$7),"Outside period | ","")&amp;IF(COUNTIF(Settings!$E$14:$E$43,C745&amp;"")&gt;0,"Sensitive account | ","")&amp;IF(AND(MAX(N(E745),N(F745))&gt;=Settings!$C$9,MOD(MAX(N(E745),N(F745)),Settings!$C$10)=0),"Round amount | ",""))-3)))</f>
        <v/>
      </c>
      <c r="M745" s="21" t="str">
        <f aca="false">IF(A745="","",IF(COUNTIF($A$9:A745,A745)=1,MAX($M$8:M744)+1,""))</f>
        <v/>
      </c>
    </row>
    <row r="746" customFormat="false" ht="15" hidden="false" customHeight="false" outlineLevel="0" collapsed="false">
      <c r="A746" s="8"/>
      <c r="B746" s="17"/>
      <c r="C746" s="19"/>
      <c r="D746" s="8"/>
      <c r="E746" s="18"/>
      <c r="F746" s="18"/>
      <c r="G746" s="8"/>
      <c r="H746" s="8"/>
      <c r="I746" s="8"/>
      <c r="J746" s="8"/>
      <c r="K746" s="10" t="str">
        <f aca="false">IF(A746="","",IF(ABS(SUMIFS($E$9:$E$2008,$A$9:$A$2008,A746)-SUMIFS($F$9:$F$2008,$A$9:$A$2008,A746))&lt;0.5,"Yes","No"))</f>
        <v/>
      </c>
      <c r="L746" s="10" t="str">
        <f aca="false">IF(A746="","",IF(IF(K746="No","Does not balance | ","")&amp;IF(I746="","Not approved | ",IF(UPPER(TRIM(H746))=UPPER(TRIM(I746)),"Self-approved | ",""))&amp;IF(J746="","No support | ","")&amp;IF(WEEKDAY(B746,2)&gt;5,"Weekend posting | ","")&amp;IF(COUNTIF(Settings!$A$14:$A$43,B746)&gt;0,"Holiday posting | ","")&amp;IF(B746&gt;Settings!$C$8,"Posted after close | ","")&amp;IF(OR(B746&lt;Settings!$C$6,B746&gt;Settings!$C$7),"Outside period | ","")&amp;IF(COUNTIF(Settings!$E$14:$E$43,C746&amp;"")&gt;0,"Sensitive account | ","")&amp;IF(AND(MAX(N(E746),N(F746))&gt;=Settings!$C$9,MOD(MAX(N(E746),N(F746)),Settings!$C$10)=0),"Round amount | ","")="","",LEFT(IF(K746="No","Does not balance | ","")&amp;IF(I746="","Not approved | ",IF(UPPER(TRIM(H746))=UPPER(TRIM(I746)),"Self-approved | ",""))&amp;IF(J746="","No support | ","")&amp;IF(WEEKDAY(B746,2)&gt;5,"Weekend posting | ","")&amp;IF(COUNTIF(Settings!$A$14:$A$43,B746)&gt;0,"Holiday posting | ","")&amp;IF(B746&gt;Settings!$C$8,"Posted after close | ","")&amp;IF(OR(B746&lt;Settings!$C$6,B746&gt;Settings!$C$7),"Outside period | ","")&amp;IF(COUNTIF(Settings!$E$14:$E$43,C746&amp;"")&gt;0,"Sensitive account | ","")&amp;IF(AND(MAX(N(E746),N(F746))&gt;=Settings!$C$9,MOD(MAX(N(E746),N(F746)),Settings!$C$10)=0),"Round amount | ",""),LEN(IF(K746="No","Does not balance | ","")&amp;IF(I746="","Not approved | ",IF(UPPER(TRIM(H746))=UPPER(TRIM(I746)),"Self-approved | ",""))&amp;IF(J746="","No support | ","")&amp;IF(WEEKDAY(B746,2)&gt;5,"Weekend posting | ","")&amp;IF(COUNTIF(Settings!$A$14:$A$43,B746)&gt;0,"Holiday posting | ","")&amp;IF(B746&gt;Settings!$C$8,"Posted after close | ","")&amp;IF(OR(B746&lt;Settings!$C$6,B746&gt;Settings!$C$7),"Outside period | ","")&amp;IF(COUNTIF(Settings!$E$14:$E$43,C746&amp;"")&gt;0,"Sensitive account | ","")&amp;IF(AND(MAX(N(E746),N(F746))&gt;=Settings!$C$9,MOD(MAX(N(E746),N(F746)),Settings!$C$10)=0),"Round amount | ",""))-3)))</f>
        <v/>
      </c>
      <c r="M746" s="21" t="str">
        <f aca="false">IF(A746="","",IF(COUNTIF($A$9:A746,A746)=1,MAX($M$8:M745)+1,""))</f>
        <v/>
      </c>
    </row>
    <row r="747" customFormat="false" ht="15" hidden="false" customHeight="false" outlineLevel="0" collapsed="false">
      <c r="A747" s="8"/>
      <c r="B747" s="17"/>
      <c r="C747" s="19"/>
      <c r="D747" s="8"/>
      <c r="E747" s="18"/>
      <c r="F747" s="18"/>
      <c r="G747" s="8"/>
      <c r="H747" s="8"/>
      <c r="I747" s="8"/>
      <c r="J747" s="8"/>
      <c r="K747" s="10" t="str">
        <f aca="false">IF(A747="","",IF(ABS(SUMIFS($E$9:$E$2008,$A$9:$A$2008,A747)-SUMIFS($F$9:$F$2008,$A$9:$A$2008,A747))&lt;0.5,"Yes","No"))</f>
        <v/>
      </c>
      <c r="L747" s="10" t="str">
        <f aca="false">IF(A747="","",IF(IF(K747="No","Does not balance | ","")&amp;IF(I747="","Not approved | ",IF(UPPER(TRIM(H747))=UPPER(TRIM(I747)),"Self-approved | ",""))&amp;IF(J747="","No support | ","")&amp;IF(WEEKDAY(B747,2)&gt;5,"Weekend posting | ","")&amp;IF(COUNTIF(Settings!$A$14:$A$43,B747)&gt;0,"Holiday posting | ","")&amp;IF(B747&gt;Settings!$C$8,"Posted after close | ","")&amp;IF(OR(B747&lt;Settings!$C$6,B747&gt;Settings!$C$7),"Outside period | ","")&amp;IF(COUNTIF(Settings!$E$14:$E$43,C747&amp;"")&gt;0,"Sensitive account | ","")&amp;IF(AND(MAX(N(E747),N(F747))&gt;=Settings!$C$9,MOD(MAX(N(E747),N(F747)),Settings!$C$10)=0),"Round amount | ","")="","",LEFT(IF(K747="No","Does not balance | ","")&amp;IF(I747="","Not approved | ",IF(UPPER(TRIM(H747))=UPPER(TRIM(I747)),"Self-approved | ",""))&amp;IF(J747="","No support | ","")&amp;IF(WEEKDAY(B747,2)&gt;5,"Weekend posting | ","")&amp;IF(COUNTIF(Settings!$A$14:$A$43,B747)&gt;0,"Holiday posting | ","")&amp;IF(B747&gt;Settings!$C$8,"Posted after close | ","")&amp;IF(OR(B747&lt;Settings!$C$6,B747&gt;Settings!$C$7),"Outside period | ","")&amp;IF(COUNTIF(Settings!$E$14:$E$43,C747&amp;"")&gt;0,"Sensitive account | ","")&amp;IF(AND(MAX(N(E747),N(F747))&gt;=Settings!$C$9,MOD(MAX(N(E747),N(F747)),Settings!$C$10)=0),"Round amount | ",""),LEN(IF(K747="No","Does not balance | ","")&amp;IF(I747="","Not approved | ",IF(UPPER(TRIM(H747))=UPPER(TRIM(I747)),"Self-approved | ",""))&amp;IF(J747="","No support | ","")&amp;IF(WEEKDAY(B747,2)&gt;5,"Weekend posting | ","")&amp;IF(COUNTIF(Settings!$A$14:$A$43,B747)&gt;0,"Holiday posting | ","")&amp;IF(B747&gt;Settings!$C$8,"Posted after close | ","")&amp;IF(OR(B747&lt;Settings!$C$6,B747&gt;Settings!$C$7),"Outside period | ","")&amp;IF(COUNTIF(Settings!$E$14:$E$43,C747&amp;"")&gt;0,"Sensitive account | ","")&amp;IF(AND(MAX(N(E747),N(F747))&gt;=Settings!$C$9,MOD(MAX(N(E747),N(F747)),Settings!$C$10)=0),"Round amount | ",""))-3)))</f>
        <v/>
      </c>
      <c r="M747" s="21" t="str">
        <f aca="false">IF(A747="","",IF(COUNTIF($A$9:A747,A747)=1,MAX($M$8:M746)+1,""))</f>
        <v/>
      </c>
    </row>
    <row r="748" customFormat="false" ht="15" hidden="false" customHeight="false" outlineLevel="0" collapsed="false">
      <c r="A748" s="8"/>
      <c r="B748" s="17"/>
      <c r="C748" s="19"/>
      <c r="D748" s="8"/>
      <c r="E748" s="18"/>
      <c r="F748" s="18"/>
      <c r="G748" s="8"/>
      <c r="H748" s="8"/>
      <c r="I748" s="8"/>
      <c r="J748" s="8"/>
      <c r="K748" s="10" t="str">
        <f aca="false">IF(A748="","",IF(ABS(SUMIFS($E$9:$E$2008,$A$9:$A$2008,A748)-SUMIFS($F$9:$F$2008,$A$9:$A$2008,A748))&lt;0.5,"Yes","No"))</f>
        <v/>
      </c>
      <c r="L748" s="10" t="str">
        <f aca="false">IF(A748="","",IF(IF(K748="No","Does not balance | ","")&amp;IF(I748="","Not approved | ",IF(UPPER(TRIM(H748))=UPPER(TRIM(I748)),"Self-approved | ",""))&amp;IF(J748="","No support | ","")&amp;IF(WEEKDAY(B748,2)&gt;5,"Weekend posting | ","")&amp;IF(COUNTIF(Settings!$A$14:$A$43,B748)&gt;0,"Holiday posting | ","")&amp;IF(B748&gt;Settings!$C$8,"Posted after close | ","")&amp;IF(OR(B748&lt;Settings!$C$6,B748&gt;Settings!$C$7),"Outside period | ","")&amp;IF(COUNTIF(Settings!$E$14:$E$43,C748&amp;"")&gt;0,"Sensitive account | ","")&amp;IF(AND(MAX(N(E748),N(F748))&gt;=Settings!$C$9,MOD(MAX(N(E748),N(F748)),Settings!$C$10)=0),"Round amount | ","")="","",LEFT(IF(K748="No","Does not balance | ","")&amp;IF(I748="","Not approved | ",IF(UPPER(TRIM(H748))=UPPER(TRIM(I748)),"Self-approved | ",""))&amp;IF(J748="","No support | ","")&amp;IF(WEEKDAY(B748,2)&gt;5,"Weekend posting | ","")&amp;IF(COUNTIF(Settings!$A$14:$A$43,B748)&gt;0,"Holiday posting | ","")&amp;IF(B748&gt;Settings!$C$8,"Posted after close | ","")&amp;IF(OR(B748&lt;Settings!$C$6,B748&gt;Settings!$C$7),"Outside period | ","")&amp;IF(COUNTIF(Settings!$E$14:$E$43,C748&amp;"")&gt;0,"Sensitive account | ","")&amp;IF(AND(MAX(N(E748),N(F748))&gt;=Settings!$C$9,MOD(MAX(N(E748),N(F748)),Settings!$C$10)=0),"Round amount | ",""),LEN(IF(K748="No","Does not balance | ","")&amp;IF(I748="","Not approved | ",IF(UPPER(TRIM(H748))=UPPER(TRIM(I748)),"Self-approved | ",""))&amp;IF(J748="","No support | ","")&amp;IF(WEEKDAY(B748,2)&gt;5,"Weekend posting | ","")&amp;IF(COUNTIF(Settings!$A$14:$A$43,B748)&gt;0,"Holiday posting | ","")&amp;IF(B748&gt;Settings!$C$8,"Posted after close | ","")&amp;IF(OR(B748&lt;Settings!$C$6,B748&gt;Settings!$C$7),"Outside period | ","")&amp;IF(COUNTIF(Settings!$E$14:$E$43,C748&amp;"")&gt;0,"Sensitive account | ","")&amp;IF(AND(MAX(N(E748),N(F748))&gt;=Settings!$C$9,MOD(MAX(N(E748),N(F748)),Settings!$C$10)=0),"Round amount | ",""))-3)))</f>
        <v/>
      </c>
      <c r="M748" s="21" t="str">
        <f aca="false">IF(A748="","",IF(COUNTIF($A$9:A748,A748)=1,MAX($M$8:M747)+1,""))</f>
        <v/>
      </c>
    </row>
    <row r="749" customFormat="false" ht="15" hidden="false" customHeight="false" outlineLevel="0" collapsed="false">
      <c r="A749" s="8"/>
      <c r="B749" s="17"/>
      <c r="C749" s="19"/>
      <c r="D749" s="8"/>
      <c r="E749" s="18"/>
      <c r="F749" s="18"/>
      <c r="G749" s="8"/>
      <c r="H749" s="8"/>
      <c r="I749" s="8"/>
      <c r="J749" s="8"/>
      <c r="K749" s="10" t="str">
        <f aca="false">IF(A749="","",IF(ABS(SUMIFS($E$9:$E$2008,$A$9:$A$2008,A749)-SUMIFS($F$9:$F$2008,$A$9:$A$2008,A749))&lt;0.5,"Yes","No"))</f>
        <v/>
      </c>
      <c r="L749" s="10" t="str">
        <f aca="false">IF(A749="","",IF(IF(K749="No","Does not balance | ","")&amp;IF(I749="","Not approved | ",IF(UPPER(TRIM(H749))=UPPER(TRIM(I749)),"Self-approved | ",""))&amp;IF(J749="","No support | ","")&amp;IF(WEEKDAY(B749,2)&gt;5,"Weekend posting | ","")&amp;IF(COUNTIF(Settings!$A$14:$A$43,B749)&gt;0,"Holiday posting | ","")&amp;IF(B749&gt;Settings!$C$8,"Posted after close | ","")&amp;IF(OR(B749&lt;Settings!$C$6,B749&gt;Settings!$C$7),"Outside period | ","")&amp;IF(COUNTIF(Settings!$E$14:$E$43,C749&amp;"")&gt;0,"Sensitive account | ","")&amp;IF(AND(MAX(N(E749),N(F749))&gt;=Settings!$C$9,MOD(MAX(N(E749),N(F749)),Settings!$C$10)=0),"Round amount | ","")="","",LEFT(IF(K749="No","Does not balance | ","")&amp;IF(I749="","Not approved | ",IF(UPPER(TRIM(H749))=UPPER(TRIM(I749)),"Self-approved | ",""))&amp;IF(J749="","No support | ","")&amp;IF(WEEKDAY(B749,2)&gt;5,"Weekend posting | ","")&amp;IF(COUNTIF(Settings!$A$14:$A$43,B749)&gt;0,"Holiday posting | ","")&amp;IF(B749&gt;Settings!$C$8,"Posted after close | ","")&amp;IF(OR(B749&lt;Settings!$C$6,B749&gt;Settings!$C$7),"Outside period | ","")&amp;IF(COUNTIF(Settings!$E$14:$E$43,C749&amp;"")&gt;0,"Sensitive account | ","")&amp;IF(AND(MAX(N(E749),N(F749))&gt;=Settings!$C$9,MOD(MAX(N(E749),N(F749)),Settings!$C$10)=0),"Round amount | ",""),LEN(IF(K749="No","Does not balance | ","")&amp;IF(I749="","Not approved | ",IF(UPPER(TRIM(H749))=UPPER(TRIM(I749)),"Self-approved | ",""))&amp;IF(J749="","No support | ","")&amp;IF(WEEKDAY(B749,2)&gt;5,"Weekend posting | ","")&amp;IF(COUNTIF(Settings!$A$14:$A$43,B749)&gt;0,"Holiday posting | ","")&amp;IF(B749&gt;Settings!$C$8,"Posted after close | ","")&amp;IF(OR(B749&lt;Settings!$C$6,B749&gt;Settings!$C$7),"Outside period | ","")&amp;IF(COUNTIF(Settings!$E$14:$E$43,C749&amp;"")&gt;0,"Sensitive account | ","")&amp;IF(AND(MAX(N(E749),N(F749))&gt;=Settings!$C$9,MOD(MAX(N(E749),N(F749)),Settings!$C$10)=0),"Round amount | ",""))-3)))</f>
        <v/>
      </c>
      <c r="M749" s="21" t="str">
        <f aca="false">IF(A749="","",IF(COUNTIF($A$9:A749,A749)=1,MAX($M$8:M748)+1,""))</f>
        <v/>
      </c>
    </row>
    <row r="750" customFormat="false" ht="15" hidden="false" customHeight="false" outlineLevel="0" collapsed="false">
      <c r="A750" s="8"/>
      <c r="B750" s="17"/>
      <c r="C750" s="19"/>
      <c r="D750" s="8"/>
      <c r="E750" s="18"/>
      <c r="F750" s="18"/>
      <c r="G750" s="8"/>
      <c r="H750" s="8"/>
      <c r="I750" s="8"/>
      <c r="J750" s="8"/>
      <c r="K750" s="10" t="str">
        <f aca="false">IF(A750="","",IF(ABS(SUMIFS($E$9:$E$2008,$A$9:$A$2008,A750)-SUMIFS($F$9:$F$2008,$A$9:$A$2008,A750))&lt;0.5,"Yes","No"))</f>
        <v/>
      </c>
      <c r="L750" s="10" t="str">
        <f aca="false">IF(A750="","",IF(IF(K750="No","Does not balance | ","")&amp;IF(I750="","Not approved | ",IF(UPPER(TRIM(H750))=UPPER(TRIM(I750)),"Self-approved | ",""))&amp;IF(J750="","No support | ","")&amp;IF(WEEKDAY(B750,2)&gt;5,"Weekend posting | ","")&amp;IF(COUNTIF(Settings!$A$14:$A$43,B750)&gt;0,"Holiday posting | ","")&amp;IF(B750&gt;Settings!$C$8,"Posted after close | ","")&amp;IF(OR(B750&lt;Settings!$C$6,B750&gt;Settings!$C$7),"Outside period | ","")&amp;IF(COUNTIF(Settings!$E$14:$E$43,C750&amp;"")&gt;0,"Sensitive account | ","")&amp;IF(AND(MAX(N(E750),N(F750))&gt;=Settings!$C$9,MOD(MAX(N(E750),N(F750)),Settings!$C$10)=0),"Round amount | ","")="","",LEFT(IF(K750="No","Does not balance | ","")&amp;IF(I750="","Not approved | ",IF(UPPER(TRIM(H750))=UPPER(TRIM(I750)),"Self-approved | ",""))&amp;IF(J750="","No support | ","")&amp;IF(WEEKDAY(B750,2)&gt;5,"Weekend posting | ","")&amp;IF(COUNTIF(Settings!$A$14:$A$43,B750)&gt;0,"Holiday posting | ","")&amp;IF(B750&gt;Settings!$C$8,"Posted after close | ","")&amp;IF(OR(B750&lt;Settings!$C$6,B750&gt;Settings!$C$7),"Outside period | ","")&amp;IF(COUNTIF(Settings!$E$14:$E$43,C750&amp;"")&gt;0,"Sensitive account | ","")&amp;IF(AND(MAX(N(E750),N(F750))&gt;=Settings!$C$9,MOD(MAX(N(E750),N(F750)),Settings!$C$10)=0),"Round amount | ",""),LEN(IF(K750="No","Does not balance | ","")&amp;IF(I750="","Not approved | ",IF(UPPER(TRIM(H750))=UPPER(TRIM(I750)),"Self-approved | ",""))&amp;IF(J750="","No support | ","")&amp;IF(WEEKDAY(B750,2)&gt;5,"Weekend posting | ","")&amp;IF(COUNTIF(Settings!$A$14:$A$43,B750)&gt;0,"Holiday posting | ","")&amp;IF(B750&gt;Settings!$C$8,"Posted after close | ","")&amp;IF(OR(B750&lt;Settings!$C$6,B750&gt;Settings!$C$7),"Outside period | ","")&amp;IF(COUNTIF(Settings!$E$14:$E$43,C750&amp;"")&gt;0,"Sensitive account | ","")&amp;IF(AND(MAX(N(E750),N(F750))&gt;=Settings!$C$9,MOD(MAX(N(E750),N(F750)),Settings!$C$10)=0),"Round amount | ",""))-3)))</f>
        <v/>
      </c>
      <c r="M750" s="21" t="str">
        <f aca="false">IF(A750="","",IF(COUNTIF($A$9:A750,A750)=1,MAX($M$8:M749)+1,""))</f>
        <v/>
      </c>
    </row>
    <row r="751" customFormat="false" ht="15" hidden="false" customHeight="false" outlineLevel="0" collapsed="false">
      <c r="A751" s="8"/>
      <c r="B751" s="17"/>
      <c r="C751" s="19"/>
      <c r="D751" s="8"/>
      <c r="E751" s="18"/>
      <c r="F751" s="18"/>
      <c r="G751" s="8"/>
      <c r="H751" s="8"/>
      <c r="I751" s="8"/>
      <c r="J751" s="8"/>
      <c r="K751" s="10" t="str">
        <f aca="false">IF(A751="","",IF(ABS(SUMIFS($E$9:$E$2008,$A$9:$A$2008,A751)-SUMIFS($F$9:$F$2008,$A$9:$A$2008,A751))&lt;0.5,"Yes","No"))</f>
        <v/>
      </c>
      <c r="L751" s="10" t="str">
        <f aca="false">IF(A751="","",IF(IF(K751="No","Does not balance | ","")&amp;IF(I751="","Not approved | ",IF(UPPER(TRIM(H751))=UPPER(TRIM(I751)),"Self-approved | ",""))&amp;IF(J751="","No support | ","")&amp;IF(WEEKDAY(B751,2)&gt;5,"Weekend posting | ","")&amp;IF(COUNTIF(Settings!$A$14:$A$43,B751)&gt;0,"Holiday posting | ","")&amp;IF(B751&gt;Settings!$C$8,"Posted after close | ","")&amp;IF(OR(B751&lt;Settings!$C$6,B751&gt;Settings!$C$7),"Outside period | ","")&amp;IF(COUNTIF(Settings!$E$14:$E$43,C751&amp;"")&gt;0,"Sensitive account | ","")&amp;IF(AND(MAX(N(E751),N(F751))&gt;=Settings!$C$9,MOD(MAX(N(E751),N(F751)),Settings!$C$10)=0),"Round amount | ","")="","",LEFT(IF(K751="No","Does not balance | ","")&amp;IF(I751="","Not approved | ",IF(UPPER(TRIM(H751))=UPPER(TRIM(I751)),"Self-approved | ",""))&amp;IF(J751="","No support | ","")&amp;IF(WEEKDAY(B751,2)&gt;5,"Weekend posting | ","")&amp;IF(COUNTIF(Settings!$A$14:$A$43,B751)&gt;0,"Holiday posting | ","")&amp;IF(B751&gt;Settings!$C$8,"Posted after close | ","")&amp;IF(OR(B751&lt;Settings!$C$6,B751&gt;Settings!$C$7),"Outside period | ","")&amp;IF(COUNTIF(Settings!$E$14:$E$43,C751&amp;"")&gt;0,"Sensitive account | ","")&amp;IF(AND(MAX(N(E751),N(F751))&gt;=Settings!$C$9,MOD(MAX(N(E751),N(F751)),Settings!$C$10)=0),"Round amount | ",""),LEN(IF(K751="No","Does not balance | ","")&amp;IF(I751="","Not approved | ",IF(UPPER(TRIM(H751))=UPPER(TRIM(I751)),"Self-approved | ",""))&amp;IF(J751="","No support | ","")&amp;IF(WEEKDAY(B751,2)&gt;5,"Weekend posting | ","")&amp;IF(COUNTIF(Settings!$A$14:$A$43,B751)&gt;0,"Holiday posting | ","")&amp;IF(B751&gt;Settings!$C$8,"Posted after close | ","")&amp;IF(OR(B751&lt;Settings!$C$6,B751&gt;Settings!$C$7),"Outside period | ","")&amp;IF(COUNTIF(Settings!$E$14:$E$43,C751&amp;"")&gt;0,"Sensitive account | ","")&amp;IF(AND(MAX(N(E751),N(F751))&gt;=Settings!$C$9,MOD(MAX(N(E751),N(F751)),Settings!$C$10)=0),"Round amount | ",""))-3)))</f>
        <v/>
      </c>
      <c r="M751" s="21" t="str">
        <f aca="false">IF(A751="","",IF(COUNTIF($A$9:A751,A751)=1,MAX($M$8:M750)+1,""))</f>
        <v/>
      </c>
    </row>
    <row r="752" customFormat="false" ht="15" hidden="false" customHeight="false" outlineLevel="0" collapsed="false">
      <c r="A752" s="8"/>
      <c r="B752" s="17"/>
      <c r="C752" s="19"/>
      <c r="D752" s="8"/>
      <c r="E752" s="18"/>
      <c r="F752" s="18"/>
      <c r="G752" s="8"/>
      <c r="H752" s="8"/>
      <c r="I752" s="8"/>
      <c r="J752" s="8"/>
      <c r="K752" s="10" t="str">
        <f aca="false">IF(A752="","",IF(ABS(SUMIFS($E$9:$E$2008,$A$9:$A$2008,A752)-SUMIFS($F$9:$F$2008,$A$9:$A$2008,A752))&lt;0.5,"Yes","No"))</f>
        <v/>
      </c>
      <c r="L752" s="10" t="str">
        <f aca="false">IF(A752="","",IF(IF(K752="No","Does not balance | ","")&amp;IF(I752="","Not approved | ",IF(UPPER(TRIM(H752))=UPPER(TRIM(I752)),"Self-approved | ",""))&amp;IF(J752="","No support | ","")&amp;IF(WEEKDAY(B752,2)&gt;5,"Weekend posting | ","")&amp;IF(COUNTIF(Settings!$A$14:$A$43,B752)&gt;0,"Holiday posting | ","")&amp;IF(B752&gt;Settings!$C$8,"Posted after close | ","")&amp;IF(OR(B752&lt;Settings!$C$6,B752&gt;Settings!$C$7),"Outside period | ","")&amp;IF(COUNTIF(Settings!$E$14:$E$43,C752&amp;"")&gt;0,"Sensitive account | ","")&amp;IF(AND(MAX(N(E752),N(F752))&gt;=Settings!$C$9,MOD(MAX(N(E752),N(F752)),Settings!$C$10)=0),"Round amount | ","")="","",LEFT(IF(K752="No","Does not balance | ","")&amp;IF(I752="","Not approved | ",IF(UPPER(TRIM(H752))=UPPER(TRIM(I752)),"Self-approved | ",""))&amp;IF(J752="","No support | ","")&amp;IF(WEEKDAY(B752,2)&gt;5,"Weekend posting | ","")&amp;IF(COUNTIF(Settings!$A$14:$A$43,B752)&gt;0,"Holiday posting | ","")&amp;IF(B752&gt;Settings!$C$8,"Posted after close | ","")&amp;IF(OR(B752&lt;Settings!$C$6,B752&gt;Settings!$C$7),"Outside period | ","")&amp;IF(COUNTIF(Settings!$E$14:$E$43,C752&amp;"")&gt;0,"Sensitive account | ","")&amp;IF(AND(MAX(N(E752),N(F752))&gt;=Settings!$C$9,MOD(MAX(N(E752),N(F752)),Settings!$C$10)=0),"Round amount | ",""),LEN(IF(K752="No","Does not balance | ","")&amp;IF(I752="","Not approved | ",IF(UPPER(TRIM(H752))=UPPER(TRIM(I752)),"Self-approved | ",""))&amp;IF(J752="","No support | ","")&amp;IF(WEEKDAY(B752,2)&gt;5,"Weekend posting | ","")&amp;IF(COUNTIF(Settings!$A$14:$A$43,B752)&gt;0,"Holiday posting | ","")&amp;IF(B752&gt;Settings!$C$8,"Posted after close | ","")&amp;IF(OR(B752&lt;Settings!$C$6,B752&gt;Settings!$C$7),"Outside period | ","")&amp;IF(COUNTIF(Settings!$E$14:$E$43,C752&amp;"")&gt;0,"Sensitive account | ","")&amp;IF(AND(MAX(N(E752),N(F752))&gt;=Settings!$C$9,MOD(MAX(N(E752),N(F752)),Settings!$C$10)=0),"Round amount | ",""))-3)))</f>
        <v/>
      </c>
      <c r="M752" s="21" t="str">
        <f aca="false">IF(A752="","",IF(COUNTIF($A$9:A752,A752)=1,MAX($M$8:M751)+1,""))</f>
        <v/>
      </c>
    </row>
    <row r="753" customFormat="false" ht="15" hidden="false" customHeight="false" outlineLevel="0" collapsed="false">
      <c r="A753" s="8"/>
      <c r="B753" s="17"/>
      <c r="C753" s="19"/>
      <c r="D753" s="8"/>
      <c r="E753" s="18"/>
      <c r="F753" s="18"/>
      <c r="G753" s="8"/>
      <c r="H753" s="8"/>
      <c r="I753" s="8"/>
      <c r="J753" s="8"/>
      <c r="K753" s="10" t="str">
        <f aca="false">IF(A753="","",IF(ABS(SUMIFS($E$9:$E$2008,$A$9:$A$2008,A753)-SUMIFS($F$9:$F$2008,$A$9:$A$2008,A753))&lt;0.5,"Yes","No"))</f>
        <v/>
      </c>
      <c r="L753" s="10" t="str">
        <f aca="false">IF(A753="","",IF(IF(K753="No","Does not balance | ","")&amp;IF(I753="","Not approved | ",IF(UPPER(TRIM(H753))=UPPER(TRIM(I753)),"Self-approved | ",""))&amp;IF(J753="","No support | ","")&amp;IF(WEEKDAY(B753,2)&gt;5,"Weekend posting | ","")&amp;IF(COUNTIF(Settings!$A$14:$A$43,B753)&gt;0,"Holiday posting | ","")&amp;IF(B753&gt;Settings!$C$8,"Posted after close | ","")&amp;IF(OR(B753&lt;Settings!$C$6,B753&gt;Settings!$C$7),"Outside period | ","")&amp;IF(COUNTIF(Settings!$E$14:$E$43,C753&amp;"")&gt;0,"Sensitive account | ","")&amp;IF(AND(MAX(N(E753),N(F753))&gt;=Settings!$C$9,MOD(MAX(N(E753),N(F753)),Settings!$C$10)=0),"Round amount | ","")="","",LEFT(IF(K753="No","Does not balance | ","")&amp;IF(I753="","Not approved | ",IF(UPPER(TRIM(H753))=UPPER(TRIM(I753)),"Self-approved | ",""))&amp;IF(J753="","No support | ","")&amp;IF(WEEKDAY(B753,2)&gt;5,"Weekend posting | ","")&amp;IF(COUNTIF(Settings!$A$14:$A$43,B753)&gt;0,"Holiday posting | ","")&amp;IF(B753&gt;Settings!$C$8,"Posted after close | ","")&amp;IF(OR(B753&lt;Settings!$C$6,B753&gt;Settings!$C$7),"Outside period | ","")&amp;IF(COUNTIF(Settings!$E$14:$E$43,C753&amp;"")&gt;0,"Sensitive account | ","")&amp;IF(AND(MAX(N(E753),N(F753))&gt;=Settings!$C$9,MOD(MAX(N(E753),N(F753)),Settings!$C$10)=0),"Round amount | ",""),LEN(IF(K753="No","Does not balance | ","")&amp;IF(I753="","Not approved | ",IF(UPPER(TRIM(H753))=UPPER(TRIM(I753)),"Self-approved | ",""))&amp;IF(J753="","No support | ","")&amp;IF(WEEKDAY(B753,2)&gt;5,"Weekend posting | ","")&amp;IF(COUNTIF(Settings!$A$14:$A$43,B753)&gt;0,"Holiday posting | ","")&amp;IF(B753&gt;Settings!$C$8,"Posted after close | ","")&amp;IF(OR(B753&lt;Settings!$C$6,B753&gt;Settings!$C$7),"Outside period | ","")&amp;IF(COUNTIF(Settings!$E$14:$E$43,C753&amp;"")&gt;0,"Sensitive account | ","")&amp;IF(AND(MAX(N(E753),N(F753))&gt;=Settings!$C$9,MOD(MAX(N(E753),N(F753)),Settings!$C$10)=0),"Round amount | ",""))-3)))</f>
        <v/>
      </c>
      <c r="M753" s="21" t="str">
        <f aca="false">IF(A753="","",IF(COUNTIF($A$9:A753,A753)=1,MAX($M$8:M752)+1,""))</f>
        <v/>
      </c>
    </row>
    <row r="754" customFormat="false" ht="15" hidden="false" customHeight="false" outlineLevel="0" collapsed="false">
      <c r="A754" s="8"/>
      <c r="B754" s="17"/>
      <c r="C754" s="19"/>
      <c r="D754" s="8"/>
      <c r="E754" s="18"/>
      <c r="F754" s="18"/>
      <c r="G754" s="8"/>
      <c r="H754" s="8"/>
      <c r="I754" s="8"/>
      <c r="J754" s="8"/>
      <c r="K754" s="10" t="str">
        <f aca="false">IF(A754="","",IF(ABS(SUMIFS($E$9:$E$2008,$A$9:$A$2008,A754)-SUMIFS($F$9:$F$2008,$A$9:$A$2008,A754))&lt;0.5,"Yes","No"))</f>
        <v/>
      </c>
      <c r="L754" s="10" t="str">
        <f aca="false">IF(A754="","",IF(IF(K754="No","Does not balance | ","")&amp;IF(I754="","Not approved | ",IF(UPPER(TRIM(H754))=UPPER(TRIM(I754)),"Self-approved | ",""))&amp;IF(J754="","No support | ","")&amp;IF(WEEKDAY(B754,2)&gt;5,"Weekend posting | ","")&amp;IF(COUNTIF(Settings!$A$14:$A$43,B754)&gt;0,"Holiday posting | ","")&amp;IF(B754&gt;Settings!$C$8,"Posted after close | ","")&amp;IF(OR(B754&lt;Settings!$C$6,B754&gt;Settings!$C$7),"Outside period | ","")&amp;IF(COUNTIF(Settings!$E$14:$E$43,C754&amp;"")&gt;0,"Sensitive account | ","")&amp;IF(AND(MAX(N(E754),N(F754))&gt;=Settings!$C$9,MOD(MAX(N(E754),N(F754)),Settings!$C$10)=0),"Round amount | ","")="","",LEFT(IF(K754="No","Does not balance | ","")&amp;IF(I754="","Not approved | ",IF(UPPER(TRIM(H754))=UPPER(TRIM(I754)),"Self-approved | ",""))&amp;IF(J754="","No support | ","")&amp;IF(WEEKDAY(B754,2)&gt;5,"Weekend posting | ","")&amp;IF(COUNTIF(Settings!$A$14:$A$43,B754)&gt;0,"Holiday posting | ","")&amp;IF(B754&gt;Settings!$C$8,"Posted after close | ","")&amp;IF(OR(B754&lt;Settings!$C$6,B754&gt;Settings!$C$7),"Outside period | ","")&amp;IF(COUNTIF(Settings!$E$14:$E$43,C754&amp;"")&gt;0,"Sensitive account | ","")&amp;IF(AND(MAX(N(E754),N(F754))&gt;=Settings!$C$9,MOD(MAX(N(E754),N(F754)),Settings!$C$10)=0),"Round amount | ",""),LEN(IF(K754="No","Does not balance | ","")&amp;IF(I754="","Not approved | ",IF(UPPER(TRIM(H754))=UPPER(TRIM(I754)),"Self-approved | ",""))&amp;IF(J754="","No support | ","")&amp;IF(WEEKDAY(B754,2)&gt;5,"Weekend posting | ","")&amp;IF(COUNTIF(Settings!$A$14:$A$43,B754)&gt;0,"Holiday posting | ","")&amp;IF(B754&gt;Settings!$C$8,"Posted after close | ","")&amp;IF(OR(B754&lt;Settings!$C$6,B754&gt;Settings!$C$7),"Outside period | ","")&amp;IF(COUNTIF(Settings!$E$14:$E$43,C754&amp;"")&gt;0,"Sensitive account | ","")&amp;IF(AND(MAX(N(E754),N(F754))&gt;=Settings!$C$9,MOD(MAX(N(E754),N(F754)),Settings!$C$10)=0),"Round amount | ",""))-3)))</f>
        <v/>
      </c>
      <c r="M754" s="21" t="str">
        <f aca="false">IF(A754="","",IF(COUNTIF($A$9:A754,A754)=1,MAX($M$8:M753)+1,""))</f>
        <v/>
      </c>
    </row>
    <row r="755" customFormat="false" ht="15" hidden="false" customHeight="false" outlineLevel="0" collapsed="false">
      <c r="A755" s="8"/>
      <c r="B755" s="17"/>
      <c r="C755" s="19"/>
      <c r="D755" s="8"/>
      <c r="E755" s="18"/>
      <c r="F755" s="18"/>
      <c r="G755" s="8"/>
      <c r="H755" s="8"/>
      <c r="I755" s="8"/>
      <c r="J755" s="8"/>
      <c r="K755" s="10" t="str">
        <f aca="false">IF(A755="","",IF(ABS(SUMIFS($E$9:$E$2008,$A$9:$A$2008,A755)-SUMIFS($F$9:$F$2008,$A$9:$A$2008,A755))&lt;0.5,"Yes","No"))</f>
        <v/>
      </c>
      <c r="L755" s="10" t="str">
        <f aca="false">IF(A755="","",IF(IF(K755="No","Does not balance | ","")&amp;IF(I755="","Not approved | ",IF(UPPER(TRIM(H755))=UPPER(TRIM(I755)),"Self-approved | ",""))&amp;IF(J755="","No support | ","")&amp;IF(WEEKDAY(B755,2)&gt;5,"Weekend posting | ","")&amp;IF(COUNTIF(Settings!$A$14:$A$43,B755)&gt;0,"Holiday posting | ","")&amp;IF(B755&gt;Settings!$C$8,"Posted after close | ","")&amp;IF(OR(B755&lt;Settings!$C$6,B755&gt;Settings!$C$7),"Outside period | ","")&amp;IF(COUNTIF(Settings!$E$14:$E$43,C755&amp;"")&gt;0,"Sensitive account | ","")&amp;IF(AND(MAX(N(E755),N(F755))&gt;=Settings!$C$9,MOD(MAX(N(E755),N(F755)),Settings!$C$10)=0),"Round amount | ","")="","",LEFT(IF(K755="No","Does not balance | ","")&amp;IF(I755="","Not approved | ",IF(UPPER(TRIM(H755))=UPPER(TRIM(I755)),"Self-approved | ",""))&amp;IF(J755="","No support | ","")&amp;IF(WEEKDAY(B755,2)&gt;5,"Weekend posting | ","")&amp;IF(COUNTIF(Settings!$A$14:$A$43,B755)&gt;0,"Holiday posting | ","")&amp;IF(B755&gt;Settings!$C$8,"Posted after close | ","")&amp;IF(OR(B755&lt;Settings!$C$6,B755&gt;Settings!$C$7),"Outside period | ","")&amp;IF(COUNTIF(Settings!$E$14:$E$43,C755&amp;"")&gt;0,"Sensitive account | ","")&amp;IF(AND(MAX(N(E755),N(F755))&gt;=Settings!$C$9,MOD(MAX(N(E755),N(F755)),Settings!$C$10)=0),"Round amount | ",""),LEN(IF(K755="No","Does not balance | ","")&amp;IF(I755="","Not approved | ",IF(UPPER(TRIM(H755))=UPPER(TRIM(I755)),"Self-approved | ",""))&amp;IF(J755="","No support | ","")&amp;IF(WEEKDAY(B755,2)&gt;5,"Weekend posting | ","")&amp;IF(COUNTIF(Settings!$A$14:$A$43,B755)&gt;0,"Holiday posting | ","")&amp;IF(B755&gt;Settings!$C$8,"Posted after close | ","")&amp;IF(OR(B755&lt;Settings!$C$6,B755&gt;Settings!$C$7),"Outside period | ","")&amp;IF(COUNTIF(Settings!$E$14:$E$43,C755&amp;"")&gt;0,"Sensitive account | ","")&amp;IF(AND(MAX(N(E755),N(F755))&gt;=Settings!$C$9,MOD(MAX(N(E755),N(F755)),Settings!$C$10)=0),"Round amount | ",""))-3)))</f>
        <v/>
      </c>
      <c r="M755" s="21" t="str">
        <f aca="false">IF(A755="","",IF(COUNTIF($A$9:A755,A755)=1,MAX($M$8:M754)+1,""))</f>
        <v/>
      </c>
    </row>
    <row r="756" customFormat="false" ht="15" hidden="false" customHeight="false" outlineLevel="0" collapsed="false">
      <c r="A756" s="8"/>
      <c r="B756" s="17"/>
      <c r="C756" s="19"/>
      <c r="D756" s="8"/>
      <c r="E756" s="18"/>
      <c r="F756" s="18"/>
      <c r="G756" s="8"/>
      <c r="H756" s="8"/>
      <c r="I756" s="8"/>
      <c r="J756" s="8"/>
      <c r="K756" s="10" t="str">
        <f aca="false">IF(A756="","",IF(ABS(SUMIFS($E$9:$E$2008,$A$9:$A$2008,A756)-SUMIFS($F$9:$F$2008,$A$9:$A$2008,A756))&lt;0.5,"Yes","No"))</f>
        <v/>
      </c>
      <c r="L756" s="10" t="str">
        <f aca="false">IF(A756="","",IF(IF(K756="No","Does not balance | ","")&amp;IF(I756="","Not approved | ",IF(UPPER(TRIM(H756))=UPPER(TRIM(I756)),"Self-approved | ",""))&amp;IF(J756="","No support | ","")&amp;IF(WEEKDAY(B756,2)&gt;5,"Weekend posting | ","")&amp;IF(COUNTIF(Settings!$A$14:$A$43,B756)&gt;0,"Holiday posting | ","")&amp;IF(B756&gt;Settings!$C$8,"Posted after close | ","")&amp;IF(OR(B756&lt;Settings!$C$6,B756&gt;Settings!$C$7),"Outside period | ","")&amp;IF(COUNTIF(Settings!$E$14:$E$43,C756&amp;"")&gt;0,"Sensitive account | ","")&amp;IF(AND(MAX(N(E756),N(F756))&gt;=Settings!$C$9,MOD(MAX(N(E756),N(F756)),Settings!$C$10)=0),"Round amount | ","")="","",LEFT(IF(K756="No","Does not balance | ","")&amp;IF(I756="","Not approved | ",IF(UPPER(TRIM(H756))=UPPER(TRIM(I756)),"Self-approved | ",""))&amp;IF(J756="","No support | ","")&amp;IF(WEEKDAY(B756,2)&gt;5,"Weekend posting | ","")&amp;IF(COUNTIF(Settings!$A$14:$A$43,B756)&gt;0,"Holiday posting | ","")&amp;IF(B756&gt;Settings!$C$8,"Posted after close | ","")&amp;IF(OR(B756&lt;Settings!$C$6,B756&gt;Settings!$C$7),"Outside period | ","")&amp;IF(COUNTIF(Settings!$E$14:$E$43,C756&amp;"")&gt;0,"Sensitive account | ","")&amp;IF(AND(MAX(N(E756),N(F756))&gt;=Settings!$C$9,MOD(MAX(N(E756),N(F756)),Settings!$C$10)=0),"Round amount | ",""),LEN(IF(K756="No","Does not balance | ","")&amp;IF(I756="","Not approved | ",IF(UPPER(TRIM(H756))=UPPER(TRIM(I756)),"Self-approved | ",""))&amp;IF(J756="","No support | ","")&amp;IF(WEEKDAY(B756,2)&gt;5,"Weekend posting | ","")&amp;IF(COUNTIF(Settings!$A$14:$A$43,B756)&gt;0,"Holiday posting | ","")&amp;IF(B756&gt;Settings!$C$8,"Posted after close | ","")&amp;IF(OR(B756&lt;Settings!$C$6,B756&gt;Settings!$C$7),"Outside period | ","")&amp;IF(COUNTIF(Settings!$E$14:$E$43,C756&amp;"")&gt;0,"Sensitive account | ","")&amp;IF(AND(MAX(N(E756),N(F756))&gt;=Settings!$C$9,MOD(MAX(N(E756),N(F756)),Settings!$C$10)=0),"Round amount | ",""))-3)))</f>
        <v/>
      </c>
      <c r="M756" s="21" t="str">
        <f aca="false">IF(A756="","",IF(COUNTIF($A$9:A756,A756)=1,MAX($M$8:M755)+1,""))</f>
        <v/>
      </c>
    </row>
    <row r="757" customFormat="false" ht="15" hidden="false" customHeight="false" outlineLevel="0" collapsed="false">
      <c r="A757" s="8"/>
      <c r="B757" s="17"/>
      <c r="C757" s="19"/>
      <c r="D757" s="8"/>
      <c r="E757" s="18"/>
      <c r="F757" s="18"/>
      <c r="G757" s="8"/>
      <c r="H757" s="8"/>
      <c r="I757" s="8"/>
      <c r="J757" s="8"/>
      <c r="K757" s="10" t="str">
        <f aca="false">IF(A757="","",IF(ABS(SUMIFS($E$9:$E$2008,$A$9:$A$2008,A757)-SUMIFS($F$9:$F$2008,$A$9:$A$2008,A757))&lt;0.5,"Yes","No"))</f>
        <v/>
      </c>
      <c r="L757" s="10" t="str">
        <f aca="false">IF(A757="","",IF(IF(K757="No","Does not balance | ","")&amp;IF(I757="","Not approved | ",IF(UPPER(TRIM(H757))=UPPER(TRIM(I757)),"Self-approved | ",""))&amp;IF(J757="","No support | ","")&amp;IF(WEEKDAY(B757,2)&gt;5,"Weekend posting | ","")&amp;IF(COUNTIF(Settings!$A$14:$A$43,B757)&gt;0,"Holiday posting | ","")&amp;IF(B757&gt;Settings!$C$8,"Posted after close | ","")&amp;IF(OR(B757&lt;Settings!$C$6,B757&gt;Settings!$C$7),"Outside period | ","")&amp;IF(COUNTIF(Settings!$E$14:$E$43,C757&amp;"")&gt;0,"Sensitive account | ","")&amp;IF(AND(MAX(N(E757),N(F757))&gt;=Settings!$C$9,MOD(MAX(N(E757),N(F757)),Settings!$C$10)=0),"Round amount | ","")="","",LEFT(IF(K757="No","Does not balance | ","")&amp;IF(I757="","Not approved | ",IF(UPPER(TRIM(H757))=UPPER(TRIM(I757)),"Self-approved | ",""))&amp;IF(J757="","No support | ","")&amp;IF(WEEKDAY(B757,2)&gt;5,"Weekend posting | ","")&amp;IF(COUNTIF(Settings!$A$14:$A$43,B757)&gt;0,"Holiday posting | ","")&amp;IF(B757&gt;Settings!$C$8,"Posted after close | ","")&amp;IF(OR(B757&lt;Settings!$C$6,B757&gt;Settings!$C$7),"Outside period | ","")&amp;IF(COUNTIF(Settings!$E$14:$E$43,C757&amp;"")&gt;0,"Sensitive account | ","")&amp;IF(AND(MAX(N(E757),N(F757))&gt;=Settings!$C$9,MOD(MAX(N(E757),N(F757)),Settings!$C$10)=0),"Round amount | ",""),LEN(IF(K757="No","Does not balance | ","")&amp;IF(I757="","Not approved | ",IF(UPPER(TRIM(H757))=UPPER(TRIM(I757)),"Self-approved | ",""))&amp;IF(J757="","No support | ","")&amp;IF(WEEKDAY(B757,2)&gt;5,"Weekend posting | ","")&amp;IF(COUNTIF(Settings!$A$14:$A$43,B757)&gt;0,"Holiday posting | ","")&amp;IF(B757&gt;Settings!$C$8,"Posted after close | ","")&amp;IF(OR(B757&lt;Settings!$C$6,B757&gt;Settings!$C$7),"Outside period | ","")&amp;IF(COUNTIF(Settings!$E$14:$E$43,C757&amp;"")&gt;0,"Sensitive account | ","")&amp;IF(AND(MAX(N(E757),N(F757))&gt;=Settings!$C$9,MOD(MAX(N(E757),N(F757)),Settings!$C$10)=0),"Round amount | ",""))-3)))</f>
        <v/>
      </c>
      <c r="M757" s="21" t="str">
        <f aca="false">IF(A757="","",IF(COUNTIF($A$9:A757,A757)=1,MAX($M$8:M756)+1,""))</f>
        <v/>
      </c>
    </row>
    <row r="758" customFormat="false" ht="15" hidden="false" customHeight="false" outlineLevel="0" collapsed="false">
      <c r="A758" s="8"/>
      <c r="B758" s="17"/>
      <c r="C758" s="19"/>
      <c r="D758" s="8"/>
      <c r="E758" s="18"/>
      <c r="F758" s="18"/>
      <c r="G758" s="8"/>
      <c r="H758" s="8"/>
      <c r="I758" s="8"/>
      <c r="J758" s="8"/>
      <c r="K758" s="10" t="str">
        <f aca="false">IF(A758="","",IF(ABS(SUMIFS($E$9:$E$2008,$A$9:$A$2008,A758)-SUMIFS($F$9:$F$2008,$A$9:$A$2008,A758))&lt;0.5,"Yes","No"))</f>
        <v/>
      </c>
      <c r="L758" s="10" t="str">
        <f aca="false">IF(A758="","",IF(IF(K758="No","Does not balance | ","")&amp;IF(I758="","Not approved | ",IF(UPPER(TRIM(H758))=UPPER(TRIM(I758)),"Self-approved | ",""))&amp;IF(J758="","No support | ","")&amp;IF(WEEKDAY(B758,2)&gt;5,"Weekend posting | ","")&amp;IF(COUNTIF(Settings!$A$14:$A$43,B758)&gt;0,"Holiday posting | ","")&amp;IF(B758&gt;Settings!$C$8,"Posted after close | ","")&amp;IF(OR(B758&lt;Settings!$C$6,B758&gt;Settings!$C$7),"Outside period | ","")&amp;IF(COUNTIF(Settings!$E$14:$E$43,C758&amp;"")&gt;0,"Sensitive account | ","")&amp;IF(AND(MAX(N(E758),N(F758))&gt;=Settings!$C$9,MOD(MAX(N(E758),N(F758)),Settings!$C$10)=0),"Round amount | ","")="","",LEFT(IF(K758="No","Does not balance | ","")&amp;IF(I758="","Not approved | ",IF(UPPER(TRIM(H758))=UPPER(TRIM(I758)),"Self-approved | ",""))&amp;IF(J758="","No support | ","")&amp;IF(WEEKDAY(B758,2)&gt;5,"Weekend posting | ","")&amp;IF(COUNTIF(Settings!$A$14:$A$43,B758)&gt;0,"Holiday posting | ","")&amp;IF(B758&gt;Settings!$C$8,"Posted after close | ","")&amp;IF(OR(B758&lt;Settings!$C$6,B758&gt;Settings!$C$7),"Outside period | ","")&amp;IF(COUNTIF(Settings!$E$14:$E$43,C758&amp;"")&gt;0,"Sensitive account | ","")&amp;IF(AND(MAX(N(E758),N(F758))&gt;=Settings!$C$9,MOD(MAX(N(E758),N(F758)),Settings!$C$10)=0),"Round amount | ",""),LEN(IF(K758="No","Does not balance | ","")&amp;IF(I758="","Not approved | ",IF(UPPER(TRIM(H758))=UPPER(TRIM(I758)),"Self-approved | ",""))&amp;IF(J758="","No support | ","")&amp;IF(WEEKDAY(B758,2)&gt;5,"Weekend posting | ","")&amp;IF(COUNTIF(Settings!$A$14:$A$43,B758)&gt;0,"Holiday posting | ","")&amp;IF(B758&gt;Settings!$C$8,"Posted after close | ","")&amp;IF(OR(B758&lt;Settings!$C$6,B758&gt;Settings!$C$7),"Outside period | ","")&amp;IF(COUNTIF(Settings!$E$14:$E$43,C758&amp;"")&gt;0,"Sensitive account | ","")&amp;IF(AND(MAX(N(E758),N(F758))&gt;=Settings!$C$9,MOD(MAX(N(E758),N(F758)),Settings!$C$10)=0),"Round amount | ",""))-3)))</f>
        <v/>
      </c>
      <c r="M758" s="21" t="str">
        <f aca="false">IF(A758="","",IF(COUNTIF($A$9:A758,A758)=1,MAX($M$8:M757)+1,""))</f>
        <v/>
      </c>
    </row>
    <row r="759" customFormat="false" ht="15" hidden="false" customHeight="false" outlineLevel="0" collapsed="false">
      <c r="A759" s="8"/>
      <c r="B759" s="17"/>
      <c r="C759" s="19"/>
      <c r="D759" s="8"/>
      <c r="E759" s="18"/>
      <c r="F759" s="18"/>
      <c r="G759" s="8"/>
      <c r="H759" s="8"/>
      <c r="I759" s="8"/>
      <c r="J759" s="8"/>
      <c r="K759" s="10" t="str">
        <f aca="false">IF(A759="","",IF(ABS(SUMIFS($E$9:$E$2008,$A$9:$A$2008,A759)-SUMIFS($F$9:$F$2008,$A$9:$A$2008,A759))&lt;0.5,"Yes","No"))</f>
        <v/>
      </c>
      <c r="L759" s="10" t="str">
        <f aca="false">IF(A759="","",IF(IF(K759="No","Does not balance | ","")&amp;IF(I759="","Not approved | ",IF(UPPER(TRIM(H759))=UPPER(TRIM(I759)),"Self-approved | ",""))&amp;IF(J759="","No support | ","")&amp;IF(WEEKDAY(B759,2)&gt;5,"Weekend posting | ","")&amp;IF(COUNTIF(Settings!$A$14:$A$43,B759)&gt;0,"Holiday posting | ","")&amp;IF(B759&gt;Settings!$C$8,"Posted after close | ","")&amp;IF(OR(B759&lt;Settings!$C$6,B759&gt;Settings!$C$7),"Outside period | ","")&amp;IF(COUNTIF(Settings!$E$14:$E$43,C759&amp;"")&gt;0,"Sensitive account | ","")&amp;IF(AND(MAX(N(E759),N(F759))&gt;=Settings!$C$9,MOD(MAX(N(E759),N(F759)),Settings!$C$10)=0),"Round amount | ","")="","",LEFT(IF(K759="No","Does not balance | ","")&amp;IF(I759="","Not approved | ",IF(UPPER(TRIM(H759))=UPPER(TRIM(I759)),"Self-approved | ",""))&amp;IF(J759="","No support | ","")&amp;IF(WEEKDAY(B759,2)&gt;5,"Weekend posting | ","")&amp;IF(COUNTIF(Settings!$A$14:$A$43,B759)&gt;0,"Holiday posting | ","")&amp;IF(B759&gt;Settings!$C$8,"Posted after close | ","")&amp;IF(OR(B759&lt;Settings!$C$6,B759&gt;Settings!$C$7),"Outside period | ","")&amp;IF(COUNTIF(Settings!$E$14:$E$43,C759&amp;"")&gt;0,"Sensitive account | ","")&amp;IF(AND(MAX(N(E759),N(F759))&gt;=Settings!$C$9,MOD(MAX(N(E759),N(F759)),Settings!$C$10)=0),"Round amount | ",""),LEN(IF(K759="No","Does not balance | ","")&amp;IF(I759="","Not approved | ",IF(UPPER(TRIM(H759))=UPPER(TRIM(I759)),"Self-approved | ",""))&amp;IF(J759="","No support | ","")&amp;IF(WEEKDAY(B759,2)&gt;5,"Weekend posting | ","")&amp;IF(COUNTIF(Settings!$A$14:$A$43,B759)&gt;0,"Holiday posting | ","")&amp;IF(B759&gt;Settings!$C$8,"Posted after close | ","")&amp;IF(OR(B759&lt;Settings!$C$6,B759&gt;Settings!$C$7),"Outside period | ","")&amp;IF(COUNTIF(Settings!$E$14:$E$43,C759&amp;"")&gt;0,"Sensitive account | ","")&amp;IF(AND(MAX(N(E759),N(F759))&gt;=Settings!$C$9,MOD(MAX(N(E759),N(F759)),Settings!$C$10)=0),"Round amount | ",""))-3)))</f>
        <v/>
      </c>
      <c r="M759" s="21" t="str">
        <f aca="false">IF(A759="","",IF(COUNTIF($A$9:A759,A759)=1,MAX($M$8:M758)+1,""))</f>
        <v/>
      </c>
    </row>
    <row r="760" customFormat="false" ht="15" hidden="false" customHeight="false" outlineLevel="0" collapsed="false">
      <c r="A760" s="8"/>
      <c r="B760" s="17"/>
      <c r="C760" s="19"/>
      <c r="D760" s="8"/>
      <c r="E760" s="18"/>
      <c r="F760" s="18"/>
      <c r="G760" s="8"/>
      <c r="H760" s="8"/>
      <c r="I760" s="8"/>
      <c r="J760" s="8"/>
      <c r="K760" s="10" t="str">
        <f aca="false">IF(A760="","",IF(ABS(SUMIFS($E$9:$E$2008,$A$9:$A$2008,A760)-SUMIFS($F$9:$F$2008,$A$9:$A$2008,A760))&lt;0.5,"Yes","No"))</f>
        <v/>
      </c>
      <c r="L760" s="10" t="str">
        <f aca="false">IF(A760="","",IF(IF(K760="No","Does not balance | ","")&amp;IF(I760="","Not approved | ",IF(UPPER(TRIM(H760))=UPPER(TRIM(I760)),"Self-approved | ",""))&amp;IF(J760="","No support | ","")&amp;IF(WEEKDAY(B760,2)&gt;5,"Weekend posting | ","")&amp;IF(COUNTIF(Settings!$A$14:$A$43,B760)&gt;0,"Holiday posting | ","")&amp;IF(B760&gt;Settings!$C$8,"Posted after close | ","")&amp;IF(OR(B760&lt;Settings!$C$6,B760&gt;Settings!$C$7),"Outside period | ","")&amp;IF(COUNTIF(Settings!$E$14:$E$43,C760&amp;"")&gt;0,"Sensitive account | ","")&amp;IF(AND(MAX(N(E760),N(F760))&gt;=Settings!$C$9,MOD(MAX(N(E760),N(F760)),Settings!$C$10)=0),"Round amount | ","")="","",LEFT(IF(K760="No","Does not balance | ","")&amp;IF(I760="","Not approved | ",IF(UPPER(TRIM(H760))=UPPER(TRIM(I760)),"Self-approved | ",""))&amp;IF(J760="","No support | ","")&amp;IF(WEEKDAY(B760,2)&gt;5,"Weekend posting | ","")&amp;IF(COUNTIF(Settings!$A$14:$A$43,B760)&gt;0,"Holiday posting | ","")&amp;IF(B760&gt;Settings!$C$8,"Posted after close | ","")&amp;IF(OR(B760&lt;Settings!$C$6,B760&gt;Settings!$C$7),"Outside period | ","")&amp;IF(COUNTIF(Settings!$E$14:$E$43,C760&amp;"")&gt;0,"Sensitive account | ","")&amp;IF(AND(MAX(N(E760),N(F760))&gt;=Settings!$C$9,MOD(MAX(N(E760),N(F760)),Settings!$C$10)=0),"Round amount | ",""),LEN(IF(K760="No","Does not balance | ","")&amp;IF(I760="","Not approved | ",IF(UPPER(TRIM(H760))=UPPER(TRIM(I760)),"Self-approved | ",""))&amp;IF(J760="","No support | ","")&amp;IF(WEEKDAY(B760,2)&gt;5,"Weekend posting | ","")&amp;IF(COUNTIF(Settings!$A$14:$A$43,B760)&gt;0,"Holiday posting | ","")&amp;IF(B760&gt;Settings!$C$8,"Posted after close | ","")&amp;IF(OR(B760&lt;Settings!$C$6,B760&gt;Settings!$C$7),"Outside period | ","")&amp;IF(COUNTIF(Settings!$E$14:$E$43,C760&amp;"")&gt;0,"Sensitive account | ","")&amp;IF(AND(MAX(N(E760),N(F760))&gt;=Settings!$C$9,MOD(MAX(N(E760),N(F760)),Settings!$C$10)=0),"Round amount | ",""))-3)))</f>
        <v/>
      </c>
      <c r="M760" s="21" t="str">
        <f aca="false">IF(A760="","",IF(COUNTIF($A$9:A760,A760)=1,MAX($M$8:M759)+1,""))</f>
        <v/>
      </c>
    </row>
    <row r="761" customFormat="false" ht="15" hidden="false" customHeight="false" outlineLevel="0" collapsed="false">
      <c r="A761" s="8"/>
      <c r="B761" s="17"/>
      <c r="C761" s="19"/>
      <c r="D761" s="8"/>
      <c r="E761" s="18"/>
      <c r="F761" s="18"/>
      <c r="G761" s="8"/>
      <c r="H761" s="8"/>
      <c r="I761" s="8"/>
      <c r="J761" s="8"/>
      <c r="K761" s="10" t="str">
        <f aca="false">IF(A761="","",IF(ABS(SUMIFS($E$9:$E$2008,$A$9:$A$2008,A761)-SUMIFS($F$9:$F$2008,$A$9:$A$2008,A761))&lt;0.5,"Yes","No"))</f>
        <v/>
      </c>
      <c r="L761" s="10" t="str">
        <f aca="false">IF(A761="","",IF(IF(K761="No","Does not balance | ","")&amp;IF(I761="","Not approved | ",IF(UPPER(TRIM(H761))=UPPER(TRIM(I761)),"Self-approved | ",""))&amp;IF(J761="","No support | ","")&amp;IF(WEEKDAY(B761,2)&gt;5,"Weekend posting | ","")&amp;IF(COUNTIF(Settings!$A$14:$A$43,B761)&gt;0,"Holiday posting | ","")&amp;IF(B761&gt;Settings!$C$8,"Posted after close | ","")&amp;IF(OR(B761&lt;Settings!$C$6,B761&gt;Settings!$C$7),"Outside period | ","")&amp;IF(COUNTIF(Settings!$E$14:$E$43,C761&amp;"")&gt;0,"Sensitive account | ","")&amp;IF(AND(MAX(N(E761),N(F761))&gt;=Settings!$C$9,MOD(MAX(N(E761),N(F761)),Settings!$C$10)=0),"Round amount | ","")="","",LEFT(IF(K761="No","Does not balance | ","")&amp;IF(I761="","Not approved | ",IF(UPPER(TRIM(H761))=UPPER(TRIM(I761)),"Self-approved | ",""))&amp;IF(J761="","No support | ","")&amp;IF(WEEKDAY(B761,2)&gt;5,"Weekend posting | ","")&amp;IF(COUNTIF(Settings!$A$14:$A$43,B761)&gt;0,"Holiday posting | ","")&amp;IF(B761&gt;Settings!$C$8,"Posted after close | ","")&amp;IF(OR(B761&lt;Settings!$C$6,B761&gt;Settings!$C$7),"Outside period | ","")&amp;IF(COUNTIF(Settings!$E$14:$E$43,C761&amp;"")&gt;0,"Sensitive account | ","")&amp;IF(AND(MAX(N(E761),N(F761))&gt;=Settings!$C$9,MOD(MAX(N(E761),N(F761)),Settings!$C$10)=0),"Round amount | ",""),LEN(IF(K761="No","Does not balance | ","")&amp;IF(I761="","Not approved | ",IF(UPPER(TRIM(H761))=UPPER(TRIM(I761)),"Self-approved | ",""))&amp;IF(J761="","No support | ","")&amp;IF(WEEKDAY(B761,2)&gt;5,"Weekend posting | ","")&amp;IF(COUNTIF(Settings!$A$14:$A$43,B761)&gt;0,"Holiday posting | ","")&amp;IF(B761&gt;Settings!$C$8,"Posted after close | ","")&amp;IF(OR(B761&lt;Settings!$C$6,B761&gt;Settings!$C$7),"Outside period | ","")&amp;IF(COUNTIF(Settings!$E$14:$E$43,C761&amp;"")&gt;0,"Sensitive account | ","")&amp;IF(AND(MAX(N(E761),N(F761))&gt;=Settings!$C$9,MOD(MAX(N(E761),N(F761)),Settings!$C$10)=0),"Round amount | ",""))-3)))</f>
        <v/>
      </c>
      <c r="M761" s="21" t="str">
        <f aca="false">IF(A761="","",IF(COUNTIF($A$9:A761,A761)=1,MAX($M$8:M760)+1,""))</f>
        <v/>
      </c>
    </row>
    <row r="762" customFormat="false" ht="15" hidden="false" customHeight="false" outlineLevel="0" collapsed="false">
      <c r="A762" s="8"/>
      <c r="B762" s="17"/>
      <c r="C762" s="19"/>
      <c r="D762" s="8"/>
      <c r="E762" s="18"/>
      <c r="F762" s="18"/>
      <c r="G762" s="8"/>
      <c r="H762" s="8"/>
      <c r="I762" s="8"/>
      <c r="J762" s="8"/>
      <c r="K762" s="10" t="str">
        <f aca="false">IF(A762="","",IF(ABS(SUMIFS($E$9:$E$2008,$A$9:$A$2008,A762)-SUMIFS($F$9:$F$2008,$A$9:$A$2008,A762))&lt;0.5,"Yes","No"))</f>
        <v/>
      </c>
      <c r="L762" s="10" t="str">
        <f aca="false">IF(A762="","",IF(IF(K762="No","Does not balance | ","")&amp;IF(I762="","Not approved | ",IF(UPPER(TRIM(H762))=UPPER(TRIM(I762)),"Self-approved | ",""))&amp;IF(J762="","No support | ","")&amp;IF(WEEKDAY(B762,2)&gt;5,"Weekend posting | ","")&amp;IF(COUNTIF(Settings!$A$14:$A$43,B762)&gt;0,"Holiday posting | ","")&amp;IF(B762&gt;Settings!$C$8,"Posted after close | ","")&amp;IF(OR(B762&lt;Settings!$C$6,B762&gt;Settings!$C$7),"Outside period | ","")&amp;IF(COUNTIF(Settings!$E$14:$E$43,C762&amp;"")&gt;0,"Sensitive account | ","")&amp;IF(AND(MAX(N(E762),N(F762))&gt;=Settings!$C$9,MOD(MAX(N(E762),N(F762)),Settings!$C$10)=0),"Round amount | ","")="","",LEFT(IF(K762="No","Does not balance | ","")&amp;IF(I762="","Not approved | ",IF(UPPER(TRIM(H762))=UPPER(TRIM(I762)),"Self-approved | ",""))&amp;IF(J762="","No support | ","")&amp;IF(WEEKDAY(B762,2)&gt;5,"Weekend posting | ","")&amp;IF(COUNTIF(Settings!$A$14:$A$43,B762)&gt;0,"Holiday posting | ","")&amp;IF(B762&gt;Settings!$C$8,"Posted after close | ","")&amp;IF(OR(B762&lt;Settings!$C$6,B762&gt;Settings!$C$7),"Outside period | ","")&amp;IF(COUNTIF(Settings!$E$14:$E$43,C762&amp;"")&gt;0,"Sensitive account | ","")&amp;IF(AND(MAX(N(E762),N(F762))&gt;=Settings!$C$9,MOD(MAX(N(E762),N(F762)),Settings!$C$10)=0),"Round amount | ",""),LEN(IF(K762="No","Does not balance | ","")&amp;IF(I762="","Not approved | ",IF(UPPER(TRIM(H762))=UPPER(TRIM(I762)),"Self-approved | ",""))&amp;IF(J762="","No support | ","")&amp;IF(WEEKDAY(B762,2)&gt;5,"Weekend posting | ","")&amp;IF(COUNTIF(Settings!$A$14:$A$43,B762)&gt;0,"Holiday posting | ","")&amp;IF(B762&gt;Settings!$C$8,"Posted after close | ","")&amp;IF(OR(B762&lt;Settings!$C$6,B762&gt;Settings!$C$7),"Outside period | ","")&amp;IF(COUNTIF(Settings!$E$14:$E$43,C762&amp;"")&gt;0,"Sensitive account | ","")&amp;IF(AND(MAX(N(E762),N(F762))&gt;=Settings!$C$9,MOD(MAX(N(E762),N(F762)),Settings!$C$10)=0),"Round amount | ",""))-3)))</f>
        <v/>
      </c>
      <c r="M762" s="21" t="str">
        <f aca="false">IF(A762="","",IF(COUNTIF($A$9:A762,A762)=1,MAX($M$8:M761)+1,""))</f>
        <v/>
      </c>
    </row>
    <row r="763" customFormat="false" ht="15" hidden="false" customHeight="false" outlineLevel="0" collapsed="false">
      <c r="A763" s="8"/>
      <c r="B763" s="17"/>
      <c r="C763" s="19"/>
      <c r="D763" s="8"/>
      <c r="E763" s="18"/>
      <c r="F763" s="18"/>
      <c r="G763" s="8"/>
      <c r="H763" s="8"/>
      <c r="I763" s="8"/>
      <c r="J763" s="8"/>
      <c r="K763" s="10" t="str">
        <f aca="false">IF(A763="","",IF(ABS(SUMIFS($E$9:$E$2008,$A$9:$A$2008,A763)-SUMIFS($F$9:$F$2008,$A$9:$A$2008,A763))&lt;0.5,"Yes","No"))</f>
        <v/>
      </c>
      <c r="L763" s="10" t="str">
        <f aca="false">IF(A763="","",IF(IF(K763="No","Does not balance | ","")&amp;IF(I763="","Not approved | ",IF(UPPER(TRIM(H763))=UPPER(TRIM(I763)),"Self-approved | ",""))&amp;IF(J763="","No support | ","")&amp;IF(WEEKDAY(B763,2)&gt;5,"Weekend posting | ","")&amp;IF(COUNTIF(Settings!$A$14:$A$43,B763)&gt;0,"Holiday posting | ","")&amp;IF(B763&gt;Settings!$C$8,"Posted after close | ","")&amp;IF(OR(B763&lt;Settings!$C$6,B763&gt;Settings!$C$7),"Outside period | ","")&amp;IF(COUNTIF(Settings!$E$14:$E$43,C763&amp;"")&gt;0,"Sensitive account | ","")&amp;IF(AND(MAX(N(E763),N(F763))&gt;=Settings!$C$9,MOD(MAX(N(E763),N(F763)),Settings!$C$10)=0),"Round amount | ","")="","",LEFT(IF(K763="No","Does not balance | ","")&amp;IF(I763="","Not approved | ",IF(UPPER(TRIM(H763))=UPPER(TRIM(I763)),"Self-approved | ",""))&amp;IF(J763="","No support | ","")&amp;IF(WEEKDAY(B763,2)&gt;5,"Weekend posting | ","")&amp;IF(COUNTIF(Settings!$A$14:$A$43,B763)&gt;0,"Holiday posting | ","")&amp;IF(B763&gt;Settings!$C$8,"Posted after close | ","")&amp;IF(OR(B763&lt;Settings!$C$6,B763&gt;Settings!$C$7),"Outside period | ","")&amp;IF(COUNTIF(Settings!$E$14:$E$43,C763&amp;"")&gt;0,"Sensitive account | ","")&amp;IF(AND(MAX(N(E763),N(F763))&gt;=Settings!$C$9,MOD(MAX(N(E763),N(F763)),Settings!$C$10)=0),"Round amount | ",""),LEN(IF(K763="No","Does not balance | ","")&amp;IF(I763="","Not approved | ",IF(UPPER(TRIM(H763))=UPPER(TRIM(I763)),"Self-approved | ",""))&amp;IF(J763="","No support | ","")&amp;IF(WEEKDAY(B763,2)&gt;5,"Weekend posting | ","")&amp;IF(COUNTIF(Settings!$A$14:$A$43,B763)&gt;0,"Holiday posting | ","")&amp;IF(B763&gt;Settings!$C$8,"Posted after close | ","")&amp;IF(OR(B763&lt;Settings!$C$6,B763&gt;Settings!$C$7),"Outside period | ","")&amp;IF(COUNTIF(Settings!$E$14:$E$43,C763&amp;"")&gt;0,"Sensitive account | ","")&amp;IF(AND(MAX(N(E763),N(F763))&gt;=Settings!$C$9,MOD(MAX(N(E763),N(F763)),Settings!$C$10)=0),"Round amount | ",""))-3)))</f>
        <v/>
      </c>
      <c r="M763" s="21" t="str">
        <f aca="false">IF(A763="","",IF(COUNTIF($A$9:A763,A763)=1,MAX($M$8:M762)+1,""))</f>
        <v/>
      </c>
    </row>
    <row r="764" customFormat="false" ht="15" hidden="false" customHeight="false" outlineLevel="0" collapsed="false">
      <c r="A764" s="8"/>
      <c r="B764" s="17"/>
      <c r="C764" s="19"/>
      <c r="D764" s="8"/>
      <c r="E764" s="18"/>
      <c r="F764" s="18"/>
      <c r="G764" s="8"/>
      <c r="H764" s="8"/>
      <c r="I764" s="8"/>
      <c r="J764" s="8"/>
      <c r="K764" s="10" t="str">
        <f aca="false">IF(A764="","",IF(ABS(SUMIFS($E$9:$E$2008,$A$9:$A$2008,A764)-SUMIFS($F$9:$F$2008,$A$9:$A$2008,A764))&lt;0.5,"Yes","No"))</f>
        <v/>
      </c>
      <c r="L764" s="10" t="str">
        <f aca="false">IF(A764="","",IF(IF(K764="No","Does not balance | ","")&amp;IF(I764="","Not approved | ",IF(UPPER(TRIM(H764))=UPPER(TRIM(I764)),"Self-approved | ",""))&amp;IF(J764="","No support | ","")&amp;IF(WEEKDAY(B764,2)&gt;5,"Weekend posting | ","")&amp;IF(COUNTIF(Settings!$A$14:$A$43,B764)&gt;0,"Holiday posting | ","")&amp;IF(B764&gt;Settings!$C$8,"Posted after close | ","")&amp;IF(OR(B764&lt;Settings!$C$6,B764&gt;Settings!$C$7),"Outside period | ","")&amp;IF(COUNTIF(Settings!$E$14:$E$43,C764&amp;"")&gt;0,"Sensitive account | ","")&amp;IF(AND(MAX(N(E764),N(F764))&gt;=Settings!$C$9,MOD(MAX(N(E764),N(F764)),Settings!$C$10)=0),"Round amount | ","")="","",LEFT(IF(K764="No","Does not balance | ","")&amp;IF(I764="","Not approved | ",IF(UPPER(TRIM(H764))=UPPER(TRIM(I764)),"Self-approved | ",""))&amp;IF(J764="","No support | ","")&amp;IF(WEEKDAY(B764,2)&gt;5,"Weekend posting | ","")&amp;IF(COUNTIF(Settings!$A$14:$A$43,B764)&gt;0,"Holiday posting | ","")&amp;IF(B764&gt;Settings!$C$8,"Posted after close | ","")&amp;IF(OR(B764&lt;Settings!$C$6,B764&gt;Settings!$C$7),"Outside period | ","")&amp;IF(COUNTIF(Settings!$E$14:$E$43,C764&amp;"")&gt;0,"Sensitive account | ","")&amp;IF(AND(MAX(N(E764),N(F764))&gt;=Settings!$C$9,MOD(MAX(N(E764),N(F764)),Settings!$C$10)=0),"Round amount | ",""),LEN(IF(K764="No","Does not balance | ","")&amp;IF(I764="","Not approved | ",IF(UPPER(TRIM(H764))=UPPER(TRIM(I764)),"Self-approved | ",""))&amp;IF(J764="","No support | ","")&amp;IF(WEEKDAY(B764,2)&gt;5,"Weekend posting | ","")&amp;IF(COUNTIF(Settings!$A$14:$A$43,B764)&gt;0,"Holiday posting | ","")&amp;IF(B764&gt;Settings!$C$8,"Posted after close | ","")&amp;IF(OR(B764&lt;Settings!$C$6,B764&gt;Settings!$C$7),"Outside period | ","")&amp;IF(COUNTIF(Settings!$E$14:$E$43,C764&amp;"")&gt;0,"Sensitive account | ","")&amp;IF(AND(MAX(N(E764),N(F764))&gt;=Settings!$C$9,MOD(MAX(N(E764),N(F764)),Settings!$C$10)=0),"Round amount | ",""))-3)))</f>
        <v/>
      </c>
      <c r="M764" s="21" t="str">
        <f aca="false">IF(A764="","",IF(COUNTIF($A$9:A764,A764)=1,MAX($M$8:M763)+1,""))</f>
        <v/>
      </c>
    </row>
    <row r="765" customFormat="false" ht="15" hidden="false" customHeight="false" outlineLevel="0" collapsed="false">
      <c r="A765" s="8"/>
      <c r="B765" s="17"/>
      <c r="C765" s="19"/>
      <c r="D765" s="8"/>
      <c r="E765" s="18"/>
      <c r="F765" s="18"/>
      <c r="G765" s="8"/>
      <c r="H765" s="8"/>
      <c r="I765" s="8"/>
      <c r="J765" s="8"/>
      <c r="K765" s="10" t="str">
        <f aca="false">IF(A765="","",IF(ABS(SUMIFS($E$9:$E$2008,$A$9:$A$2008,A765)-SUMIFS($F$9:$F$2008,$A$9:$A$2008,A765))&lt;0.5,"Yes","No"))</f>
        <v/>
      </c>
      <c r="L765" s="10" t="str">
        <f aca="false">IF(A765="","",IF(IF(K765="No","Does not balance | ","")&amp;IF(I765="","Not approved | ",IF(UPPER(TRIM(H765))=UPPER(TRIM(I765)),"Self-approved | ",""))&amp;IF(J765="","No support | ","")&amp;IF(WEEKDAY(B765,2)&gt;5,"Weekend posting | ","")&amp;IF(COUNTIF(Settings!$A$14:$A$43,B765)&gt;0,"Holiday posting | ","")&amp;IF(B765&gt;Settings!$C$8,"Posted after close | ","")&amp;IF(OR(B765&lt;Settings!$C$6,B765&gt;Settings!$C$7),"Outside period | ","")&amp;IF(COUNTIF(Settings!$E$14:$E$43,C765&amp;"")&gt;0,"Sensitive account | ","")&amp;IF(AND(MAX(N(E765),N(F765))&gt;=Settings!$C$9,MOD(MAX(N(E765),N(F765)),Settings!$C$10)=0),"Round amount | ","")="","",LEFT(IF(K765="No","Does not balance | ","")&amp;IF(I765="","Not approved | ",IF(UPPER(TRIM(H765))=UPPER(TRIM(I765)),"Self-approved | ",""))&amp;IF(J765="","No support | ","")&amp;IF(WEEKDAY(B765,2)&gt;5,"Weekend posting | ","")&amp;IF(COUNTIF(Settings!$A$14:$A$43,B765)&gt;0,"Holiday posting | ","")&amp;IF(B765&gt;Settings!$C$8,"Posted after close | ","")&amp;IF(OR(B765&lt;Settings!$C$6,B765&gt;Settings!$C$7),"Outside period | ","")&amp;IF(COUNTIF(Settings!$E$14:$E$43,C765&amp;"")&gt;0,"Sensitive account | ","")&amp;IF(AND(MAX(N(E765),N(F765))&gt;=Settings!$C$9,MOD(MAX(N(E765),N(F765)),Settings!$C$10)=0),"Round amount | ",""),LEN(IF(K765="No","Does not balance | ","")&amp;IF(I765="","Not approved | ",IF(UPPER(TRIM(H765))=UPPER(TRIM(I765)),"Self-approved | ",""))&amp;IF(J765="","No support | ","")&amp;IF(WEEKDAY(B765,2)&gt;5,"Weekend posting | ","")&amp;IF(COUNTIF(Settings!$A$14:$A$43,B765)&gt;0,"Holiday posting | ","")&amp;IF(B765&gt;Settings!$C$8,"Posted after close | ","")&amp;IF(OR(B765&lt;Settings!$C$6,B765&gt;Settings!$C$7),"Outside period | ","")&amp;IF(COUNTIF(Settings!$E$14:$E$43,C765&amp;"")&gt;0,"Sensitive account | ","")&amp;IF(AND(MAX(N(E765),N(F765))&gt;=Settings!$C$9,MOD(MAX(N(E765),N(F765)),Settings!$C$10)=0),"Round amount | ",""))-3)))</f>
        <v/>
      </c>
      <c r="M765" s="21" t="str">
        <f aca="false">IF(A765="","",IF(COUNTIF($A$9:A765,A765)=1,MAX($M$8:M764)+1,""))</f>
        <v/>
      </c>
    </row>
    <row r="766" customFormat="false" ht="15" hidden="false" customHeight="false" outlineLevel="0" collapsed="false">
      <c r="A766" s="8"/>
      <c r="B766" s="17"/>
      <c r="C766" s="19"/>
      <c r="D766" s="8"/>
      <c r="E766" s="18"/>
      <c r="F766" s="18"/>
      <c r="G766" s="8"/>
      <c r="H766" s="8"/>
      <c r="I766" s="8"/>
      <c r="J766" s="8"/>
      <c r="K766" s="10" t="str">
        <f aca="false">IF(A766="","",IF(ABS(SUMIFS($E$9:$E$2008,$A$9:$A$2008,A766)-SUMIFS($F$9:$F$2008,$A$9:$A$2008,A766))&lt;0.5,"Yes","No"))</f>
        <v/>
      </c>
      <c r="L766" s="10" t="str">
        <f aca="false">IF(A766="","",IF(IF(K766="No","Does not balance | ","")&amp;IF(I766="","Not approved | ",IF(UPPER(TRIM(H766))=UPPER(TRIM(I766)),"Self-approved | ",""))&amp;IF(J766="","No support | ","")&amp;IF(WEEKDAY(B766,2)&gt;5,"Weekend posting | ","")&amp;IF(COUNTIF(Settings!$A$14:$A$43,B766)&gt;0,"Holiday posting | ","")&amp;IF(B766&gt;Settings!$C$8,"Posted after close | ","")&amp;IF(OR(B766&lt;Settings!$C$6,B766&gt;Settings!$C$7),"Outside period | ","")&amp;IF(COUNTIF(Settings!$E$14:$E$43,C766&amp;"")&gt;0,"Sensitive account | ","")&amp;IF(AND(MAX(N(E766),N(F766))&gt;=Settings!$C$9,MOD(MAX(N(E766),N(F766)),Settings!$C$10)=0),"Round amount | ","")="","",LEFT(IF(K766="No","Does not balance | ","")&amp;IF(I766="","Not approved | ",IF(UPPER(TRIM(H766))=UPPER(TRIM(I766)),"Self-approved | ",""))&amp;IF(J766="","No support | ","")&amp;IF(WEEKDAY(B766,2)&gt;5,"Weekend posting | ","")&amp;IF(COUNTIF(Settings!$A$14:$A$43,B766)&gt;0,"Holiday posting | ","")&amp;IF(B766&gt;Settings!$C$8,"Posted after close | ","")&amp;IF(OR(B766&lt;Settings!$C$6,B766&gt;Settings!$C$7),"Outside period | ","")&amp;IF(COUNTIF(Settings!$E$14:$E$43,C766&amp;"")&gt;0,"Sensitive account | ","")&amp;IF(AND(MAX(N(E766),N(F766))&gt;=Settings!$C$9,MOD(MAX(N(E766),N(F766)),Settings!$C$10)=0),"Round amount | ",""),LEN(IF(K766="No","Does not balance | ","")&amp;IF(I766="","Not approved | ",IF(UPPER(TRIM(H766))=UPPER(TRIM(I766)),"Self-approved | ",""))&amp;IF(J766="","No support | ","")&amp;IF(WEEKDAY(B766,2)&gt;5,"Weekend posting | ","")&amp;IF(COUNTIF(Settings!$A$14:$A$43,B766)&gt;0,"Holiday posting | ","")&amp;IF(B766&gt;Settings!$C$8,"Posted after close | ","")&amp;IF(OR(B766&lt;Settings!$C$6,B766&gt;Settings!$C$7),"Outside period | ","")&amp;IF(COUNTIF(Settings!$E$14:$E$43,C766&amp;"")&gt;0,"Sensitive account | ","")&amp;IF(AND(MAX(N(E766),N(F766))&gt;=Settings!$C$9,MOD(MAX(N(E766),N(F766)),Settings!$C$10)=0),"Round amount | ",""))-3)))</f>
        <v/>
      </c>
      <c r="M766" s="21" t="str">
        <f aca="false">IF(A766="","",IF(COUNTIF($A$9:A766,A766)=1,MAX($M$8:M765)+1,""))</f>
        <v/>
      </c>
    </row>
    <row r="767" customFormat="false" ht="15" hidden="false" customHeight="false" outlineLevel="0" collapsed="false">
      <c r="A767" s="8"/>
      <c r="B767" s="17"/>
      <c r="C767" s="19"/>
      <c r="D767" s="8"/>
      <c r="E767" s="18"/>
      <c r="F767" s="18"/>
      <c r="G767" s="8"/>
      <c r="H767" s="8"/>
      <c r="I767" s="8"/>
      <c r="J767" s="8"/>
      <c r="K767" s="10" t="str">
        <f aca="false">IF(A767="","",IF(ABS(SUMIFS($E$9:$E$2008,$A$9:$A$2008,A767)-SUMIFS($F$9:$F$2008,$A$9:$A$2008,A767))&lt;0.5,"Yes","No"))</f>
        <v/>
      </c>
      <c r="L767" s="10" t="str">
        <f aca="false">IF(A767="","",IF(IF(K767="No","Does not balance | ","")&amp;IF(I767="","Not approved | ",IF(UPPER(TRIM(H767))=UPPER(TRIM(I767)),"Self-approved | ",""))&amp;IF(J767="","No support | ","")&amp;IF(WEEKDAY(B767,2)&gt;5,"Weekend posting | ","")&amp;IF(COUNTIF(Settings!$A$14:$A$43,B767)&gt;0,"Holiday posting | ","")&amp;IF(B767&gt;Settings!$C$8,"Posted after close | ","")&amp;IF(OR(B767&lt;Settings!$C$6,B767&gt;Settings!$C$7),"Outside period | ","")&amp;IF(COUNTIF(Settings!$E$14:$E$43,C767&amp;"")&gt;0,"Sensitive account | ","")&amp;IF(AND(MAX(N(E767),N(F767))&gt;=Settings!$C$9,MOD(MAX(N(E767),N(F767)),Settings!$C$10)=0),"Round amount | ","")="","",LEFT(IF(K767="No","Does not balance | ","")&amp;IF(I767="","Not approved | ",IF(UPPER(TRIM(H767))=UPPER(TRIM(I767)),"Self-approved | ",""))&amp;IF(J767="","No support | ","")&amp;IF(WEEKDAY(B767,2)&gt;5,"Weekend posting | ","")&amp;IF(COUNTIF(Settings!$A$14:$A$43,B767)&gt;0,"Holiday posting | ","")&amp;IF(B767&gt;Settings!$C$8,"Posted after close | ","")&amp;IF(OR(B767&lt;Settings!$C$6,B767&gt;Settings!$C$7),"Outside period | ","")&amp;IF(COUNTIF(Settings!$E$14:$E$43,C767&amp;"")&gt;0,"Sensitive account | ","")&amp;IF(AND(MAX(N(E767),N(F767))&gt;=Settings!$C$9,MOD(MAX(N(E767),N(F767)),Settings!$C$10)=0),"Round amount | ",""),LEN(IF(K767="No","Does not balance | ","")&amp;IF(I767="","Not approved | ",IF(UPPER(TRIM(H767))=UPPER(TRIM(I767)),"Self-approved | ",""))&amp;IF(J767="","No support | ","")&amp;IF(WEEKDAY(B767,2)&gt;5,"Weekend posting | ","")&amp;IF(COUNTIF(Settings!$A$14:$A$43,B767)&gt;0,"Holiday posting | ","")&amp;IF(B767&gt;Settings!$C$8,"Posted after close | ","")&amp;IF(OR(B767&lt;Settings!$C$6,B767&gt;Settings!$C$7),"Outside period | ","")&amp;IF(COUNTIF(Settings!$E$14:$E$43,C767&amp;"")&gt;0,"Sensitive account | ","")&amp;IF(AND(MAX(N(E767),N(F767))&gt;=Settings!$C$9,MOD(MAX(N(E767),N(F767)),Settings!$C$10)=0),"Round amount | ",""))-3)))</f>
        <v/>
      </c>
      <c r="M767" s="21" t="str">
        <f aca="false">IF(A767="","",IF(COUNTIF($A$9:A767,A767)=1,MAX($M$8:M766)+1,""))</f>
        <v/>
      </c>
    </row>
    <row r="768" customFormat="false" ht="15" hidden="false" customHeight="false" outlineLevel="0" collapsed="false">
      <c r="A768" s="8"/>
      <c r="B768" s="17"/>
      <c r="C768" s="19"/>
      <c r="D768" s="8"/>
      <c r="E768" s="18"/>
      <c r="F768" s="18"/>
      <c r="G768" s="8"/>
      <c r="H768" s="8"/>
      <c r="I768" s="8"/>
      <c r="J768" s="8"/>
      <c r="K768" s="10" t="str">
        <f aca="false">IF(A768="","",IF(ABS(SUMIFS($E$9:$E$2008,$A$9:$A$2008,A768)-SUMIFS($F$9:$F$2008,$A$9:$A$2008,A768))&lt;0.5,"Yes","No"))</f>
        <v/>
      </c>
      <c r="L768" s="10" t="str">
        <f aca="false">IF(A768="","",IF(IF(K768="No","Does not balance | ","")&amp;IF(I768="","Not approved | ",IF(UPPER(TRIM(H768))=UPPER(TRIM(I768)),"Self-approved | ",""))&amp;IF(J768="","No support | ","")&amp;IF(WEEKDAY(B768,2)&gt;5,"Weekend posting | ","")&amp;IF(COUNTIF(Settings!$A$14:$A$43,B768)&gt;0,"Holiday posting | ","")&amp;IF(B768&gt;Settings!$C$8,"Posted after close | ","")&amp;IF(OR(B768&lt;Settings!$C$6,B768&gt;Settings!$C$7),"Outside period | ","")&amp;IF(COUNTIF(Settings!$E$14:$E$43,C768&amp;"")&gt;0,"Sensitive account | ","")&amp;IF(AND(MAX(N(E768),N(F768))&gt;=Settings!$C$9,MOD(MAX(N(E768),N(F768)),Settings!$C$10)=0),"Round amount | ","")="","",LEFT(IF(K768="No","Does not balance | ","")&amp;IF(I768="","Not approved | ",IF(UPPER(TRIM(H768))=UPPER(TRIM(I768)),"Self-approved | ",""))&amp;IF(J768="","No support | ","")&amp;IF(WEEKDAY(B768,2)&gt;5,"Weekend posting | ","")&amp;IF(COUNTIF(Settings!$A$14:$A$43,B768)&gt;0,"Holiday posting | ","")&amp;IF(B768&gt;Settings!$C$8,"Posted after close | ","")&amp;IF(OR(B768&lt;Settings!$C$6,B768&gt;Settings!$C$7),"Outside period | ","")&amp;IF(COUNTIF(Settings!$E$14:$E$43,C768&amp;"")&gt;0,"Sensitive account | ","")&amp;IF(AND(MAX(N(E768),N(F768))&gt;=Settings!$C$9,MOD(MAX(N(E768),N(F768)),Settings!$C$10)=0),"Round amount | ",""),LEN(IF(K768="No","Does not balance | ","")&amp;IF(I768="","Not approved | ",IF(UPPER(TRIM(H768))=UPPER(TRIM(I768)),"Self-approved | ",""))&amp;IF(J768="","No support | ","")&amp;IF(WEEKDAY(B768,2)&gt;5,"Weekend posting | ","")&amp;IF(COUNTIF(Settings!$A$14:$A$43,B768)&gt;0,"Holiday posting | ","")&amp;IF(B768&gt;Settings!$C$8,"Posted after close | ","")&amp;IF(OR(B768&lt;Settings!$C$6,B768&gt;Settings!$C$7),"Outside period | ","")&amp;IF(COUNTIF(Settings!$E$14:$E$43,C768&amp;"")&gt;0,"Sensitive account | ","")&amp;IF(AND(MAX(N(E768),N(F768))&gt;=Settings!$C$9,MOD(MAX(N(E768),N(F768)),Settings!$C$10)=0),"Round amount | ",""))-3)))</f>
        <v/>
      </c>
      <c r="M768" s="21" t="str">
        <f aca="false">IF(A768="","",IF(COUNTIF($A$9:A768,A768)=1,MAX($M$8:M767)+1,""))</f>
        <v/>
      </c>
    </row>
    <row r="769" customFormat="false" ht="15" hidden="false" customHeight="false" outlineLevel="0" collapsed="false">
      <c r="A769" s="8"/>
      <c r="B769" s="17"/>
      <c r="C769" s="19"/>
      <c r="D769" s="8"/>
      <c r="E769" s="18"/>
      <c r="F769" s="18"/>
      <c r="G769" s="8"/>
      <c r="H769" s="8"/>
      <c r="I769" s="8"/>
      <c r="J769" s="8"/>
      <c r="K769" s="10" t="str">
        <f aca="false">IF(A769="","",IF(ABS(SUMIFS($E$9:$E$2008,$A$9:$A$2008,A769)-SUMIFS($F$9:$F$2008,$A$9:$A$2008,A769))&lt;0.5,"Yes","No"))</f>
        <v/>
      </c>
      <c r="L769" s="10" t="str">
        <f aca="false">IF(A769="","",IF(IF(K769="No","Does not balance | ","")&amp;IF(I769="","Not approved | ",IF(UPPER(TRIM(H769))=UPPER(TRIM(I769)),"Self-approved | ",""))&amp;IF(J769="","No support | ","")&amp;IF(WEEKDAY(B769,2)&gt;5,"Weekend posting | ","")&amp;IF(COUNTIF(Settings!$A$14:$A$43,B769)&gt;0,"Holiday posting | ","")&amp;IF(B769&gt;Settings!$C$8,"Posted after close | ","")&amp;IF(OR(B769&lt;Settings!$C$6,B769&gt;Settings!$C$7),"Outside period | ","")&amp;IF(COUNTIF(Settings!$E$14:$E$43,C769&amp;"")&gt;0,"Sensitive account | ","")&amp;IF(AND(MAX(N(E769),N(F769))&gt;=Settings!$C$9,MOD(MAX(N(E769),N(F769)),Settings!$C$10)=0),"Round amount | ","")="","",LEFT(IF(K769="No","Does not balance | ","")&amp;IF(I769="","Not approved | ",IF(UPPER(TRIM(H769))=UPPER(TRIM(I769)),"Self-approved | ",""))&amp;IF(J769="","No support | ","")&amp;IF(WEEKDAY(B769,2)&gt;5,"Weekend posting | ","")&amp;IF(COUNTIF(Settings!$A$14:$A$43,B769)&gt;0,"Holiday posting | ","")&amp;IF(B769&gt;Settings!$C$8,"Posted after close | ","")&amp;IF(OR(B769&lt;Settings!$C$6,B769&gt;Settings!$C$7),"Outside period | ","")&amp;IF(COUNTIF(Settings!$E$14:$E$43,C769&amp;"")&gt;0,"Sensitive account | ","")&amp;IF(AND(MAX(N(E769),N(F769))&gt;=Settings!$C$9,MOD(MAX(N(E769),N(F769)),Settings!$C$10)=0),"Round amount | ",""),LEN(IF(K769="No","Does not balance | ","")&amp;IF(I769="","Not approved | ",IF(UPPER(TRIM(H769))=UPPER(TRIM(I769)),"Self-approved | ",""))&amp;IF(J769="","No support | ","")&amp;IF(WEEKDAY(B769,2)&gt;5,"Weekend posting | ","")&amp;IF(COUNTIF(Settings!$A$14:$A$43,B769)&gt;0,"Holiday posting | ","")&amp;IF(B769&gt;Settings!$C$8,"Posted after close | ","")&amp;IF(OR(B769&lt;Settings!$C$6,B769&gt;Settings!$C$7),"Outside period | ","")&amp;IF(COUNTIF(Settings!$E$14:$E$43,C769&amp;"")&gt;0,"Sensitive account | ","")&amp;IF(AND(MAX(N(E769),N(F769))&gt;=Settings!$C$9,MOD(MAX(N(E769),N(F769)),Settings!$C$10)=0),"Round amount | ",""))-3)))</f>
        <v/>
      </c>
      <c r="M769" s="21" t="str">
        <f aca="false">IF(A769="","",IF(COUNTIF($A$9:A769,A769)=1,MAX($M$8:M768)+1,""))</f>
        <v/>
      </c>
    </row>
    <row r="770" customFormat="false" ht="15" hidden="false" customHeight="false" outlineLevel="0" collapsed="false">
      <c r="A770" s="8"/>
      <c r="B770" s="17"/>
      <c r="C770" s="19"/>
      <c r="D770" s="8"/>
      <c r="E770" s="18"/>
      <c r="F770" s="18"/>
      <c r="G770" s="8"/>
      <c r="H770" s="8"/>
      <c r="I770" s="8"/>
      <c r="J770" s="8"/>
      <c r="K770" s="10" t="str">
        <f aca="false">IF(A770="","",IF(ABS(SUMIFS($E$9:$E$2008,$A$9:$A$2008,A770)-SUMIFS($F$9:$F$2008,$A$9:$A$2008,A770))&lt;0.5,"Yes","No"))</f>
        <v/>
      </c>
      <c r="L770" s="10" t="str">
        <f aca="false">IF(A770="","",IF(IF(K770="No","Does not balance | ","")&amp;IF(I770="","Not approved | ",IF(UPPER(TRIM(H770))=UPPER(TRIM(I770)),"Self-approved | ",""))&amp;IF(J770="","No support | ","")&amp;IF(WEEKDAY(B770,2)&gt;5,"Weekend posting | ","")&amp;IF(COUNTIF(Settings!$A$14:$A$43,B770)&gt;0,"Holiday posting | ","")&amp;IF(B770&gt;Settings!$C$8,"Posted after close | ","")&amp;IF(OR(B770&lt;Settings!$C$6,B770&gt;Settings!$C$7),"Outside period | ","")&amp;IF(COUNTIF(Settings!$E$14:$E$43,C770&amp;"")&gt;0,"Sensitive account | ","")&amp;IF(AND(MAX(N(E770),N(F770))&gt;=Settings!$C$9,MOD(MAX(N(E770),N(F770)),Settings!$C$10)=0),"Round amount | ","")="","",LEFT(IF(K770="No","Does not balance | ","")&amp;IF(I770="","Not approved | ",IF(UPPER(TRIM(H770))=UPPER(TRIM(I770)),"Self-approved | ",""))&amp;IF(J770="","No support | ","")&amp;IF(WEEKDAY(B770,2)&gt;5,"Weekend posting | ","")&amp;IF(COUNTIF(Settings!$A$14:$A$43,B770)&gt;0,"Holiday posting | ","")&amp;IF(B770&gt;Settings!$C$8,"Posted after close | ","")&amp;IF(OR(B770&lt;Settings!$C$6,B770&gt;Settings!$C$7),"Outside period | ","")&amp;IF(COUNTIF(Settings!$E$14:$E$43,C770&amp;"")&gt;0,"Sensitive account | ","")&amp;IF(AND(MAX(N(E770),N(F770))&gt;=Settings!$C$9,MOD(MAX(N(E770),N(F770)),Settings!$C$10)=0),"Round amount | ",""),LEN(IF(K770="No","Does not balance | ","")&amp;IF(I770="","Not approved | ",IF(UPPER(TRIM(H770))=UPPER(TRIM(I770)),"Self-approved | ",""))&amp;IF(J770="","No support | ","")&amp;IF(WEEKDAY(B770,2)&gt;5,"Weekend posting | ","")&amp;IF(COUNTIF(Settings!$A$14:$A$43,B770)&gt;0,"Holiday posting | ","")&amp;IF(B770&gt;Settings!$C$8,"Posted after close | ","")&amp;IF(OR(B770&lt;Settings!$C$6,B770&gt;Settings!$C$7),"Outside period | ","")&amp;IF(COUNTIF(Settings!$E$14:$E$43,C770&amp;"")&gt;0,"Sensitive account | ","")&amp;IF(AND(MAX(N(E770),N(F770))&gt;=Settings!$C$9,MOD(MAX(N(E770),N(F770)),Settings!$C$10)=0),"Round amount | ",""))-3)))</f>
        <v/>
      </c>
      <c r="M770" s="21" t="str">
        <f aca="false">IF(A770="","",IF(COUNTIF($A$9:A770,A770)=1,MAX($M$8:M769)+1,""))</f>
        <v/>
      </c>
    </row>
    <row r="771" customFormat="false" ht="15" hidden="false" customHeight="false" outlineLevel="0" collapsed="false">
      <c r="A771" s="8"/>
      <c r="B771" s="17"/>
      <c r="C771" s="19"/>
      <c r="D771" s="8"/>
      <c r="E771" s="18"/>
      <c r="F771" s="18"/>
      <c r="G771" s="8"/>
      <c r="H771" s="8"/>
      <c r="I771" s="8"/>
      <c r="J771" s="8"/>
      <c r="K771" s="10" t="str">
        <f aca="false">IF(A771="","",IF(ABS(SUMIFS($E$9:$E$2008,$A$9:$A$2008,A771)-SUMIFS($F$9:$F$2008,$A$9:$A$2008,A771))&lt;0.5,"Yes","No"))</f>
        <v/>
      </c>
      <c r="L771" s="10" t="str">
        <f aca="false">IF(A771="","",IF(IF(K771="No","Does not balance | ","")&amp;IF(I771="","Not approved | ",IF(UPPER(TRIM(H771))=UPPER(TRIM(I771)),"Self-approved | ",""))&amp;IF(J771="","No support | ","")&amp;IF(WEEKDAY(B771,2)&gt;5,"Weekend posting | ","")&amp;IF(COUNTIF(Settings!$A$14:$A$43,B771)&gt;0,"Holiday posting | ","")&amp;IF(B771&gt;Settings!$C$8,"Posted after close | ","")&amp;IF(OR(B771&lt;Settings!$C$6,B771&gt;Settings!$C$7),"Outside period | ","")&amp;IF(COUNTIF(Settings!$E$14:$E$43,C771&amp;"")&gt;0,"Sensitive account | ","")&amp;IF(AND(MAX(N(E771),N(F771))&gt;=Settings!$C$9,MOD(MAX(N(E771),N(F771)),Settings!$C$10)=0),"Round amount | ","")="","",LEFT(IF(K771="No","Does not balance | ","")&amp;IF(I771="","Not approved | ",IF(UPPER(TRIM(H771))=UPPER(TRIM(I771)),"Self-approved | ",""))&amp;IF(J771="","No support | ","")&amp;IF(WEEKDAY(B771,2)&gt;5,"Weekend posting | ","")&amp;IF(COUNTIF(Settings!$A$14:$A$43,B771)&gt;0,"Holiday posting | ","")&amp;IF(B771&gt;Settings!$C$8,"Posted after close | ","")&amp;IF(OR(B771&lt;Settings!$C$6,B771&gt;Settings!$C$7),"Outside period | ","")&amp;IF(COUNTIF(Settings!$E$14:$E$43,C771&amp;"")&gt;0,"Sensitive account | ","")&amp;IF(AND(MAX(N(E771),N(F771))&gt;=Settings!$C$9,MOD(MAX(N(E771),N(F771)),Settings!$C$10)=0),"Round amount | ",""),LEN(IF(K771="No","Does not balance | ","")&amp;IF(I771="","Not approved | ",IF(UPPER(TRIM(H771))=UPPER(TRIM(I771)),"Self-approved | ",""))&amp;IF(J771="","No support | ","")&amp;IF(WEEKDAY(B771,2)&gt;5,"Weekend posting | ","")&amp;IF(COUNTIF(Settings!$A$14:$A$43,B771)&gt;0,"Holiday posting | ","")&amp;IF(B771&gt;Settings!$C$8,"Posted after close | ","")&amp;IF(OR(B771&lt;Settings!$C$6,B771&gt;Settings!$C$7),"Outside period | ","")&amp;IF(COUNTIF(Settings!$E$14:$E$43,C771&amp;"")&gt;0,"Sensitive account | ","")&amp;IF(AND(MAX(N(E771),N(F771))&gt;=Settings!$C$9,MOD(MAX(N(E771),N(F771)),Settings!$C$10)=0),"Round amount | ",""))-3)))</f>
        <v/>
      </c>
      <c r="M771" s="21" t="str">
        <f aca="false">IF(A771="","",IF(COUNTIF($A$9:A771,A771)=1,MAX($M$8:M770)+1,""))</f>
        <v/>
      </c>
    </row>
    <row r="772" customFormat="false" ht="15" hidden="false" customHeight="false" outlineLevel="0" collapsed="false">
      <c r="A772" s="8"/>
      <c r="B772" s="17"/>
      <c r="C772" s="19"/>
      <c r="D772" s="8"/>
      <c r="E772" s="18"/>
      <c r="F772" s="18"/>
      <c r="G772" s="8"/>
      <c r="H772" s="8"/>
      <c r="I772" s="8"/>
      <c r="J772" s="8"/>
      <c r="K772" s="10" t="str">
        <f aca="false">IF(A772="","",IF(ABS(SUMIFS($E$9:$E$2008,$A$9:$A$2008,A772)-SUMIFS($F$9:$F$2008,$A$9:$A$2008,A772))&lt;0.5,"Yes","No"))</f>
        <v/>
      </c>
      <c r="L772" s="10" t="str">
        <f aca="false">IF(A772="","",IF(IF(K772="No","Does not balance | ","")&amp;IF(I772="","Not approved | ",IF(UPPER(TRIM(H772))=UPPER(TRIM(I772)),"Self-approved | ",""))&amp;IF(J772="","No support | ","")&amp;IF(WEEKDAY(B772,2)&gt;5,"Weekend posting | ","")&amp;IF(COUNTIF(Settings!$A$14:$A$43,B772)&gt;0,"Holiday posting | ","")&amp;IF(B772&gt;Settings!$C$8,"Posted after close | ","")&amp;IF(OR(B772&lt;Settings!$C$6,B772&gt;Settings!$C$7),"Outside period | ","")&amp;IF(COUNTIF(Settings!$E$14:$E$43,C772&amp;"")&gt;0,"Sensitive account | ","")&amp;IF(AND(MAX(N(E772),N(F772))&gt;=Settings!$C$9,MOD(MAX(N(E772),N(F772)),Settings!$C$10)=0),"Round amount | ","")="","",LEFT(IF(K772="No","Does not balance | ","")&amp;IF(I772="","Not approved | ",IF(UPPER(TRIM(H772))=UPPER(TRIM(I772)),"Self-approved | ",""))&amp;IF(J772="","No support | ","")&amp;IF(WEEKDAY(B772,2)&gt;5,"Weekend posting | ","")&amp;IF(COUNTIF(Settings!$A$14:$A$43,B772)&gt;0,"Holiday posting | ","")&amp;IF(B772&gt;Settings!$C$8,"Posted after close | ","")&amp;IF(OR(B772&lt;Settings!$C$6,B772&gt;Settings!$C$7),"Outside period | ","")&amp;IF(COUNTIF(Settings!$E$14:$E$43,C772&amp;"")&gt;0,"Sensitive account | ","")&amp;IF(AND(MAX(N(E772),N(F772))&gt;=Settings!$C$9,MOD(MAX(N(E772),N(F772)),Settings!$C$10)=0),"Round amount | ",""),LEN(IF(K772="No","Does not balance | ","")&amp;IF(I772="","Not approved | ",IF(UPPER(TRIM(H772))=UPPER(TRIM(I772)),"Self-approved | ",""))&amp;IF(J772="","No support | ","")&amp;IF(WEEKDAY(B772,2)&gt;5,"Weekend posting | ","")&amp;IF(COUNTIF(Settings!$A$14:$A$43,B772)&gt;0,"Holiday posting | ","")&amp;IF(B772&gt;Settings!$C$8,"Posted after close | ","")&amp;IF(OR(B772&lt;Settings!$C$6,B772&gt;Settings!$C$7),"Outside period | ","")&amp;IF(COUNTIF(Settings!$E$14:$E$43,C772&amp;"")&gt;0,"Sensitive account | ","")&amp;IF(AND(MAX(N(E772),N(F772))&gt;=Settings!$C$9,MOD(MAX(N(E772),N(F772)),Settings!$C$10)=0),"Round amount | ",""))-3)))</f>
        <v/>
      </c>
      <c r="M772" s="21" t="str">
        <f aca="false">IF(A772="","",IF(COUNTIF($A$9:A772,A772)=1,MAX($M$8:M771)+1,""))</f>
        <v/>
      </c>
    </row>
    <row r="773" customFormat="false" ht="15" hidden="false" customHeight="false" outlineLevel="0" collapsed="false">
      <c r="A773" s="8"/>
      <c r="B773" s="17"/>
      <c r="C773" s="19"/>
      <c r="D773" s="8"/>
      <c r="E773" s="18"/>
      <c r="F773" s="18"/>
      <c r="G773" s="8"/>
      <c r="H773" s="8"/>
      <c r="I773" s="8"/>
      <c r="J773" s="8"/>
      <c r="K773" s="10" t="str">
        <f aca="false">IF(A773="","",IF(ABS(SUMIFS($E$9:$E$2008,$A$9:$A$2008,A773)-SUMIFS($F$9:$F$2008,$A$9:$A$2008,A773))&lt;0.5,"Yes","No"))</f>
        <v/>
      </c>
      <c r="L773" s="10" t="str">
        <f aca="false">IF(A773="","",IF(IF(K773="No","Does not balance | ","")&amp;IF(I773="","Not approved | ",IF(UPPER(TRIM(H773))=UPPER(TRIM(I773)),"Self-approved | ",""))&amp;IF(J773="","No support | ","")&amp;IF(WEEKDAY(B773,2)&gt;5,"Weekend posting | ","")&amp;IF(COUNTIF(Settings!$A$14:$A$43,B773)&gt;0,"Holiday posting | ","")&amp;IF(B773&gt;Settings!$C$8,"Posted after close | ","")&amp;IF(OR(B773&lt;Settings!$C$6,B773&gt;Settings!$C$7),"Outside period | ","")&amp;IF(COUNTIF(Settings!$E$14:$E$43,C773&amp;"")&gt;0,"Sensitive account | ","")&amp;IF(AND(MAX(N(E773),N(F773))&gt;=Settings!$C$9,MOD(MAX(N(E773),N(F773)),Settings!$C$10)=0),"Round amount | ","")="","",LEFT(IF(K773="No","Does not balance | ","")&amp;IF(I773="","Not approved | ",IF(UPPER(TRIM(H773))=UPPER(TRIM(I773)),"Self-approved | ",""))&amp;IF(J773="","No support | ","")&amp;IF(WEEKDAY(B773,2)&gt;5,"Weekend posting | ","")&amp;IF(COUNTIF(Settings!$A$14:$A$43,B773)&gt;0,"Holiday posting | ","")&amp;IF(B773&gt;Settings!$C$8,"Posted after close | ","")&amp;IF(OR(B773&lt;Settings!$C$6,B773&gt;Settings!$C$7),"Outside period | ","")&amp;IF(COUNTIF(Settings!$E$14:$E$43,C773&amp;"")&gt;0,"Sensitive account | ","")&amp;IF(AND(MAX(N(E773),N(F773))&gt;=Settings!$C$9,MOD(MAX(N(E773),N(F773)),Settings!$C$10)=0),"Round amount | ",""),LEN(IF(K773="No","Does not balance | ","")&amp;IF(I773="","Not approved | ",IF(UPPER(TRIM(H773))=UPPER(TRIM(I773)),"Self-approved | ",""))&amp;IF(J773="","No support | ","")&amp;IF(WEEKDAY(B773,2)&gt;5,"Weekend posting | ","")&amp;IF(COUNTIF(Settings!$A$14:$A$43,B773)&gt;0,"Holiday posting | ","")&amp;IF(B773&gt;Settings!$C$8,"Posted after close | ","")&amp;IF(OR(B773&lt;Settings!$C$6,B773&gt;Settings!$C$7),"Outside period | ","")&amp;IF(COUNTIF(Settings!$E$14:$E$43,C773&amp;"")&gt;0,"Sensitive account | ","")&amp;IF(AND(MAX(N(E773),N(F773))&gt;=Settings!$C$9,MOD(MAX(N(E773),N(F773)),Settings!$C$10)=0),"Round amount | ",""))-3)))</f>
        <v/>
      </c>
      <c r="M773" s="21" t="str">
        <f aca="false">IF(A773="","",IF(COUNTIF($A$9:A773,A773)=1,MAX($M$8:M772)+1,""))</f>
        <v/>
      </c>
    </row>
    <row r="774" customFormat="false" ht="15" hidden="false" customHeight="false" outlineLevel="0" collapsed="false">
      <c r="A774" s="8"/>
      <c r="B774" s="17"/>
      <c r="C774" s="19"/>
      <c r="D774" s="8"/>
      <c r="E774" s="18"/>
      <c r="F774" s="18"/>
      <c r="G774" s="8"/>
      <c r="H774" s="8"/>
      <c r="I774" s="8"/>
      <c r="J774" s="8"/>
      <c r="K774" s="10" t="str">
        <f aca="false">IF(A774="","",IF(ABS(SUMIFS($E$9:$E$2008,$A$9:$A$2008,A774)-SUMIFS($F$9:$F$2008,$A$9:$A$2008,A774))&lt;0.5,"Yes","No"))</f>
        <v/>
      </c>
      <c r="L774" s="10" t="str">
        <f aca="false">IF(A774="","",IF(IF(K774="No","Does not balance | ","")&amp;IF(I774="","Not approved | ",IF(UPPER(TRIM(H774))=UPPER(TRIM(I774)),"Self-approved | ",""))&amp;IF(J774="","No support | ","")&amp;IF(WEEKDAY(B774,2)&gt;5,"Weekend posting | ","")&amp;IF(COUNTIF(Settings!$A$14:$A$43,B774)&gt;0,"Holiday posting | ","")&amp;IF(B774&gt;Settings!$C$8,"Posted after close | ","")&amp;IF(OR(B774&lt;Settings!$C$6,B774&gt;Settings!$C$7),"Outside period | ","")&amp;IF(COUNTIF(Settings!$E$14:$E$43,C774&amp;"")&gt;0,"Sensitive account | ","")&amp;IF(AND(MAX(N(E774),N(F774))&gt;=Settings!$C$9,MOD(MAX(N(E774),N(F774)),Settings!$C$10)=0),"Round amount | ","")="","",LEFT(IF(K774="No","Does not balance | ","")&amp;IF(I774="","Not approved | ",IF(UPPER(TRIM(H774))=UPPER(TRIM(I774)),"Self-approved | ",""))&amp;IF(J774="","No support | ","")&amp;IF(WEEKDAY(B774,2)&gt;5,"Weekend posting | ","")&amp;IF(COUNTIF(Settings!$A$14:$A$43,B774)&gt;0,"Holiday posting | ","")&amp;IF(B774&gt;Settings!$C$8,"Posted after close | ","")&amp;IF(OR(B774&lt;Settings!$C$6,B774&gt;Settings!$C$7),"Outside period | ","")&amp;IF(COUNTIF(Settings!$E$14:$E$43,C774&amp;"")&gt;0,"Sensitive account | ","")&amp;IF(AND(MAX(N(E774),N(F774))&gt;=Settings!$C$9,MOD(MAX(N(E774),N(F774)),Settings!$C$10)=0),"Round amount | ",""),LEN(IF(K774="No","Does not balance | ","")&amp;IF(I774="","Not approved | ",IF(UPPER(TRIM(H774))=UPPER(TRIM(I774)),"Self-approved | ",""))&amp;IF(J774="","No support | ","")&amp;IF(WEEKDAY(B774,2)&gt;5,"Weekend posting | ","")&amp;IF(COUNTIF(Settings!$A$14:$A$43,B774)&gt;0,"Holiday posting | ","")&amp;IF(B774&gt;Settings!$C$8,"Posted after close | ","")&amp;IF(OR(B774&lt;Settings!$C$6,B774&gt;Settings!$C$7),"Outside period | ","")&amp;IF(COUNTIF(Settings!$E$14:$E$43,C774&amp;"")&gt;0,"Sensitive account | ","")&amp;IF(AND(MAX(N(E774),N(F774))&gt;=Settings!$C$9,MOD(MAX(N(E774),N(F774)),Settings!$C$10)=0),"Round amount | ",""))-3)))</f>
        <v/>
      </c>
      <c r="M774" s="21" t="str">
        <f aca="false">IF(A774="","",IF(COUNTIF($A$9:A774,A774)=1,MAX($M$8:M773)+1,""))</f>
        <v/>
      </c>
    </row>
    <row r="775" customFormat="false" ht="15" hidden="false" customHeight="false" outlineLevel="0" collapsed="false">
      <c r="A775" s="8"/>
      <c r="B775" s="17"/>
      <c r="C775" s="19"/>
      <c r="D775" s="8"/>
      <c r="E775" s="18"/>
      <c r="F775" s="18"/>
      <c r="G775" s="8"/>
      <c r="H775" s="8"/>
      <c r="I775" s="8"/>
      <c r="J775" s="8"/>
      <c r="K775" s="10" t="str">
        <f aca="false">IF(A775="","",IF(ABS(SUMIFS($E$9:$E$2008,$A$9:$A$2008,A775)-SUMIFS($F$9:$F$2008,$A$9:$A$2008,A775))&lt;0.5,"Yes","No"))</f>
        <v/>
      </c>
      <c r="L775" s="10" t="str">
        <f aca="false">IF(A775="","",IF(IF(K775="No","Does not balance | ","")&amp;IF(I775="","Not approved | ",IF(UPPER(TRIM(H775))=UPPER(TRIM(I775)),"Self-approved | ",""))&amp;IF(J775="","No support | ","")&amp;IF(WEEKDAY(B775,2)&gt;5,"Weekend posting | ","")&amp;IF(COUNTIF(Settings!$A$14:$A$43,B775)&gt;0,"Holiday posting | ","")&amp;IF(B775&gt;Settings!$C$8,"Posted after close | ","")&amp;IF(OR(B775&lt;Settings!$C$6,B775&gt;Settings!$C$7),"Outside period | ","")&amp;IF(COUNTIF(Settings!$E$14:$E$43,C775&amp;"")&gt;0,"Sensitive account | ","")&amp;IF(AND(MAX(N(E775),N(F775))&gt;=Settings!$C$9,MOD(MAX(N(E775),N(F775)),Settings!$C$10)=0),"Round amount | ","")="","",LEFT(IF(K775="No","Does not balance | ","")&amp;IF(I775="","Not approved | ",IF(UPPER(TRIM(H775))=UPPER(TRIM(I775)),"Self-approved | ",""))&amp;IF(J775="","No support | ","")&amp;IF(WEEKDAY(B775,2)&gt;5,"Weekend posting | ","")&amp;IF(COUNTIF(Settings!$A$14:$A$43,B775)&gt;0,"Holiday posting | ","")&amp;IF(B775&gt;Settings!$C$8,"Posted after close | ","")&amp;IF(OR(B775&lt;Settings!$C$6,B775&gt;Settings!$C$7),"Outside period | ","")&amp;IF(COUNTIF(Settings!$E$14:$E$43,C775&amp;"")&gt;0,"Sensitive account | ","")&amp;IF(AND(MAX(N(E775),N(F775))&gt;=Settings!$C$9,MOD(MAX(N(E775),N(F775)),Settings!$C$10)=0),"Round amount | ",""),LEN(IF(K775="No","Does not balance | ","")&amp;IF(I775="","Not approved | ",IF(UPPER(TRIM(H775))=UPPER(TRIM(I775)),"Self-approved | ",""))&amp;IF(J775="","No support | ","")&amp;IF(WEEKDAY(B775,2)&gt;5,"Weekend posting | ","")&amp;IF(COUNTIF(Settings!$A$14:$A$43,B775)&gt;0,"Holiday posting | ","")&amp;IF(B775&gt;Settings!$C$8,"Posted after close | ","")&amp;IF(OR(B775&lt;Settings!$C$6,B775&gt;Settings!$C$7),"Outside period | ","")&amp;IF(COUNTIF(Settings!$E$14:$E$43,C775&amp;"")&gt;0,"Sensitive account | ","")&amp;IF(AND(MAX(N(E775),N(F775))&gt;=Settings!$C$9,MOD(MAX(N(E775),N(F775)),Settings!$C$10)=0),"Round amount | ",""))-3)))</f>
        <v/>
      </c>
      <c r="M775" s="21" t="str">
        <f aca="false">IF(A775="","",IF(COUNTIF($A$9:A775,A775)=1,MAX($M$8:M774)+1,""))</f>
        <v/>
      </c>
    </row>
    <row r="776" customFormat="false" ht="15" hidden="false" customHeight="false" outlineLevel="0" collapsed="false">
      <c r="A776" s="8"/>
      <c r="B776" s="17"/>
      <c r="C776" s="19"/>
      <c r="D776" s="8"/>
      <c r="E776" s="18"/>
      <c r="F776" s="18"/>
      <c r="G776" s="8"/>
      <c r="H776" s="8"/>
      <c r="I776" s="8"/>
      <c r="J776" s="8"/>
      <c r="K776" s="10" t="str">
        <f aca="false">IF(A776="","",IF(ABS(SUMIFS($E$9:$E$2008,$A$9:$A$2008,A776)-SUMIFS($F$9:$F$2008,$A$9:$A$2008,A776))&lt;0.5,"Yes","No"))</f>
        <v/>
      </c>
      <c r="L776" s="10" t="str">
        <f aca="false">IF(A776="","",IF(IF(K776="No","Does not balance | ","")&amp;IF(I776="","Not approved | ",IF(UPPER(TRIM(H776))=UPPER(TRIM(I776)),"Self-approved | ",""))&amp;IF(J776="","No support | ","")&amp;IF(WEEKDAY(B776,2)&gt;5,"Weekend posting | ","")&amp;IF(COUNTIF(Settings!$A$14:$A$43,B776)&gt;0,"Holiday posting | ","")&amp;IF(B776&gt;Settings!$C$8,"Posted after close | ","")&amp;IF(OR(B776&lt;Settings!$C$6,B776&gt;Settings!$C$7),"Outside period | ","")&amp;IF(COUNTIF(Settings!$E$14:$E$43,C776&amp;"")&gt;0,"Sensitive account | ","")&amp;IF(AND(MAX(N(E776),N(F776))&gt;=Settings!$C$9,MOD(MAX(N(E776),N(F776)),Settings!$C$10)=0),"Round amount | ","")="","",LEFT(IF(K776="No","Does not balance | ","")&amp;IF(I776="","Not approved | ",IF(UPPER(TRIM(H776))=UPPER(TRIM(I776)),"Self-approved | ",""))&amp;IF(J776="","No support | ","")&amp;IF(WEEKDAY(B776,2)&gt;5,"Weekend posting | ","")&amp;IF(COUNTIF(Settings!$A$14:$A$43,B776)&gt;0,"Holiday posting | ","")&amp;IF(B776&gt;Settings!$C$8,"Posted after close | ","")&amp;IF(OR(B776&lt;Settings!$C$6,B776&gt;Settings!$C$7),"Outside period | ","")&amp;IF(COUNTIF(Settings!$E$14:$E$43,C776&amp;"")&gt;0,"Sensitive account | ","")&amp;IF(AND(MAX(N(E776),N(F776))&gt;=Settings!$C$9,MOD(MAX(N(E776),N(F776)),Settings!$C$10)=0),"Round amount | ",""),LEN(IF(K776="No","Does not balance | ","")&amp;IF(I776="","Not approved | ",IF(UPPER(TRIM(H776))=UPPER(TRIM(I776)),"Self-approved | ",""))&amp;IF(J776="","No support | ","")&amp;IF(WEEKDAY(B776,2)&gt;5,"Weekend posting | ","")&amp;IF(COUNTIF(Settings!$A$14:$A$43,B776)&gt;0,"Holiday posting | ","")&amp;IF(B776&gt;Settings!$C$8,"Posted after close | ","")&amp;IF(OR(B776&lt;Settings!$C$6,B776&gt;Settings!$C$7),"Outside period | ","")&amp;IF(COUNTIF(Settings!$E$14:$E$43,C776&amp;"")&gt;0,"Sensitive account | ","")&amp;IF(AND(MAX(N(E776),N(F776))&gt;=Settings!$C$9,MOD(MAX(N(E776),N(F776)),Settings!$C$10)=0),"Round amount | ",""))-3)))</f>
        <v/>
      </c>
      <c r="M776" s="21" t="str">
        <f aca="false">IF(A776="","",IF(COUNTIF($A$9:A776,A776)=1,MAX($M$8:M775)+1,""))</f>
        <v/>
      </c>
    </row>
    <row r="777" customFormat="false" ht="15" hidden="false" customHeight="false" outlineLevel="0" collapsed="false">
      <c r="A777" s="8"/>
      <c r="B777" s="17"/>
      <c r="C777" s="19"/>
      <c r="D777" s="8"/>
      <c r="E777" s="18"/>
      <c r="F777" s="18"/>
      <c r="G777" s="8"/>
      <c r="H777" s="8"/>
      <c r="I777" s="8"/>
      <c r="J777" s="8"/>
      <c r="K777" s="10" t="str">
        <f aca="false">IF(A777="","",IF(ABS(SUMIFS($E$9:$E$2008,$A$9:$A$2008,A777)-SUMIFS($F$9:$F$2008,$A$9:$A$2008,A777))&lt;0.5,"Yes","No"))</f>
        <v/>
      </c>
      <c r="L777" s="10" t="str">
        <f aca="false">IF(A777="","",IF(IF(K777="No","Does not balance | ","")&amp;IF(I777="","Not approved | ",IF(UPPER(TRIM(H777))=UPPER(TRIM(I777)),"Self-approved | ",""))&amp;IF(J777="","No support | ","")&amp;IF(WEEKDAY(B777,2)&gt;5,"Weekend posting | ","")&amp;IF(COUNTIF(Settings!$A$14:$A$43,B777)&gt;0,"Holiday posting | ","")&amp;IF(B777&gt;Settings!$C$8,"Posted after close | ","")&amp;IF(OR(B777&lt;Settings!$C$6,B777&gt;Settings!$C$7),"Outside period | ","")&amp;IF(COUNTIF(Settings!$E$14:$E$43,C777&amp;"")&gt;0,"Sensitive account | ","")&amp;IF(AND(MAX(N(E777),N(F777))&gt;=Settings!$C$9,MOD(MAX(N(E777),N(F777)),Settings!$C$10)=0),"Round amount | ","")="","",LEFT(IF(K777="No","Does not balance | ","")&amp;IF(I777="","Not approved | ",IF(UPPER(TRIM(H777))=UPPER(TRIM(I777)),"Self-approved | ",""))&amp;IF(J777="","No support | ","")&amp;IF(WEEKDAY(B777,2)&gt;5,"Weekend posting | ","")&amp;IF(COUNTIF(Settings!$A$14:$A$43,B777)&gt;0,"Holiday posting | ","")&amp;IF(B777&gt;Settings!$C$8,"Posted after close | ","")&amp;IF(OR(B777&lt;Settings!$C$6,B777&gt;Settings!$C$7),"Outside period | ","")&amp;IF(COUNTIF(Settings!$E$14:$E$43,C777&amp;"")&gt;0,"Sensitive account | ","")&amp;IF(AND(MAX(N(E777),N(F777))&gt;=Settings!$C$9,MOD(MAX(N(E777),N(F777)),Settings!$C$10)=0),"Round amount | ",""),LEN(IF(K777="No","Does not balance | ","")&amp;IF(I777="","Not approved | ",IF(UPPER(TRIM(H777))=UPPER(TRIM(I777)),"Self-approved | ",""))&amp;IF(J777="","No support | ","")&amp;IF(WEEKDAY(B777,2)&gt;5,"Weekend posting | ","")&amp;IF(COUNTIF(Settings!$A$14:$A$43,B777)&gt;0,"Holiday posting | ","")&amp;IF(B777&gt;Settings!$C$8,"Posted after close | ","")&amp;IF(OR(B777&lt;Settings!$C$6,B777&gt;Settings!$C$7),"Outside period | ","")&amp;IF(COUNTIF(Settings!$E$14:$E$43,C777&amp;"")&gt;0,"Sensitive account | ","")&amp;IF(AND(MAX(N(E777),N(F777))&gt;=Settings!$C$9,MOD(MAX(N(E777),N(F777)),Settings!$C$10)=0),"Round amount | ",""))-3)))</f>
        <v/>
      </c>
      <c r="M777" s="21" t="str">
        <f aca="false">IF(A777="","",IF(COUNTIF($A$9:A777,A777)=1,MAX($M$8:M776)+1,""))</f>
        <v/>
      </c>
    </row>
    <row r="778" customFormat="false" ht="15" hidden="false" customHeight="false" outlineLevel="0" collapsed="false">
      <c r="A778" s="8"/>
      <c r="B778" s="17"/>
      <c r="C778" s="19"/>
      <c r="D778" s="8"/>
      <c r="E778" s="18"/>
      <c r="F778" s="18"/>
      <c r="G778" s="8"/>
      <c r="H778" s="8"/>
      <c r="I778" s="8"/>
      <c r="J778" s="8"/>
      <c r="K778" s="10" t="str">
        <f aca="false">IF(A778="","",IF(ABS(SUMIFS($E$9:$E$2008,$A$9:$A$2008,A778)-SUMIFS($F$9:$F$2008,$A$9:$A$2008,A778))&lt;0.5,"Yes","No"))</f>
        <v/>
      </c>
      <c r="L778" s="10" t="str">
        <f aca="false">IF(A778="","",IF(IF(K778="No","Does not balance | ","")&amp;IF(I778="","Not approved | ",IF(UPPER(TRIM(H778))=UPPER(TRIM(I778)),"Self-approved | ",""))&amp;IF(J778="","No support | ","")&amp;IF(WEEKDAY(B778,2)&gt;5,"Weekend posting | ","")&amp;IF(COUNTIF(Settings!$A$14:$A$43,B778)&gt;0,"Holiday posting | ","")&amp;IF(B778&gt;Settings!$C$8,"Posted after close | ","")&amp;IF(OR(B778&lt;Settings!$C$6,B778&gt;Settings!$C$7),"Outside period | ","")&amp;IF(COUNTIF(Settings!$E$14:$E$43,C778&amp;"")&gt;0,"Sensitive account | ","")&amp;IF(AND(MAX(N(E778),N(F778))&gt;=Settings!$C$9,MOD(MAX(N(E778),N(F778)),Settings!$C$10)=0),"Round amount | ","")="","",LEFT(IF(K778="No","Does not balance | ","")&amp;IF(I778="","Not approved | ",IF(UPPER(TRIM(H778))=UPPER(TRIM(I778)),"Self-approved | ",""))&amp;IF(J778="","No support | ","")&amp;IF(WEEKDAY(B778,2)&gt;5,"Weekend posting | ","")&amp;IF(COUNTIF(Settings!$A$14:$A$43,B778)&gt;0,"Holiday posting | ","")&amp;IF(B778&gt;Settings!$C$8,"Posted after close | ","")&amp;IF(OR(B778&lt;Settings!$C$6,B778&gt;Settings!$C$7),"Outside period | ","")&amp;IF(COUNTIF(Settings!$E$14:$E$43,C778&amp;"")&gt;0,"Sensitive account | ","")&amp;IF(AND(MAX(N(E778),N(F778))&gt;=Settings!$C$9,MOD(MAX(N(E778),N(F778)),Settings!$C$10)=0),"Round amount | ",""),LEN(IF(K778="No","Does not balance | ","")&amp;IF(I778="","Not approved | ",IF(UPPER(TRIM(H778))=UPPER(TRIM(I778)),"Self-approved | ",""))&amp;IF(J778="","No support | ","")&amp;IF(WEEKDAY(B778,2)&gt;5,"Weekend posting | ","")&amp;IF(COUNTIF(Settings!$A$14:$A$43,B778)&gt;0,"Holiday posting | ","")&amp;IF(B778&gt;Settings!$C$8,"Posted after close | ","")&amp;IF(OR(B778&lt;Settings!$C$6,B778&gt;Settings!$C$7),"Outside period | ","")&amp;IF(COUNTIF(Settings!$E$14:$E$43,C778&amp;"")&gt;0,"Sensitive account | ","")&amp;IF(AND(MAX(N(E778),N(F778))&gt;=Settings!$C$9,MOD(MAX(N(E778),N(F778)),Settings!$C$10)=0),"Round amount | ",""))-3)))</f>
        <v/>
      </c>
      <c r="M778" s="21" t="str">
        <f aca="false">IF(A778="","",IF(COUNTIF($A$9:A778,A778)=1,MAX($M$8:M777)+1,""))</f>
        <v/>
      </c>
    </row>
    <row r="779" customFormat="false" ht="15" hidden="false" customHeight="false" outlineLevel="0" collapsed="false">
      <c r="A779" s="8"/>
      <c r="B779" s="17"/>
      <c r="C779" s="19"/>
      <c r="D779" s="8"/>
      <c r="E779" s="18"/>
      <c r="F779" s="18"/>
      <c r="G779" s="8"/>
      <c r="H779" s="8"/>
      <c r="I779" s="8"/>
      <c r="J779" s="8"/>
      <c r="K779" s="10" t="str">
        <f aca="false">IF(A779="","",IF(ABS(SUMIFS($E$9:$E$2008,$A$9:$A$2008,A779)-SUMIFS($F$9:$F$2008,$A$9:$A$2008,A779))&lt;0.5,"Yes","No"))</f>
        <v/>
      </c>
      <c r="L779" s="10" t="str">
        <f aca="false">IF(A779="","",IF(IF(K779="No","Does not balance | ","")&amp;IF(I779="","Not approved | ",IF(UPPER(TRIM(H779))=UPPER(TRIM(I779)),"Self-approved | ",""))&amp;IF(J779="","No support | ","")&amp;IF(WEEKDAY(B779,2)&gt;5,"Weekend posting | ","")&amp;IF(COUNTIF(Settings!$A$14:$A$43,B779)&gt;0,"Holiday posting | ","")&amp;IF(B779&gt;Settings!$C$8,"Posted after close | ","")&amp;IF(OR(B779&lt;Settings!$C$6,B779&gt;Settings!$C$7),"Outside period | ","")&amp;IF(COUNTIF(Settings!$E$14:$E$43,C779&amp;"")&gt;0,"Sensitive account | ","")&amp;IF(AND(MAX(N(E779),N(F779))&gt;=Settings!$C$9,MOD(MAX(N(E779),N(F779)),Settings!$C$10)=0),"Round amount | ","")="","",LEFT(IF(K779="No","Does not balance | ","")&amp;IF(I779="","Not approved | ",IF(UPPER(TRIM(H779))=UPPER(TRIM(I779)),"Self-approved | ",""))&amp;IF(J779="","No support | ","")&amp;IF(WEEKDAY(B779,2)&gt;5,"Weekend posting | ","")&amp;IF(COUNTIF(Settings!$A$14:$A$43,B779)&gt;0,"Holiday posting | ","")&amp;IF(B779&gt;Settings!$C$8,"Posted after close | ","")&amp;IF(OR(B779&lt;Settings!$C$6,B779&gt;Settings!$C$7),"Outside period | ","")&amp;IF(COUNTIF(Settings!$E$14:$E$43,C779&amp;"")&gt;0,"Sensitive account | ","")&amp;IF(AND(MAX(N(E779),N(F779))&gt;=Settings!$C$9,MOD(MAX(N(E779),N(F779)),Settings!$C$10)=0),"Round amount | ",""),LEN(IF(K779="No","Does not balance | ","")&amp;IF(I779="","Not approved | ",IF(UPPER(TRIM(H779))=UPPER(TRIM(I779)),"Self-approved | ",""))&amp;IF(J779="","No support | ","")&amp;IF(WEEKDAY(B779,2)&gt;5,"Weekend posting | ","")&amp;IF(COUNTIF(Settings!$A$14:$A$43,B779)&gt;0,"Holiday posting | ","")&amp;IF(B779&gt;Settings!$C$8,"Posted after close | ","")&amp;IF(OR(B779&lt;Settings!$C$6,B779&gt;Settings!$C$7),"Outside period | ","")&amp;IF(COUNTIF(Settings!$E$14:$E$43,C779&amp;"")&gt;0,"Sensitive account | ","")&amp;IF(AND(MAX(N(E779),N(F779))&gt;=Settings!$C$9,MOD(MAX(N(E779),N(F779)),Settings!$C$10)=0),"Round amount | ",""))-3)))</f>
        <v/>
      </c>
      <c r="M779" s="21" t="str">
        <f aca="false">IF(A779="","",IF(COUNTIF($A$9:A779,A779)=1,MAX($M$8:M778)+1,""))</f>
        <v/>
      </c>
    </row>
    <row r="780" customFormat="false" ht="15" hidden="false" customHeight="false" outlineLevel="0" collapsed="false">
      <c r="A780" s="8"/>
      <c r="B780" s="17"/>
      <c r="C780" s="19"/>
      <c r="D780" s="8"/>
      <c r="E780" s="18"/>
      <c r="F780" s="18"/>
      <c r="G780" s="8"/>
      <c r="H780" s="8"/>
      <c r="I780" s="8"/>
      <c r="J780" s="8"/>
      <c r="K780" s="10" t="str">
        <f aca="false">IF(A780="","",IF(ABS(SUMIFS($E$9:$E$2008,$A$9:$A$2008,A780)-SUMIFS($F$9:$F$2008,$A$9:$A$2008,A780))&lt;0.5,"Yes","No"))</f>
        <v/>
      </c>
      <c r="L780" s="10" t="str">
        <f aca="false">IF(A780="","",IF(IF(K780="No","Does not balance | ","")&amp;IF(I780="","Not approved | ",IF(UPPER(TRIM(H780))=UPPER(TRIM(I780)),"Self-approved | ",""))&amp;IF(J780="","No support | ","")&amp;IF(WEEKDAY(B780,2)&gt;5,"Weekend posting | ","")&amp;IF(COUNTIF(Settings!$A$14:$A$43,B780)&gt;0,"Holiday posting | ","")&amp;IF(B780&gt;Settings!$C$8,"Posted after close | ","")&amp;IF(OR(B780&lt;Settings!$C$6,B780&gt;Settings!$C$7),"Outside period | ","")&amp;IF(COUNTIF(Settings!$E$14:$E$43,C780&amp;"")&gt;0,"Sensitive account | ","")&amp;IF(AND(MAX(N(E780),N(F780))&gt;=Settings!$C$9,MOD(MAX(N(E780),N(F780)),Settings!$C$10)=0),"Round amount | ","")="","",LEFT(IF(K780="No","Does not balance | ","")&amp;IF(I780="","Not approved | ",IF(UPPER(TRIM(H780))=UPPER(TRIM(I780)),"Self-approved | ",""))&amp;IF(J780="","No support | ","")&amp;IF(WEEKDAY(B780,2)&gt;5,"Weekend posting | ","")&amp;IF(COUNTIF(Settings!$A$14:$A$43,B780)&gt;0,"Holiday posting | ","")&amp;IF(B780&gt;Settings!$C$8,"Posted after close | ","")&amp;IF(OR(B780&lt;Settings!$C$6,B780&gt;Settings!$C$7),"Outside period | ","")&amp;IF(COUNTIF(Settings!$E$14:$E$43,C780&amp;"")&gt;0,"Sensitive account | ","")&amp;IF(AND(MAX(N(E780),N(F780))&gt;=Settings!$C$9,MOD(MAX(N(E780),N(F780)),Settings!$C$10)=0),"Round amount | ",""),LEN(IF(K780="No","Does not balance | ","")&amp;IF(I780="","Not approved | ",IF(UPPER(TRIM(H780))=UPPER(TRIM(I780)),"Self-approved | ",""))&amp;IF(J780="","No support | ","")&amp;IF(WEEKDAY(B780,2)&gt;5,"Weekend posting | ","")&amp;IF(COUNTIF(Settings!$A$14:$A$43,B780)&gt;0,"Holiday posting | ","")&amp;IF(B780&gt;Settings!$C$8,"Posted after close | ","")&amp;IF(OR(B780&lt;Settings!$C$6,B780&gt;Settings!$C$7),"Outside period | ","")&amp;IF(COUNTIF(Settings!$E$14:$E$43,C780&amp;"")&gt;0,"Sensitive account | ","")&amp;IF(AND(MAX(N(E780),N(F780))&gt;=Settings!$C$9,MOD(MAX(N(E780),N(F780)),Settings!$C$10)=0),"Round amount | ",""))-3)))</f>
        <v/>
      </c>
      <c r="M780" s="21" t="str">
        <f aca="false">IF(A780="","",IF(COUNTIF($A$9:A780,A780)=1,MAX($M$8:M779)+1,""))</f>
        <v/>
      </c>
    </row>
    <row r="781" customFormat="false" ht="15" hidden="false" customHeight="false" outlineLevel="0" collapsed="false">
      <c r="A781" s="8"/>
      <c r="B781" s="17"/>
      <c r="C781" s="19"/>
      <c r="D781" s="8"/>
      <c r="E781" s="18"/>
      <c r="F781" s="18"/>
      <c r="G781" s="8"/>
      <c r="H781" s="8"/>
      <c r="I781" s="8"/>
      <c r="J781" s="8"/>
      <c r="K781" s="10" t="str">
        <f aca="false">IF(A781="","",IF(ABS(SUMIFS($E$9:$E$2008,$A$9:$A$2008,A781)-SUMIFS($F$9:$F$2008,$A$9:$A$2008,A781))&lt;0.5,"Yes","No"))</f>
        <v/>
      </c>
      <c r="L781" s="10" t="str">
        <f aca="false">IF(A781="","",IF(IF(K781="No","Does not balance | ","")&amp;IF(I781="","Not approved | ",IF(UPPER(TRIM(H781))=UPPER(TRIM(I781)),"Self-approved | ",""))&amp;IF(J781="","No support | ","")&amp;IF(WEEKDAY(B781,2)&gt;5,"Weekend posting | ","")&amp;IF(COUNTIF(Settings!$A$14:$A$43,B781)&gt;0,"Holiday posting | ","")&amp;IF(B781&gt;Settings!$C$8,"Posted after close | ","")&amp;IF(OR(B781&lt;Settings!$C$6,B781&gt;Settings!$C$7),"Outside period | ","")&amp;IF(COUNTIF(Settings!$E$14:$E$43,C781&amp;"")&gt;0,"Sensitive account | ","")&amp;IF(AND(MAX(N(E781),N(F781))&gt;=Settings!$C$9,MOD(MAX(N(E781),N(F781)),Settings!$C$10)=0),"Round amount | ","")="","",LEFT(IF(K781="No","Does not balance | ","")&amp;IF(I781="","Not approved | ",IF(UPPER(TRIM(H781))=UPPER(TRIM(I781)),"Self-approved | ",""))&amp;IF(J781="","No support | ","")&amp;IF(WEEKDAY(B781,2)&gt;5,"Weekend posting | ","")&amp;IF(COUNTIF(Settings!$A$14:$A$43,B781)&gt;0,"Holiday posting | ","")&amp;IF(B781&gt;Settings!$C$8,"Posted after close | ","")&amp;IF(OR(B781&lt;Settings!$C$6,B781&gt;Settings!$C$7),"Outside period | ","")&amp;IF(COUNTIF(Settings!$E$14:$E$43,C781&amp;"")&gt;0,"Sensitive account | ","")&amp;IF(AND(MAX(N(E781),N(F781))&gt;=Settings!$C$9,MOD(MAX(N(E781),N(F781)),Settings!$C$10)=0),"Round amount | ",""),LEN(IF(K781="No","Does not balance | ","")&amp;IF(I781="","Not approved | ",IF(UPPER(TRIM(H781))=UPPER(TRIM(I781)),"Self-approved | ",""))&amp;IF(J781="","No support | ","")&amp;IF(WEEKDAY(B781,2)&gt;5,"Weekend posting | ","")&amp;IF(COUNTIF(Settings!$A$14:$A$43,B781)&gt;0,"Holiday posting | ","")&amp;IF(B781&gt;Settings!$C$8,"Posted after close | ","")&amp;IF(OR(B781&lt;Settings!$C$6,B781&gt;Settings!$C$7),"Outside period | ","")&amp;IF(COUNTIF(Settings!$E$14:$E$43,C781&amp;"")&gt;0,"Sensitive account | ","")&amp;IF(AND(MAX(N(E781),N(F781))&gt;=Settings!$C$9,MOD(MAX(N(E781),N(F781)),Settings!$C$10)=0),"Round amount | ",""))-3)))</f>
        <v/>
      </c>
      <c r="M781" s="21" t="str">
        <f aca="false">IF(A781="","",IF(COUNTIF($A$9:A781,A781)=1,MAX($M$8:M780)+1,""))</f>
        <v/>
      </c>
    </row>
    <row r="782" customFormat="false" ht="15" hidden="false" customHeight="false" outlineLevel="0" collapsed="false">
      <c r="A782" s="8"/>
      <c r="B782" s="17"/>
      <c r="C782" s="19"/>
      <c r="D782" s="8"/>
      <c r="E782" s="18"/>
      <c r="F782" s="18"/>
      <c r="G782" s="8"/>
      <c r="H782" s="8"/>
      <c r="I782" s="8"/>
      <c r="J782" s="8"/>
      <c r="K782" s="10" t="str">
        <f aca="false">IF(A782="","",IF(ABS(SUMIFS($E$9:$E$2008,$A$9:$A$2008,A782)-SUMIFS($F$9:$F$2008,$A$9:$A$2008,A782))&lt;0.5,"Yes","No"))</f>
        <v/>
      </c>
      <c r="L782" s="10" t="str">
        <f aca="false">IF(A782="","",IF(IF(K782="No","Does not balance | ","")&amp;IF(I782="","Not approved | ",IF(UPPER(TRIM(H782))=UPPER(TRIM(I782)),"Self-approved | ",""))&amp;IF(J782="","No support | ","")&amp;IF(WEEKDAY(B782,2)&gt;5,"Weekend posting | ","")&amp;IF(COUNTIF(Settings!$A$14:$A$43,B782)&gt;0,"Holiday posting | ","")&amp;IF(B782&gt;Settings!$C$8,"Posted after close | ","")&amp;IF(OR(B782&lt;Settings!$C$6,B782&gt;Settings!$C$7),"Outside period | ","")&amp;IF(COUNTIF(Settings!$E$14:$E$43,C782&amp;"")&gt;0,"Sensitive account | ","")&amp;IF(AND(MAX(N(E782),N(F782))&gt;=Settings!$C$9,MOD(MAX(N(E782),N(F782)),Settings!$C$10)=0),"Round amount | ","")="","",LEFT(IF(K782="No","Does not balance | ","")&amp;IF(I782="","Not approved | ",IF(UPPER(TRIM(H782))=UPPER(TRIM(I782)),"Self-approved | ",""))&amp;IF(J782="","No support | ","")&amp;IF(WEEKDAY(B782,2)&gt;5,"Weekend posting | ","")&amp;IF(COUNTIF(Settings!$A$14:$A$43,B782)&gt;0,"Holiday posting | ","")&amp;IF(B782&gt;Settings!$C$8,"Posted after close | ","")&amp;IF(OR(B782&lt;Settings!$C$6,B782&gt;Settings!$C$7),"Outside period | ","")&amp;IF(COUNTIF(Settings!$E$14:$E$43,C782&amp;"")&gt;0,"Sensitive account | ","")&amp;IF(AND(MAX(N(E782),N(F782))&gt;=Settings!$C$9,MOD(MAX(N(E782),N(F782)),Settings!$C$10)=0),"Round amount | ",""),LEN(IF(K782="No","Does not balance | ","")&amp;IF(I782="","Not approved | ",IF(UPPER(TRIM(H782))=UPPER(TRIM(I782)),"Self-approved | ",""))&amp;IF(J782="","No support | ","")&amp;IF(WEEKDAY(B782,2)&gt;5,"Weekend posting | ","")&amp;IF(COUNTIF(Settings!$A$14:$A$43,B782)&gt;0,"Holiday posting | ","")&amp;IF(B782&gt;Settings!$C$8,"Posted after close | ","")&amp;IF(OR(B782&lt;Settings!$C$6,B782&gt;Settings!$C$7),"Outside period | ","")&amp;IF(COUNTIF(Settings!$E$14:$E$43,C782&amp;"")&gt;0,"Sensitive account | ","")&amp;IF(AND(MAX(N(E782),N(F782))&gt;=Settings!$C$9,MOD(MAX(N(E782),N(F782)),Settings!$C$10)=0),"Round amount | ",""))-3)))</f>
        <v/>
      </c>
      <c r="M782" s="21" t="str">
        <f aca="false">IF(A782="","",IF(COUNTIF($A$9:A782,A782)=1,MAX($M$8:M781)+1,""))</f>
        <v/>
      </c>
    </row>
    <row r="783" customFormat="false" ht="15" hidden="false" customHeight="false" outlineLevel="0" collapsed="false">
      <c r="A783" s="8"/>
      <c r="B783" s="17"/>
      <c r="C783" s="19"/>
      <c r="D783" s="8"/>
      <c r="E783" s="18"/>
      <c r="F783" s="18"/>
      <c r="G783" s="8"/>
      <c r="H783" s="8"/>
      <c r="I783" s="8"/>
      <c r="J783" s="8"/>
      <c r="K783" s="10" t="str">
        <f aca="false">IF(A783="","",IF(ABS(SUMIFS($E$9:$E$2008,$A$9:$A$2008,A783)-SUMIFS($F$9:$F$2008,$A$9:$A$2008,A783))&lt;0.5,"Yes","No"))</f>
        <v/>
      </c>
      <c r="L783" s="10" t="str">
        <f aca="false">IF(A783="","",IF(IF(K783="No","Does not balance | ","")&amp;IF(I783="","Not approved | ",IF(UPPER(TRIM(H783))=UPPER(TRIM(I783)),"Self-approved | ",""))&amp;IF(J783="","No support | ","")&amp;IF(WEEKDAY(B783,2)&gt;5,"Weekend posting | ","")&amp;IF(COUNTIF(Settings!$A$14:$A$43,B783)&gt;0,"Holiday posting | ","")&amp;IF(B783&gt;Settings!$C$8,"Posted after close | ","")&amp;IF(OR(B783&lt;Settings!$C$6,B783&gt;Settings!$C$7),"Outside period | ","")&amp;IF(COUNTIF(Settings!$E$14:$E$43,C783&amp;"")&gt;0,"Sensitive account | ","")&amp;IF(AND(MAX(N(E783),N(F783))&gt;=Settings!$C$9,MOD(MAX(N(E783),N(F783)),Settings!$C$10)=0),"Round amount | ","")="","",LEFT(IF(K783="No","Does not balance | ","")&amp;IF(I783="","Not approved | ",IF(UPPER(TRIM(H783))=UPPER(TRIM(I783)),"Self-approved | ",""))&amp;IF(J783="","No support | ","")&amp;IF(WEEKDAY(B783,2)&gt;5,"Weekend posting | ","")&amp;IF(COUNTIF(Settings!$A$14:$A$43,B783)&gt;0,"Holiday posting | ","")&amp;IF(B783&gt;Settings!$C$8,"Posted after close | ","")&amp;IF(OR(B783&lt;Settings!$C$6,B783&gt;Settings!$C$7),"Outside period | ","")&amp;IF(COUNTIF(Settings!$E$14:$E$43,C783&amp;"")&gt;0,"Sensitive account | ","")&amp;IF(AND(MAX(N(E783),N(F783))&gt;=Settings!$C$9,MOD(MAX(N(E783),N(F783)),Settings!$C$10)=0),"Round amount | ",""),LEN(IF(K783="No","Does not balance | ","")&amp;IF(I783="","Not approved | ",IF(UPPER(TRIM(H783))=UPPER(TRIM(I783)),"Self-approved | ",""))&amp;IF(J783="","No support | ","")&amp;IF(WEEKDAY(B783,2)&gt;5,"Weekend posting | ","")&amp;IF(COUNTIF(Settings!$A$14:$A$43,B783)&gt;0,"Holiday posting | ","")&amp;IF(B783&gt;Settings!$C$8,"Posted after close | ","")&amp;IF(OR(B783&lt;Settings!$C$6,B783&gt;Settings!$C$7),"Outside period | ","")&amp;IF(COUNTIF(Settings!$E$14:$E$43,C783&amp;"")&gt;0,"Sensitive account | ","")&amp;IF(AND(MAX(N(E783),N(F783))&gt;=Settings!$C$9,MOD(MAX(N(E783),N(F783)),Settings!$C$10)=0),"Round amount | ",""))-3)))</f>
        <v/>
      </c>
      <c r="M783" s="21" t="str">
        <f aca="false">IF(A783="","",IF(COUNTIF($A$9:A783,A783)=1,MAX($M$8:M782)+1,""))</f>
        <v/>
      </c>
    </row>
    <row r="784" customFormat="false" ht="15" hidden="false" customHeight="false" outlineLevel="0" collapsed="false">
      <c r="A784" s="8"/>
      <c r="B784" s="17"/>
      <c r="C784" s="19"/>
      <c r="D784" s="8"/>
      <c r="E784" s="18"/>
      <c r="F784" s="18"/>
      <c r="G784" s="8"/>
      <c r="H784" s="8"/>
      <c r="I784" s="8"/>
      <c r="J784" s="8"/>
      <c r="K784" s="10" t="str">
        <f aca="false">IF(A784="","",IF(ABS(SUMIFS($E$9:$E$2008,$A$9:$A$2008,A784)-SUMIFS($F$9:$F$2008,$A$9:$A$2008,A784))&lt;0.5,"Yes","No"))</f>
        <v/>
      </c>
      <c r="L784" s="10" t="str">
        <f aca="false">IF(A784="","",IF(IF(K784="No","Does not balance | ","")&amp;IF(I784="","Not approved | ",IF(UPPER(TRIM(H784))=UPPER(TRIM(I784)),"Self-approved | ",""))&amp;IF(J784="","No support | ","")&amp;IF(WEEKDAY(B784,2)&gt;5,"Weekend posting | ","")&amp;IF(COUNTIF(Settings!$A$14:$A$43,B784)&gt;0,"Holiday posting | ","")&amp;IF(B784&gt;Settings!$C$8,"Posted after close | ","")&amp;IF(OR(B784&lt;Settings!$C$6,B784&gt;Settings!$C$7),"Outside period | ","")&amp;IF(COUNTIF(Settings!$E$14:$E$43,C784&amp;"")&gt;0,"Sensitive account | ","")&amp;IF(AND(MAX(N(E784),N(F784))&gt;=Settings!$C$9,MOD(MAX(N(E784),N(F784)),Settings!$C$10)=0),"Round amount | ","")="","",LEFT(IF(K784="No","Does not balance | ","")&amp;IF(I784="","Not approved | ",IF(UPPER(TRIM(H784))=UPPER(TRIM(I784)),"Self-approved | ",""))&amp;IF(J784="","No support | ","")&amp;IF(WEEKDAY(B784,2)&gt;5,"Weekend posting | ","")&amp;IF(COUNTIF(Settings!$A$14:$A$43,B784)&gt;0,"Holiday posting | ","")&amp;IF(B784&gt;Settings!$C$8,"Posted after close | ","")&amp;IF(OR(B784&lt;Settings!$C$6,B784&gt;Settings!$C$7),"Outside period | ","")&amp;IF(COUNTIF(Settings!$E$14:$E$43,C784&amp;"")&gt;0,"Sensitive account | ","")&amp;IF(AND(MAX(N(E784),N(F784))&gt;=Settings!$C$9,MOD(MAX(N(E784),N(F784)),Settings!$C$10)=0),"Round amount | ",""),LEN(IF(K784="No","Does not balance | ","")&amp;IF(I784="","Not approved | ",IF(UPPER(TRIM(H784))=UPPER(TRIM(I784)),"Self-approved | ",""))&amp;IF(J784="","No support | ","")&amp;IF(WEEKDAY(B784,2)&gt;5,"Weekend posting | ","")&amp;IF(COUNTIF(Settings!$A$14:$A$43,B784)&gt;0,"Holiday posting | ","")&amp;IF(B784&gt;Settings!$C$8,"Posted after close | ","")&amp;IF(OR(B784&lt;Settings!$C$6,B784&gt;Settings!$C$7),"Outside period | ","")&amp;IF(COUNTIF(Settings!$E$14:$E$43,C784&amp;"")&gt;0,"Sensitive account | ","")&amp;IF(AND(MAX(N(E784),N(F784))&gt;=Settings!$C$9,MOD(MAX(N(E784),N(F784)),Settings!$C$10)=0),"Round amount | ",""))-3)))</f>
        <v/>
      </c>
      <c r="M784" s="21" t="str">
        <f aca="false">IF(A784="","",IF(COUNTIF($A$9:A784,A784)=1,MAX($M$8:M783)+1,""))</f>
        <v/>
      </c>
    </row>
    <row r="785" customFormat="false" ht="15" hidden="false" customHeight="false" outlineLevel="0" collapsed="false">
      <c r="A785" s="8"/>
      <c r="B785" s="17"/>
      <c r="C785" s="19"/>
      <c r="D785" s="8"/>
      <c r="E785" s="18"/>
      <c r="F785" s="18"/>
      <c r="G785" s="8"/>
      <c r="H785" s="8"/>
      <c r="I785" s="8"/>
      <c r="J785" s="8"/>
      <c r="K785" s="10" t="str">
        <f aca="false">IF(A785="","",IF(ABS(SUMIFS($E$9:$E$2008,$A$9:$A$2008,A785)-SUMIFS($F$9:$F$2008,$A$9:$A$2008,A785))&lt;0.5,"Yes","No"))</f>
        <v/>
      </c>
      <c r="L785" s="10" t="str">
        <f aca="false">IF(A785="","",IF(IF(K785="No","Does not balance | ","")&amp;IF(I785="","Not approved | ",IF(UPPER(TRIM(H785))=UPPER(TRIM(I785)),"Self-approved | ",""))&amp;IF(J785="","No support | ","")&amp;IF(WEEKDAY(B785,2)&gt;5,"Weekend posting | ","")&amp;IF(COUNTIF(Settings!$A$14:$A$43,B785)&gt;0,"Holiday posting | ","")&amp;IF(B785&gt;Settings!$C$8,"Posted after close | ","")&amp;IF(OR(B785&lt;Settings!$C$6,B785&gt;Settings!$C$7),"Outside period | ","")&amp;IF(COUNTIF(Settings!$E$14:$E$43,C785&amp;"")&gt;0,"Sensitive account | ","")&amp;IF(AND(MAX(N(E785),N(F785))&gt;=Settings!$C$9,MOD(MAX(N(E785),N(F785)),Settings!$C$10)=0),"Round amount | ","")="","",LEFT(IF(K785="No","Does not balance | ","")&amp;IF(I785="","Not approved | ",IF(UPPER(TRIM(H785))=UPPER(TRIM(I785)),"Self-approved | ",""))&amp;IF(J785="","No support | ","")&amp;IF(WEEKDAY(B785,2)&gt;5,"Weekend posting | ","")&amp;IF(COUNTIF(Settings!$A$14:$A$43,B785)&gt;0,"Holiday posting | ","")&amp;IF(B785&gt;Settings!$C$8,"Posted after close | ","")&amp;IF(OR(B785&lt;Settings!$C$6,B785&gt;Settings!$C$7),"Outside period | ","")&amp;IF(COUNTIF(Settings!$E$14:$E$43,C785&amp;"")&gt;0,"Sensitive account | ","")&amp;IF(AND(MAX(N(E785),N(F785))&gt;=Settings!$C$9,MOD(MAX(N(E785),N(F785)),Settings!$C$10)=0),"Round amount | ",""),LEN(IF(K785="No","Does not balance | ","")&amp;IF(I785="","Not approved | ",IF(UPPER(TRIM(H785))=UPPER(TRIM(I785)),"Self-approved | ",""))&amp;IF(J785="","No support | ","")&amp;IF(WEEKDAY(B785,2)&gt;5,"Weekend posting | ","")&amp;IF(COUNTIF(Settings!$A$14:$A$43,B785)&gt;0,"Holiday posting | ","")&amp;IF(B785&gt;Settings!$C$8,"Posted after close | ","")&amp;IF(OR(B785&lt;Settings!$C$6,B785&gt;Settings!$C$7),"Outside period | ","")&amp;IF(COUNTIF(Settings!$E$14:$E$43,C785&amp;"")&gt;0,"Sensitive account | ","")&amp;IF(AND(MAX(N(E785),N(F785))&gt;=Settings!$C$9,MOD(MAX(N(E785),N(F785)),Settings!$C$10)=0),"Round amount | ",""))-3)))</f>
        <v/>
      </c>
      <c r="M785" s="21" t="str">
        <f aca="false">IF(A785="","",IF(COUNTIF($A$9:A785,A785)=1,MAX($M$8:M784)+1,""))</f>
        <v/>
      </c>
    </row>
    <row r="786" customFormat="false" ht="15" hidden="false" customHeight="false" outlineLevel="0" collapsed="false">
      <c r="A786" s="8"/>
      <c r="B786" s="17"/>
      <c r="C786" s="19"/>
      <c r="D786" s="8"/>
      <c r="E786" s="18"/>
      <c r="F786" s="18"/>
      <c r="G786" s="8"/>
      <c r="H786" s="8"/>
      <c r="I786" s="8"/>
      <c r="J786" s="8"/>
      <c r="K786" s="10" t="str">
        <f aca="false">IF(A786="","",IF(ABS(SUMIFS($E$9:$E$2008,$A$9:$A$2008,A786)-SUMIFS($F$9:$F$2008,$A$9:$A$2008,A786))&lt;0.5,"Yes","No"))</f>
        <v/>
      </c>
      <c r="L786" s="10" t="str">
        <f aca="false">IF(A786="","",IF(IF(K786="No","Does not balance | ","")&amp;IF(I786="","Not approved | ",IF(UPPER(TRIM(H786))=UPPER(TRIM(I786)),"Self-approved | ",""))&amp;IF(J786="","No support | ","")&amp;IF(WEEKDAY(B786,2)&gt;5,"Weekend posting | ","")&amp;IF(COUNTIF(Settings!$A$14:$A$43,B786)&gt;0,"Holiday posting | ","")&amp;IF(B786&gt;Settings!$C$8,"Posted after close | ","")&amp;IF(OR(B786&lt;Settings!$C$6,B786&gt;Settings!$C$7),"Outside period | ","")&amp;IF(COUNTIF(Settings!$E$14:$E$43,C786&amp;"")&gt;0,"Sensitive account | ","")&amp;IF(AND(MAX(N(E786),N(F786))&gt;=Settings!$C$9,MOD(MAX(N(E786),N(F786)),Settings!$C$10)=0),"Round amount | ","")="","",LEFT(IF(K786="No","Does not balance | ","")&amp;IF(I786="","Not approved | ",IF(UPPER(TRIM(H786))=UPPER(TRIM(I786)),"Self-approved | ",""))&amp;IF(J786="","No support | ","")&amp;IF(WEEKDAY(B786,2)&gt;5,"Weekend posting | ","")&amp;IF(COUNTIF(Settings!$A$14:$A$43,B786)&gt;0,"Holiday posting | ","")&amp;IF(B786&gt;Settings!$C$8,"Posted after close | ","")&amp;IF(OR(B786&lt;Settings!$C$6,B786&gt;Settings!$C$7),"Outside period | ","")&amp;IF(COUNTIF(Settings!$E$14:$E$43,C786&amp;"")&gt;0,"Sensitive account | ","")&amp;IF(AND(MAX(N(E786),N(F786))&gt;=Settings!$C$9,MOD(MAX(N(E786),N(F786)),Settings!$C$10)=0),"Round amount | ",""),LEN(IF(K786="No","Does not balance | ","")&amp;IF(I786="","Not approved | ",IF(UPPER(TRIM(H786))=UPPER(TRIM(I786)),"Self-approved | ",""))&amp;IF(J786="","No support | ","")&amp;IF(WEEKDAY(B786,2)&gt;5,"Weekend posting | ","")&amp;IF(COUNTIF(Settings!$A$14:$A$43,B786)&gt;0,"Holiday posting | ","")&amp;IF(B786&gt;Settings!$C$8,"Posted after close | ","")&amp;IF(OR(B786&lt;Settings!$C$6,B786&gt;Settings!$C$7),"Outside period | ","")&amp;IF(COUNTIF(Settings!$E$14:$E$43,C786&amp;"")&gt;0,"Sensitive account | ","")&amp;IF(AND(MAX(N(E786),N(F786))&gt;=Settings!$C$9,MOD(MAX(N(E786),N(F786)),Settings!$C$10)=0),"Round amount | ",""))-3)))</f>
        <v/>
      </c>
      <c r="M786" s="21" t="str">
        <f aca="false">IF(A786="","",IF(COUNTIF($A$9:A786,A786)=1,MAX($M$8:M785)+1,""))</f>
        <v/>
      </c>
    </row>
    <row r="787" customFormat="false" ht="15" hidden="false" customHeight="false" outlineLevel="0" collapsed="false">
      <c r="A787" s="8"/>
      <c r="B787" s="17"/>
      <c r="C787" s="19"/>
      <c r="D787" s="8"/>
      <c r="E787" s="18"/>
      <c r="F787" s="18"/>
      <c r="G787" s="8"/>
      <c r="H787" s="8"/>
      <c r="I787" s="8"/>
      <c r="J787" s="8"/>
      <c r="K787" s="10" t="str">
        <f aca="false">IF(A787="","",IF(ABS(SUMIFS($E$9:$E$2008,$A$9:$A$2008,A787)-SUMIFS($F$9:$F$2008,$A$9:$A$2008,A787))&lt;0.5,"Yes","No"))</f>
        <v/>
      </c>
      <c r="L787" s="10" t="str">
        <f aca="false">IF(A787="","",IF(IF(K787="No","Does not balance | ","")&amp;IF(I787="","Not approved | ",IF(UPPER(TRIM(H787))=UPPER(TRIM(I787)),"Self-approved | ",""))&amp;IF(J787="","No support | ","")&amp;IF(WEEKDAY(B787,2)&gt;5,"Weekend posting | ","")&amp;IF(COUNTIF(Settings!$A$14:$A$43,B787)&gt;0,"Holiday posting | ","")&amp;IF(B787&gt;Settings!$C$8,"Posted after close | ","")&amp;IF(OR(B787&lt;Settings!$C$6,B787&gt;Settings!$C$7),"Outside period | ","")&amp;IF(COUNTIF(Settings!$E$14:$E$43,C787&amp;"")&gt;0,"Sensitive account | ","")&amp;IF(AND(MAX(N(E787),N(F787))&gt;=Settings!$C$9,MOD(MAX(N(E787),N(F787)),Settings!$C$10)=0),"Round amount | ","")="","",LEFT(IF(K787="No","Does not balance | ","")&amp;IF(I787="","Not approved | ",IF(UPPER(TRIM(H787))=UPPER(TRIM(I787)),"Self-approved | ",""))&amp;IF(J787="","No support | ","")&amp;IF(WEEKDAY(B787,2)&gt;5,"Weekend posting | ","")&amp;IF(COUNTIF(Settings!$A$14:$A$43,B787)&gt;0,"Holiday posting | ","")&amp;IF(B787&gt;Settings!$C$8,"Posted after close | ","")&amp;IF(OR(B787&lt;Settings!$C$6,B787&gt;Settings!$C$7),"Outside period | ","")&amp;IF(COUNTIF(Settings!$E$14:$E$43,C787&amp;"")&gt;0,"Sensitive account | ","")&amp;IF(AND(MAX(N(E787),N(F787))&gt;=Settings!$C$9,MOD(MAX(N(E787),N(F787)),Settings!$C$10)=0),"Round amount | ",""),LEN(IF(K787="No","Does not balance | ","")&amp;IF(I787="","Not approved | ",IF(UPPER(TRIM(H787))=UPPER(TRIM(I787)),"Self-approved | ",""))&amp;IF(J787="","No support | ","")&amp;IF(WEEKDAY(B787,2)&gt;5,"Weekend posting | ","")&amp;IF(COUNTIF(Settings!$A$14:$A$43,B787)&gt;0,"Holiday posting | ","")&amp;IF(B787&gt;Settings!$C$8,"Posted after close | ","")&amp;IF(OR(B787&lt;Settings!$C$6,B787&gt;Settings!$C$7),"Outside period | ","")&amp;IF(COUNTIF(Settings!$E$14:$E$43,C787&amp;"")&gt;0,"Sensitive account | ","")&amp;IF(AND(MAX(N(E787),N(F787))&gt;=Settings!$C$9,MOD(MAX(N(E787),N(F787)),Settings!$C$10)=0),"Round amount | ",""))-3)))</f>
        <v/>
      </c>
      <c r="M787" s="21" t="str">
        <f aca="false">IF(A787="","",IF(COUNTIF($A$9:A787,A787)=1,MAX($M$8:M786)+1,""))</f>
        <v/>
      </c>
    </row>
    <row r="788" customFormat="false" ht="15" hidden="false" customHeight="false" outlineLevel="0" collapsed="false">
      <c r="A788" s="8"/>
      <c r="B788" s="17"/>
      <c r="C788" s="19"/>
      <c r="D788" s="8"/>
      <c r="E788" s="18"/>
      <c r="F788" s="18"/>
      <c r="G788" s="8"/>
      <c r="H788" s="8"/>
      <c r="I788" s="8"/>
      <c r="J788" s="8"/>
      <c r="K788" s="10" t="str">
        <f aca="false">IF(A788="","",IF(ABS(SUMIFS($E$9:$E$2008,$A$9:$A$2008,A788)-SUMIFS($F$9:$F$2008,$A$9:$A$2008,A788))&lt;0.5,"Yes","No"))</f>
        <v/>
      </c>
      <c r="L788" s="10" t="str">
        <f aca="false">IF(A788="","",IF(IF(K788="No","Does not balance | ","")&amp;IF(I788="","Not approved | ",IF(UPPER(TRIM(H788))=UPPER(TRIM(I788)),"Self-approved | ",""))&amp;IF(J788="","No support | ","")&amp;IF(WEEKDAY(B788,2)&gt;5,"Weekend posting | ","")&amp;IF(COUNTIF(Settings!$A$14:$A$43,B788)&gt;0,"Holiday posting | ","")&amp;IF(B788&gt;Settings!$C$8,"Posted after close | ","")&amp;IF(OR(B788&lt;Settings!$C$6,B788&gt;Settings!$C$7),"Outside period | ","")&amp;IF(COUNTIF(Settings!$E$14:$E$43,C788&amp;"")&gt;0,"Sensitive account | ","")&amp;IF(AND(MAX(N(E788),N(F788))&gt;=Settings!$C$9,MOD(MAX(N(E788),N(F788)),Settings!$C$10)=0),"Round amount | ","")="","",LEFT(IF(K788="No","Does not balance | ","")&amp;IF(I788="","Not approved | ",IF(UPPER(TRIM(H788))=UPPER(TRIM(I788)),"Self-approved | ",""))&amp;IF(J788="","No support | ","")&amp;IF(WEEKDAY(B788,2)&gt;5,"Weekend posting | ","")&amp;IF(COUNTIF(Settings!$A$14:$A$43,B788)&gt;0,"Holiday posting | ","")&amp;IF(B788&gt;Settings!$C$8,"Posted after close | ","")&amp;IF(OR(B788&lt;Settings!$C$6,B788&gt;Settings!$C$7),"Outside period | ","")&amp;IF(COUNTIF(Settings!$E$14:$E$43,C788&amp;"")&gt;0,"Sensitive account | ","")&amp;IF(AND(MAX(N(E788),N(F788))&gt;=Settings!$C$9,MOD(MAX(N(E788),N(F788)),Settings!$C$10)=0),"Round amount | ",""),LEN(IF(K788="No","Does not balance | ","")&amp;IF(I788="","Not approved | ",IF(UPPER(TRIM(H788))=UPPER(TRIM(I788)),"Self-approved | ",""))&amp;IF(J788="","No support | ","")&amp;IF(WEEKDAY(B788,2)&gt;5,"Weekend posting | ","")&amp;IF(COUNTIF(Settings!$A$14:$A$43,B788)&gt;0,"Holiday posting | ","")&amp;IF(B788&gt;Settings!$C$8,"Posted after close | ","")&amp;IF(OR(B788&lt;Settings!$C$6,B788&gt;Settings!$C$7),"Outside period | ","")&amp;IF(COUNTIF(Settings!$E$14:$E$43,C788&amp;"")&gt;0,"Sensitive account | ","")&amp;IF(AND(MAX(N(E788),N(F788))&gt;=Settings!$C$9,MOD(MAX(N(E788),N(F788)),Settings!$C$10)=0),"Round amount | ",""))-3)))</f>
        <v/>
      </c>
      <c r="M788" s="21" t="str">
        <f aca="false">IF(A788="","",IF(COUNTIF($A$9:A788,A788)=1,MAX($M$8:M787)+1,""))</f>
        <v/>
      </c>
    </row>
    <row r="789" customFormat="false" ht="15" hidden="false" customHeight="false" outlineLevel="0" collapsed="false">
      <c r="A789" s="8"/>
      <c r="B789" s="17"/>
      <c r="C789" s="19"/>
      <c r="D789" s="8"/>
      <c r="E789" s="18"/>
      <c r="F789" s="18"/>
      <c r="G789" s="8"/>
      <c r="H789" s="8"/>
      <c r="I789" s="8"/>
      <c r="J789" s="8"/>
      <c r="K789" s="10" t="str">
        <f aca="false">IF(A789="","",IF(ABS(SUMIFS($E$9:$E$2008,$A$9:$A$2008,A789)-SUMIFS($F$9:$F$2008,$A$9:$A$2008,A789))&lt;0.5,"Yes","No"))</f>
        <v/>
      </c>
      <c r="L789" s="10" t="str">
        <f aca="false">IF(A789="","",IF(IF(K789="No","Does not balance | ","")&amp;IF(I789="","Not approved | ",IF(UPPER(TRIM(H789))=UPPER(TRIM(I789)),"Self-approved | ",""))&amp;IF(J789="","No support | ","")&amp;IF(WEEKDAY(B789,2)&gt;5,"Weekend posting | ","")&amp;IF(COUNTIF(Settings!$A$14:$A$43,B789)&gt;0,"Holiday posting | ","")&amp;IF(B789&gt;Settings!$C$8,"Posted after close | ","")&amp;IF(OR(B789&lt;Settings!$C$6,B789&gt;Settings!$C$7),"Outside period | ","")&amp;IF(COUNTIF(Settings!$E$14:$E$43,C789&amp;"")&gt;0,"Sensitive account | ","")&amp;IF(AND(MAX(N(E789),N(F789))&gt;=Settings!$C$9,MOD(MAX(N(E789),N(F789)),Settings!$C$10)=0),"Round amount | ","")="","",LEFT(IF(K789="No","Does not balance | ","")&amp;IF(I789="","Not approved | ",IF(UPPER(TRIM(H789))=UPPER(TRIM(I789)),"Self-approved | ",""))&amp;IF(J789="","No support | ","")&amp;IF(WEEKDAY(B789,2)&gt;5,"Weekend posting | ","")&amp;IF(COUNTIF(Settings!$A$14:$A$43,B789)&gt;0,"Holiday posting | ","")&amp;IF(B789&gt;Settings!$C$8,"Posted after close | ","")&amp;IF(OR(B789&lt;Settings!$C$6,B789&gt;Settings!$C$7),"Outside period | ","")&amp;IF(COUNTIF(Settings!$E$14:$E$43,C789&amp;"")&gt;0,"Sensitive account | ","")&amp;IF(AND(MAX(N(E789),N(F789))&gt;=Settings!$C$9,MOD(MAX(N(E789),N(F789)),Settings!$C$10)=0),"Round amount | ",""),LEN(IF(K789="No","Does not balance | ","")&amp;IF(I789="","Not approved | ",IF(UPPER(TRIM(H789))=UPPER(TRIM(I789)),"Self-approved | ",""))&amp;IF(J789="","No support | ","")&amp;IF(WEEKDAY(B789,2)&gt;5,"Weekend posting | ","")&amp;IF(COUNTIF(Settings!$A$14:$A$43,B789)&gt;0,"Holiday posting | ","")&amp;IF(B789&gt;Settings!$C$8,"Posted after close | ","")&amp;IF(OR(B789&lt;Settings!$C$6,B789&gt;Settings!$C$7),"Outside period | ","")&amp;IF(COUNTIF(Settings!$E$14:$E$43,C789&amp;"")&gt;0,"Sensitive account | ","")&amp;IF(AND(MAX(N(E789),N(F789))&gt;=Settings!$C$9,MOD(MAX(N(E789),N(F789)),Settings!$C$10)=0),"Round amount | ",""))-3)))</f>
        <v/>
      </c>
      <c r="M789" s="21" t="str">
        <f aca="false">IF(A789="","",IF(COUNTIF($A$9:A789,A789)=1,MAX($M$8:M788)+1,""))</f>
        <v/>
      </c>
    </row>
    <row r="790" customFormat="false" ht="15" hidden="false" customHeight="false" outlineLevel="0" collapsed="false">
      <c r="A790" s="8"/>
      <c r="B790" s="17"/>
      <c r="C790" s="19"/>
      <c r="D790" s="8"/>
      <c r="E790" s="18"/>
      <c r="F790" s="18"/>
      <c r="G790" s="8"/>
      <c r="H790" s="8"/>
      <c r="I790" s="8"/>
      <c r="J790" s="8"/>
      <c r="K790" s="10" t="str">
        <f aca="false">IF(A790="","",IF(ABS(SUMIFS($E$9:$E$2008,$A$9:$A$2008,A790)-SUMIFS($F$9:$F$2008,$A$9:$A$2008,A790))&lt;0.5,"Yes","No"))</f>
        <v/>
      </c>
      <c r="L790" s="10" t="str">
        <f aca="false">IF(A790="","",IF(IF(K790="No","Does not balance | ","")&amp;IF(I790="","Not approved | ",IF(UPPER(TRIM(H790))=UPPER(TRIM(I790)),"Self-approved | ",""))&amp;IF(J790="","No support | ","")&amp;IF(WEEKDAY(B790,2)&gt;5,"Weekend posting | ","")&amp;IF(COUNTIF(Settings!$A$14:$A$43,B790)&gt;0,"Holiday posting | ","")&amp;IF(B790&gt;Settings!$C$8,"Posted after close | ","")&amp;IF(OR(B790&lt;Settings!$C$6,B790&gt;Settings!$C$7),"Outside period | ","")&amp;IF(COUNTIF(Settings!$E$14:$E$43,C790&amp;"")&gt;0,"Sensitive account | ","")&amp;IF(AND(MAX(N(E790),N(F790))&gt;=Settings!$C$9,MOD(MAX(N(E790),N(F790)),Settings!$C$10)=0),"Round amount | ","")="","",LEFT(IF(K790="No","Does not balance | ","")&amp;IF(I790="","Not approved | ",IF(UPPER(TRIM(H790))=UPPER(TRIM(I790)),"Self-approved | ",""))&amp;IF(J790="","No support | ","")&amp;IF(WEEKDAY(B790,2)&gt;5,"Weekend posting | ","")&amp;IF(COUNTIF(Settings!$A$14:$A$43,B790)&gt;0,"Holiday posting | ","")&amp;IF(B790&gt;Settings!$C$8,"Posted after close | ","")&amp;IF(OR(B790&lt;Settings!$C$6,B790&gt;Settings!$C$7),"Outside period | ","")&amp;IF(COUNTIF(Settings!$E$14:$E$43,C790&amp;"")&gt;0,"Sensitive account | ","")&amp;IF(AND(MAX(N(E790),N(F790))&gt;=Settings!$C$9,MOD(MAX(N(E790),N(F790)),Settings!$C$10)=0),"Round amount | ",""),LEN(IF(K790="No","Does not balance | ","")&amp;IF(I790="","Not approved | ",IF(UPPER(TRIM(H790))=UPPER(TRIM(I790)),"Self-approved | ",""))&amp;IF(J790="","No support | ","")&amp;IF(WEEKDAY(B790,2)&gt;5,"Weekend posting | ","")&amp;IF(COUNTIF(Settings!$A$14:$A$43,B790)&gt;0,"Holiday posting | ","")&amp;IF(B790&gt;Settings!$C$8,"Posted after close | ","")&amp;IF(OR(B790&lt;Settings!$C$6,B790&gt;Settings!$C$7),"Outside period | ","")&amp;IF(COUNTIF(Settings!$E$14:$E$43,C790&amp;"")&gt;0,"Sensitive account | ","")&amp;IF(AND(MAX(N(E790),N(F790))&gt;=Settings!$C$9,MOD(MAX(N(E790),N(F790)),Settings!$C$10)=0),"Round amount | ",""))-3)))</f>
        <v/>
      </c>
      <c r="M790" s="21" t="str">
        <f aca="false">IF(A790="","",IF(COUNTIF($A$9:A790,A790)=1,MAX($M$8:M789)+1,""))</f>
        <v/>
      </c>
    </row>
    <row r="791" customFormat="false" ht="15" hidden="false" customHeight="false" outlineLevel="0" collapsed="false">
      <c r="A791" s="8"/>
      <c r="B791" s="17"/>
      <c r="C791" s="19"/>
      <c r="D791" s="8"/>
      <c r="E791" s="18"/>
      <c r="F791" s="18"/>
      <c r="G791" s="8"/>
      <c r="H791" s="8"/>
      <c r="I791" s="8"/>
      <c r="J791" s="8"/>
      <c r="K791" s="10" t="str">
        <f aca="false">IF(A791="","",IF(ABS(SUMIFS($E$9:$E$2008,$A$9:$A$2008,A791)-SUMIFS($F$9:$F$2008,$A$9:$A$2008,A791))&lt;0.5,"Yes","No"))</f>
        <v/>
      </c>
      <c r="L791" s="10" t="str">
        <f aca="false">IF(A791="","",IF(IF(K791="No","Does not balance | ","")&amp;IF(I791="","Not approved | ",IF(UPPER(TRIM(H791))=UPPER(TRIM(I791)),"Self-approved | ",""))&amp;IF(J791="","No support | ","")&amp;IF(WEEKDAY(B791,2)&gt;5,"Weekend posting | ","")&amp;IF(COUNTIF(Settings!$A$14:$A$43,B791)&gt;0,"Holiday posting | ","")&amp;IF(B791&gt;Settings!$C$8,"Posted after close | ","")&amp;IF(OR(B791&lt;Settings!$C$6,B791&gt;Settings!$C$7),"Outside period | ","")&amp;IF(COUNTIF(Settings!$E$14:$E$43,C791&amp;"")&gt;0,"Sensitive account | ","")&amp;IF(AND(MAX(N(E791),N(F791))&gt;=Settings!$C$9,MOD(MAX(N(E791),N(F791)),Settings!$C$10)=0),"Round amount | ","")="","",LEFT(IF(K791="No","Does not balance | ","")&amp;IF(I791="","Not approved | ",IF(UPPER(TRIM(H791))=UPPER(TRIM(I791)),"Self-approved | ",""))&amp;IF(J791="","No support | ","")&amp;IF(WEEKDAY(B791,2)&gt;5,"Weekend posting | ","")&amp;IF(COUNTIF(Settings!$A$14:$A$43,B791)&gt;0,"Holiday posting | ","")&amp;IF(B791&gt;Settings!$C$8,"Posted after close | ","")&amp;IF(OR(B791&lt;Settings!$C$6,B791&gt;Settings!$C$7),"Outside period | ","")&amp;IF(COUNTIF(Settings!$E$14:$E$43,C791&amp;"")&gt;0,"Sensitive account | ","")&amp;IF(AND(MAX(N(E791),N(F791))&gt;=Settings!$C$9,MOD(MAX(N(E791),N(F791)),Settings!$C$10)=0),"Round amount | ",""),LEN(IF(K791="No","Does not balance | ","")&amp;IF(I791="","Not approved | ",IF(UPPER(TRIM(H791))=UPPER(TRIM(I791)),"Self-approved | ",""))&amp;IF(J791="","No support | ","")&amp;IF(WEEKDAY(B791,2)&gt;5,"Weekend posting | ","")&amp;IF(COUNTIF(Settings!$A$14:$A$43,B791)&gt;0,"Holiday posting | ","")&amp;IF(B791&gt;Settings!$C$8,"Posted after close | ","")&amp;IF(OR(B791&lt;Settings!$C$6,B791&gt;Settings!$C$7),"Outside period | ","")&amp;IF(COUNTIF(Settings!$E$14:$E$43,C791&amp;"")&gt;0,"Sensitive account | ","")&amp;IF(AND(MAX(N(E791),N(F791))&gt;=Settings!$C$9,MOD(MAX(N(E791),N(F791)),Settings!$C$10)=0),"Round amount | ",""))-3)))</f>
        <v/>
      </c>
      <c r="M791" s="21" t="str">
        <f aca="false">IF(A791="","",IF(COUNTIF($A$9:A791,A791)=1,MAX($M$8:M790)+1,""))</f>
        <v/>
      </c>
    </row>
    <row r="792" customFormat="false" ht="15" hidden="false" customHeight="false" outlineLevel="0" collapsed="false">
      <c r="A792" s="8"/>
      <c r="B792" s="17"/>
      <c r="C792" s="19"/>
      <c r="D792" s="8"/>
      <c r="E792" s="18"/>
      <c r="F792" s="18"/>
      <c r="G792" s="8"/>
      <c r="H792" s="8"/>
      <c r="I792" s="8"/>
      <c r="J792" s="8"/>
      <c r="K792" s="10" t="str">
        <f aca="false">IF(A792="","",IF(ABS(SUMIFS($E$9:$E$2008,$A$9:$A$2008,A792)-SUMIFS($F$9:$F$2008,$A$9:$A$2008,A792))&lt;0.5,"Yes","No"))</f>
        <v/>
      </c>
      <c r="L792" s="10" t="str">
        <f aca="false">IF(A792="","",IF(IF(K792="No","Does not balance | ","")&amp;IF(I792="","Not approved | ",IF(UPPER(TRIM(H792))=UPPER(TRIM(I792)),"Self-approved | ",""))&amp;IF(J792="","No support | ","")&amp;IF(WEEKDAY(B792,2)&gt;5,"Weekend posting | ","")&amp;IF(COUNTIF(Settings!$A$14:$A$43,B792)&gt;0,"Holiday posting | ","")&amp;IF(B792&gt;Settings!$C$8,"Posted after close | ","")&amp;IF(OR(B792&lt;Settings!$C$6,B792&gt;Settings!$C$7),"Outside period | ","")&amp;IF(COUNTIF(Settings!$E$14:$E$43,C792&amp;"")&gt;0,"Sensitive account | ","")&amp;IF(AND(MAX(N(E792),N(F792))&gt;=Settings!$C$9,MOD(MAX(N(E792),N(F792)),Settings!$C$10)=0),"Round amount | ","")="","",LEFT(IF(K792="No","Does not balance | ","")&amp;IF(I792="","Not approved | ",IF(UPPER(TRIM(H792))=UPPER(TRIM(I792)),"Self-approved | ",""))&amp;IF(J792="","No support | ","")&amp;IF(WEEKDAY(B792,2)&gt;5,"Weekend posting | ","")&amp;IF(COUNTIF(Settings!$A$14:$A$43,B792)&gt;0,"Holiday posting | ","")&amp;IF(B792&gt;Settings!$C$8,"Posted after close | ","")&amp;IF(OR(B792&lt;Settings!$C$6,B792&gt;Settings!$C$7),"Outside period | ","")&amp;IF(COUNTIF(Settings!$E$14:$E$43,C792&amp;"")&gt;0,"Sensitive account | ","")&amp;IF(AND(MAX(N(E792),N(F792))&gt;=Settings!$C$9,MOD(MAX(N(E792),N(F792)),Settings!$C$10)=0),"Round amount | ",""),LEN(IF(K792="No","Does not balance | ","")&amp;IF(I792="","Not approved | ",IF(UPPER(TRIM(H792))=UPPER(TRIM(I792)),"Self-approved | ",""))&amp;IF(J792="","No support | ","")&amp;IF(WEEKDAY(B792,2)&gt;5,"Weekend posting | ","")&amp;IF(COUNTIF(Settings!$A$14:$A$43,B792)&gt;0,"Holiday posting | ","")&amp;IF(B792&gt;Settings!$C$8,"Posted after close | ","")&amp;IF(OR(B792&lt;Settings!$C$6,B792&gt;Settings!$C$7),"Outside period | ","")&amp;IF(COUNTIF(Settings!$E$14:$E$43,C792&amp;"")&gt;0,"Sensitive account | ","")&amp;IF(AND(MAX(N(E792),N(F792))&gt;=Settings!$C$9,MOD(MAX(N(E792),N(F792)),Settings!$C$10)=0),"Round amount | ",""))-3)))</f>
        <v/>
      </c>
      <c r="M792" s="21" t="str">
        <f aca="false">IF(A792="","",IF(COUNTIF($A$9:A792,A792)=1,MAX($M$8:M791)+1,""))</f>
        <v/>
      </c>
    </row>
    <row r="793" customFormat="false" ht="15" hidden="false" customHeight="false" outlineLevel="0" collapsed="false">
      <c r="A793" s="8"/>
      <c r="B793" s="17"/>
      <c r="C793" s="19"/>
      <c r="D793" s="8"/>
      <c r="E793" s="18"/>
      <c r="F793" s="18"/>
      <c r="G793" s="8"/>
      <c r="H793" s="8"/>
      <c r="I793" s="8"/>
      <c r="J793" s="8"/>
      <c r="K793" s="10" t="str">
        <f aca="false">IF(A793="","",IF(ABS(SUMIFS($E$9:$E$2008,$A$9:$A$2008,A793)-SUMIFS($F$9:$F$2008,$A$9:$A$2008,A793))&lt;0.5,"Yes","No"))</f>
        <v/>
      </c>
      <c r="L793" s="10" t="str">
        <f aca="false">IF(A793="","",IF(IF(K793="No","Does not balance | ","")&amp;IF(I793="","Not approved | ",IF(UPPER(TRIM(H793))=UPPER(TRIM(I793)),"Self-approved | ",""))&amp;IF(J793="","No support | ","")&amp;IF(WEEKDAY(B793,2)&gt;5,"Weekend posting | ","")&amp;IF(COUNTIF(Settings!$A$14:$A$43,B793)&gt;0,"Holiday posting | ","")&amp;IF(B793&gt;Settings!$C$8,"Posted after close | ","")&amp;IF(OR(B793&lt;Settings!$C$6,B793&gt;Settings!$C$7),"Outside period | ","")&amp;IF(COUNTIF(Settings!$E$14:$E$43,C793&amp;"")&gt;0,"Sensitive account | ","")&amp;IF(AND(MAX(N(E793),N(F793))&gt;=Settings!$C$9,MOD(MAX(N(E793),N(F793)),Settings!$C$10)=0),"Round amount | ","")="","",LEFT(IF(K793="No","Does not balance | ","")&amp;IF(I793="","Not approved | ",IF(UPPER(TRIM(H793))=UPPER(TRIM(I793)),"Self-approved | ",""))&amp;IF(J793="","No support | ","")&amp;IF(WEEKDAY(B793,2)&gt;5,"Weekend posting | ","")&amp;IF(COUNTIF(Settings!$A$14:$A$43,B793)&gt;0,"Holiday posting | ","")&amp;IF(B793&gt;Settings!$C$8,"Posted after close | ","")&amp;IF(OR(B793&lt;Settings!$C$6,B793&gt;Settings!$C$7),"Outside period | ","")&amp;IF(COUNTIF(Settings!$E$14:$E$43,C793&amp;"")&gt;0,"Sensitive account | ","")&amp;IF(AND(MAX(N(E793),N(F793))&gt;=Settings!$C$9,MOD(MAX(N(E793),N(F793)),Settings!$C$10)=0),"Round amount | ",""),LEN(IF(K793="No","Does not balance | ","")&amp;IF(I793="","Not approved | ",IF(UPPER(TRIM(H793))=UPPER(TRIM(I793)),"Self-approved | ",""))&amp;IF(J793="","No support | ","")&amp;IF(WEEKDAY(B793,2)&gt;5,"Weekend posting | ","")&amp;IF(COUNTIF(Settings!$A$14:$A$43,B793)&gt;0,"Holiday posting | ","")&amp;IF(B793&gt;Settings!$C$8,"Posted after close | ","")&amp;IF(OR(B793&lt;Settings!$C$6,B793&gt;Settings!$C$7),"Outside period | ","")&amp;IF(COUNTIF(Settings!$E$14:$E$43,C793&amp;"")&gt;0,"Sensitive account | ","")&amp;IF(AND(MAX(N(E793),N(F793))&gt;=Settings!$C$9,MOD(MAX(N(E793),N(F793)),Settings!$C$10)=0),"Round amount | ",""))-3)))</f>
        <v/>
      </c>
      <c r="M793" s="21" t="str">
        <f aca="false">IF(A793="","",IF(COUNTIF($A$9:A793,A793)=1,MAX($M$8:M792)+1,""))</f>
        <v/>
      </c>
    </row>
    <row r="794" customFormat="false" ht="15" hidden="false" customHeight="false" outlineLevel="0" collapsed="false">
      <c r="A794" s="8"/>
      <c r="B794" s="17"/>
      <c r="C794" s="19"/>
      <c r="D794" s="8"/>
      <c r="E794" s="18"/>
      <c r="F794" s="18"/>
      <c r="G794" s="8"/>
      <c r="H794" s="8"/>
      <c r="I794" s="8"/>
      <c r="J794" s="8"/>
      <c r="K794" s="10" t="str">
        <f aca="false">IF(A794="","",IF(ABS(SUMIFS($E$9:$E$2008,$A$9:$A$2008,A794)-SUMIFS($F$9:$F$2008,$A$9:$A$2008,A794))&lt;0.5,"Yes","No"))</f>
        <v/>
      </c>
      <c r="L794" s="10" t="str">
        <f aca="false">IF(A794="","",IF(IF(K794="No","Does not balance | ","")&amp;IF(I794="","Not approved | ",IF(UPPER(TRIM(H794))=UPPER(TRIM(I794)),"Self-approved | ",""))&amp;IF(J794="","No support | ","")&amp;IF(WEEKDAY(B794,2)&gt;5,"Weekend posting | ","")&amp;IF(COUNTIF(Settings!$A$14:$A$43,B794)&gt;0,"Holiday posting | ","")&amp;IF(B794&gt;Settings!$C$8,"Posted after close | ","")&amp;IF(OR(B794&lt;Settings!$C$6,B794&gt;Settings!$C$7),"Outside period | ","")&amp;IF(COUNTIF(Settings!$E$14:$E$43,C794&amp;"")&gt;0,"Sensitive account | ","")&amp;IF(AND(MAX(N(E794),N(F794))&gt;=Settings!$C$9,MOD(MAX(N(E794),N(F794)),Settings!$C$10)=0),"Round amount | ","")="","",LEFT(IF(K794="No","Does not balance | ","")&amp;IF(I794="","Not approved | ",IF(UPPER(TRIM(H794))=UPPER(TRIM(I794)),"Self-approved | ",""))&amp;IF(J794="","No support | ","")&amp;IF(WEEKDAY(B794,2)&gt;5,"Weekend posting | ","")&amp;IF(COUNTIF(Settings!$A$14:$A$43,B794)&gt;0,"Holiday posting | ","")&amp;IF(B794&gt;Settings!$C$8,"Posted after close | ","")&amp;IF(OR(B794&lt;Settings!$C$6,B794&gt;Settings!$C$7),"Outside period | ","")&amp;IF(COUNTIF(Settings!$E$14:$E$43,C794&amp;"")&gt;0,"Sensitive account | ","")&amp;IF(AND(MAX(N(E794),N(F794))&gt;=Settings!$C$9,MOD(MAX(N(E794),N(F794)),Settings!$C$10)=0),"Round amount | ",""),LEN(IF(K794="No","Does not balance | ","")&amp;IF(I794="","Not approved | ",IF(UPPER(TRIM(H794))=UPPER(TRIM(I794)),"Self-approved | ",""))&amp;IF(J794="","No support | ","")&amp;IF(WEEKDAY(B794,2)&gt;5,"Weekend posting | ","")&amp;IF(COUNTIF(Settings!$A$14:$A$43,B794)&gt;0,"Holiday posting | ","")&amp;IF(B794&gt;Settings!$C$8,"Posted after close | ","")&amp;IF(OR(B794&lt;Settings!$C$6,B794&gt;Settings!$C$7),"Outside period | ","")&amp;IF(COUNTIF(Settings!$E$14:$E$43,C794&amp;"")&gt;0,"Sensitive account | ","")&amp;IF(AND(MAX(N(E794),N(F794))&gt;=Settings!$C$9,MOD(MAX(N(E794),N(F794)),Settings!$C$10)=0),"Round amount | ",""))-3)))</f>
        <v/>
      </c>
      <c r="M794" s="21" t="str">
        <f aca="false">IF(A794="","",IF(COUNTIF($A$9:A794,A794)=1,MAX($M$8:M793)+1,""))</f>
        <v/>
      </c>
    </row>
    <row r="795" customFormat="false" ht="15" hidden="false" customHeight="false" outlineLevel="0" collapsed="false">
      <c r="A795" s="8"/>
      <c r="B795" s="17"/>
      <c r="C795" s="19"/>
      <c r="D795" s="8"/>
      <c r="E795" s="18"/>
      <c r="F795" s="18"/>
      <c r="G795" s="8"/>
      <c r="H795" s="8"/>
      <c r="I795" s="8"/>
      <c r="J795" s="8"/>
      <c r="K795" s="10" t="str">
        <f aca="false">IF(A795="","",IF(ABS(SUMIFS($E$9:$E$2008,$A$9:$A$2008,A795)-SUMIFS($F$9:$F$2008,$A$9:$A$2008,A795))&lt;0.5,"Yes","No"))</f>
        <v/>
      </c>
      <c r="L795" s="10" t="str">
        <f aca="false">IF(A795="","",IF(IF(K795="No","Does not balance | ","")&amp;IF(I795="","Not approved | ",IF(UPPER(TRIM(H795))=UPPER(TRIM(I795)),"Self-approved | ",""))&amp;IF(J795="","No support | ","")&amp;IF(WEEKDAY(B795,2)&gt;5,"Weekend posting | ","")&amp;IF(COUNTIF(Settings!$A$14:$A$43,B795)&gt;0,"Holiday posting | ","")&amp;IF(B795&gt;Settings!$C$8,"Posted after close | ","")&amp;IF(OR(B795&lt;Settings!$C$6,B795&gt;Settings!$C$7),"Outside period | ","")&amp;IF(COUNTIF(Settings!$E$14:$E$43,C795&amp;"")&gt;0,"Sensitive account | ","")&amp;IF(AND(MAX(N(E795),N(F795))&gt;=Settings!$C$9,MOD(MAX(N(E795),N(F795)),Settings!$C$10)=0),"Round amount | ","")="","",LEFT(IF(K795="No","Does not balance | ","")&amp;IF(I795="","Not approved | ",IF(UPPER(TRIM(H795))=UPPER(TRIM(I795)),"Self-approved | ",""))&amp;IF(J795="","No support | ","")&amp;IF(WEEKDAY(B795,2)&gt;5,"Weekend posting | ","")&amp;IF(COUNTIF(Settings!$A$14:$A$43,B795)&gt;0,"Holiday posting | ","")&amp;IF(B795&gt;Settings!$C$8,"Posted after close | ","")&amp;IF(OR(B795&lt;Settings!$C$6,B795&gt;Settings!$C$7),"Outside period | ","")&amp;IF(COUNTIF(Settings!$E$14:$E$43,C795&amp;"")&gt;0,"Sensitive account | ","")&amp;IF(AND(MAX(N(E795),N(F795))&gt;=Settings!$C$9,MOD(MAX(N(E795),N(F795)),Settings!$C$10)=0),"Round amount | ",""),LEN(IF(K795="No","Does not balance | ","")&amp;IF(I795="","Not approved | ",IF(UPPER(TRIM(H795))=UPPER(TRIM(I795)),"Self-approved | ",""))&amp;IF(J795="","No support | ","")&amp;IF(WEEKDAY(B795,2)&gt;5,"Weekend posting | ","")&amp;IF(COUNTIF(Settings!$A$14:$A$43,B795)&gt;0,"Holiday posting | ","")&amp;IF(B795&gt;Settings!$C$8,"Posted after close | ","")&amp;IF(OR(B795&lt;Settings!$C$6,B795&gt;Settings!$C$7),"Outside period | ","")&amp;IF(COUNTIF(Settings!$E$14:$E$43,C795&amp;"")&gt;0,"Sensitive account | ","")&amp;IF(AND(MAX(N(E795),N(F795))&gt;=Settings!$C$9,MOD(MAX(N(E795),N(F795)),Settings!$C$10)=0),"Round amount | ",""))-3)))</f>
        <v/>
      </c>
      <c r="M795" s="21" t="str">
        <f aca="false">IF(A795="","",IF(COUNTIF($A$9:A795,A795)=1,MAX($M$8:M794)+1,""))</f>
        <v/>
      </c>
    </row>
    <row r="796" customFormat="false" ht="15" hidden="false" customHeight="false" outlineLevel="0" collapsed="false">
      <c r="A796" s="8"/>
      <c r="B796" s="17"/>
      <c r="C796" s="19"/>
      <c r="D796" s="8"/>
      <c r="E796" s="18"/>
      <c r="F796" s="18"/>
      <c r="G796" s="8"/>
      <c r="H796" s="8"/>
      <c r="I796" s="8"/>
      <c r="J796" s="8"/>
      <c r="K796" s="10" t="str">
        <f aca="false">IF(A796="","",IF(ABS(SUMIFS($E$9:$E$2008,$A$9:$A$2008,A796)-SUMIFS($F$9:$F$2008,$A$9:$A$2008,A796))&lt;0.5,"Yes","No"))</f>
        <v/>
      </c>
      <c r="L796" s="10" t="str">
        <f aca="false">IF(A796="","",IF(IF(K796="No","Does not balance | ","")&amp;IF(I796="","Not approved | ",IF(UPPER(TRIM(H796))=UPPER(TRIM(I796)),"Self-approved | ",""))&amp;IF(J796="","No support | ","")&amp;IF(WEEKDAY(B796,2)&gt;5,"Weekend posting | ","")&amp;IF(COUNTIF(Settings!$A$14:$A$43,B796)&gt;0,"Holiday posting | ","")&amp;IF(B796&gt;Settings!$C$8,"Posted after close | ","")&amp;IF(OR(B796&lt;Settings!$C$6,B796&gt;Settings!$C$7),"Outside period | ","")&amp;IF(COUNTIF(Settings!$E$14:$E$43,C796&amp;"")&gt;0,"Sensitive account | ","")&amp;IF(AND(MAX(N(E796),N(F796))&gt;=Settings!$C$9,MOD(MAX(N(E796),N(F796)),Settings!$C$10)=0),"Round amount | ","")="","",LEFT(IF(K796="No","Does not balance | ","")&amp;IF(I796="","Not approved | ",IF(UPPER(TRIM(H796))=UPPER(TRIM(I796)),"Self-approved | ",""))&amp;IF(J796="","No support | ","")&amp;IF(WEEKDAY(B796,2)&gt;5,"Weekend posting | ","")&amp;IF(COUNTIF(Settings!$A$14:$A$43,B796)&gt;0,"Holiday posting | ","")&amp;IF(B796&gt;Settings!$C$8,"Posted after close | ","")&amp;IF(OR(B796&lt;Settings!$C$6,B796&gt;Settings!$C$7),"Outside period | ","")&amp;IF(COUNTIF(Settings!$E$14:$E$43,C796&amp;"")&gt;0,"Sensitive account | ","")&amp;IF(AND(MAX(N(E796),N(F796))&gt;=Settings!$C$9,MOD(MAX(N(E796),N(F796)),Settings!$C$10)=0),"Round amount | ",""),LEN(IF(K796="No","Does not balance | ","")&amp;IF(I796="","Not approved | ",IF(UPPER(TRIM(H796))=UPPER(TRIM(I796)),"Self-approved | ",""))&amp;IF(J796="","No support | ","")&amp;IF(WEEKDAY(B796,2)&gt;5,"Weekend posting | ","")&amp;IF(COUNTIF(Settings!$A$14:$A$43,B796)&gt;0,"Holiday posting | ","")&amp;IF(B796&gt;Settings!$C$8,"Posted after close | ","")&amp;IF(OR(B796&lt;Settings!$C$6,B796&gt;Settings!$C$7),"Outside period | ","")&amp;IF(COUNTIF(Settings!$E$14:$E$43,C796&amp;"")&gt;0,"Sensitive account | ","")&amp;IF(AND(MAX(N(E796),N(F796))&gt;=Settings!$C$9,MOD(MAX(N(E796),N(F796)),Settings!$C$10)=0),"Round amount | ",""))-3)))</f>
        <v/>
      </c>
      <c r="M796" s="21" t="str">
        <f aca="false">IF(A796="","",IF(COUNTIF($A$9:A796,A796)=1,MAX($M$8:M795)+1,""))</f>
        <v/>
      </c>
    </row>
    <row r="797" customFormat="false" ht="15" hidden="false" customHeight="false" outlineLevel="0" collapsed="false">
      <c r="A797" s="8"/>
      <c r="B797" s="17"/>
      <c r="C797" s="19"/>
      <c r="D797" s="8"/>
      <c r="E797" s="18"/>
      <c r="F797" s="18"/>
      <c r="G797" s="8"/>
      <c r="H797" s="8"/>
      <c r="I797" s="8"/>
      <c r="J797" s="8"/>
      <c r="K797" s="10" t="str">
        <f aca="false">IF(A797="","",IF(ABS(SUMIFS($E$9:$E$2008,$A$9:$A$2008,A797)-SUMIFS($F$9:$F$2008,$A$9:$A$2008,A797))&lt;0.5,"Yes","No"))</f>
        <v/>
      </c>
      <c r="L797" s="10" t="str">
        <f aca="false">IF(A797="","",IF(IF(K797="No","Does not balance | ","")&amp;IF(I797="","Not approved | ",IF(UPPER(TRIM(H797))=UPPER(TRIM(I797)),"Self-approved | ",""))&amp;IF(J797="","No support | ","")&amp;IF(WEEKDAY(B797,2)&gt;5,"Weekend posting | ","")&amp;IF(COUNTIF(Settings!$A$14:$A$43,B797)&gt;0,"Holiday posting | ","")&amp;IF(B797&gt;Settings!$C$8,"Posted after close | ","")&amp;IF(OR(B797&lt;Settings!$C$6,B797&gt;Settings!$C$7),"Outside period | ","")&amp;IF(COUNTIF(Settings!$E$14:$E$43,C797&amp;"")&gt;0,"Sensitive account | ","")&amp;IF(AND(MAX(N(E797),N(F797))&gt;=Settings!$C$9,MOD(MAX(N(E797),N(F797)),Settings!$C$10)=0),"Round amount | ","")="","",LEFT(IF(K797="No","Does not balance | ","")&amp;IF(I797="","Not approved | ",IF(UPPER(TRIM(H797))=UPPER(TRIM(I797)),"Self-approved | ",""))&amp;IF(J797="","No support | ","")&amp;IF(WEEKDAY(B797,2)&gt;5,"Weekend posting | ","")&amp;IF(COUNTIF(Settings!$A$14:$A$43,B797)&gt;0,"Holiday posting | ","")&amp;IF(B797&gt;Settings!$C$8,"Posted after close | ","")&amp;IF(OR(B797&lt;Settings!$C$6,B797&gt;Settings!$C$7),"Outside period | ","")&amp;IF(COUNTIF(Settings!$E$14:$E$43,C797&amp;"")&gt;0,"Sensitive account | ","")&amp;IF(AND(MAX(N(E797),N(F797))&gt;=Settings!$C$9,MOD(MAX(N(E797),N(F797)),Settings!$C$10)=0),"Round amount | ",""),LEN(IF(K797="No","Does not balance | ","")&amp;IF(I797="","Not approved | ",IF(UPPER(TRIM(H797))=UPPER(TRIM(I797)),"Self-approved | ",""))&amp;IF(J797="","No support | ","")&amp;IF(WEEKDAY(B797,2)&gt;5,"Weekend posting | ","")&amp;IF(COUNTIF(Settings!$A$14:$A$43,B797)&gt;0,"Holiday posting | ","")&amp;IF(B797&gt;Settings!$C$8,"Posted after close | ","")&amp;IF(OR(B797&lt;Settings!$C$6,B797&gt;Settings!$C$7),"Outside period | ","")&amp;IF(COUNTIF(Settings!$E$14:$E$43,C797&amp;"")&gt;0,"Sensitive account | ","")&amp;IF(AND(MAX(N(E797),N(F797))&gt;=Settings!$C$9,MOD(MAX(N(E797),N(F797)),Settings!$C$10)=0),"Round amount | ",""))-3)))</f>
        <v/>
      </c>
      <c r="M797" s="21" t="str">
        <f aca="false">IF(A797="","",IF(COUNTIF($A$9:A797,A797)=1,MAX($M$8:M796)+1,""))</f>
        <v/>
      </c>
    </row>
    <row r="798" customFormat="false" ht="15" hidden="false" customHeight="false" outlineLevel="0" collapsed="false">
      <c r="A798" s="8"/>
      <c r="B798" s="17"/>
      <c r="C798" s="19"/>
      <c r="D798" s="8"/>
      <c r="E798" s="18"/>
      <c r="F798" s="18"/>
      <c r="G798" s="8"/>
      <c r="H798" s="8"/>
      <c r="I798" s="8"/>
      <c r="J798" s="8"/>
      <c r="K798" s="10" t="str">
        <f aca="false">IF(A798="","",IF(ABS(SUMIFS($E$9:$E$2008,$A$9:$A$2008,A798)-SUMIFS($F$9:$F$2008,$A$9:$A$2008,A798))&lt;0.5,"Yes","No"))</f>
        <v/>
      </c>
      <c r="L798" s="10" t="str">
        <f aca="false">IF(A798="","",IF(IF(K798="No","Does not balance | ","")&amp;IF(I798="","Not approved | ",IF(UPPER(TRIM(H798))=UPPER(TRIM(I798)),"Self-approved | ",""))&amp;IF(J798="","No support | ","")&amp;IF(WEEKDAY(B798,2)&gt;5,"Weekend posting | ","")&amp;IF(COUNTIF(Settings!$A$14:$A$43,B798)&gt;0,"Holiday posting | ","")&amp;IF(B798&gt;Settings!$C$8,"Posted after close | ","")&amp;IF(OR(B798&lt;Settings!$C$6,B798&gt;Settings!$C$7),"Outside period | ","")&amp;IF(COUNTIF(Settings!$E$14:$E$43,C798&amp;"")&gt;0,"Sensitive account | ","")&amp;IF(AND(MAX(N(E798),N(F798))&gt;=Settings!$C$9,MOD(MAX(N(E798),N(F798)),Settings!$C$10)=0),"Round amount | ","")="","",LEFT(IF(K798="No","Does not balance | ","")&amp;IF(I798="","Not approved | ",IF(UPPER(TRIM(H798))=UPPER(TRIM(I798)),"Self-approved | ",""))&amp;IF(J798="","No support | ","")&amp;IF(WEEKDAY(B798,2)&gt;5,"Weekend posting | ","")&amp;IF(COUNTIF(Settings!$A$14:$A$43,B798)&gt;0,"Holiday posting | ","")&amp;IF(B798&gt;Settings!$C$8,"Posted after close | ","")&amp;IF(OR(B798&lt;Settings!$C$6,B798&gt;Settings!$C$7),"Outside period | ","")&amp;IF(COUNTIF(Settings!$E$14:$E$43,C798&amp;"")&gt;0,"Sensitive account | ","")&amp;IF(AND(MAX(N(E798),N(F798))&gt;=Settings!$C$9,MOD(MAX(N(E798),N(F798)),Settings!$C$10)=0),"Round amount | ",""),LEN(IF(K798="No","Does not balance | ","")&amp;IF(I798="","Not approved | ",IF(UPPER(TRIM(H798))=UPPER(TRIM(I798)),"Self-approved | ",""))&amp;IF(J798="","No support | ","")&amp;IF(WEEKDAY(B798,2)&gt;5,"Weekend posting | ","")&amp;IF(COUNTIF(Settings!$A$14:$A$43,B798)&gt;0,"Holiday posting | ","")&amp;IF(B798&gt;Settings!$C$8,"Posted after close | ","")&amp;IF(OR(B798&lt;Settings!$C$6,B798&gt;Settings!$C$7),"Outside period | ","")&amp;IF(COUNTIF(Settings!$E$14:$E$43,C798&amp;"")&gt;0,"Sensitive account | ","")&amp;IF(AND(MAX(N(E798),N(F798))&gt;=Settings!$C$9,MOD(MAX(N(E798),N(F798)),Settings!$C$10)=0),"Round amount | ",""))-3)))</f>
        <v/>
      </c>
      <c r="M798" s="21" t="str">
        <f aca="false">IF(A798="","",IF(COUNTIF($A$9:A798,A798)=1,MAX($M$8:M797)+1,""))</f>
        <v/>
      </c>
    </row>
    <row r="799" customFormat="false" ht="15" hidden="false" customHeight="false" outlineLevel="0" collapsed="false">
      <c r="A799" s="8"/>
      <c r="B799" s="17"/>
      <c r="C799" s="19"/>
      <c r="D799" s="8"/>
      <c r="E799" s="18"/>
      <c r="F799" s="18"/>
      <c r="G799" s="8"/>
      <c r="H799" s="8"/>
      <c r="I799" s="8"/>
      <c r="J799" s="8"/>
      <c r="K799" s="10" t="str">
        <f aca="false">IF(A799="","",IF(ABS(SUMIFS($E$9:$E$2008,$A$9:$A$2008,A799)-SUMIFS($F$9:$F$2008,$A$9:$A$2008,A799))&lt;0.5,"Yes","No"))</f>
        <v/>
      </c>
      <c r="L799" s="10" t="str">
        <f aca="false">IF(A799="","",IF(IF(K799="No","Does not balance | ","")&amp;IF(I799="","Not approved | ",IF(UPPER(TRIM(H799))=UPPER(TRIM(I799)),"Self-approved | ",""))&amp;IF(J799="","No support | ","")&amp;IF(WEEKDAY(B799,2)&gt;5,"Weekend posting | ","")&amp;IF(COUNTIF(Settings!$A$14:$A$43,B799)&gt;0,"Holiday posting | ","")&amp;IF(B799&gt;Settings!$C$8,"Posted after close | ","")&amp;IF(OR(B799&lt;Settings!$C$6,B799&gt;Settings!$C$7),"Outside period | ","")&amp;IF(COUNTIF(Settings!$E$14:$E$43,C799&amp;"")&gt;0,"Sensitive account | ","")&amp;IF(AND(MAX(N(E799),N(F799))&gt;=Settings!$C$9,MOD(MAX(N(E799),N(F799)),Settings!$C$10)=0),"Round amount | ","")="","",LEFT(IF(K799="No","Does not balance | ","")&amp;IF(I799="","Not approved | ",IF(UPPER(TRIM(H799))=UPPER(TRIM(I799)),"Self-approved | ",""))&amp;IF(J799="","No support | ","")&amp;IF(WEEKDAY(B799,2)&gt;5,"Weekend posting | ","")&amp;IF(COUNTIF(Settings!$A$14:$A$43,B799)&gt;0,"Holiday posting | ","")&amp;IF(B799&gt;Settings!$C$8,"Posted after close | ","")&amp;IF(OR(B799&lt;Settings!$C$6,B799&gt;Settings!$C$7),"Outside period | ","")&amp;IF(COUNTIF(Settings!$E$14:$E$43,C799&amp;"")&gt;0,"Sensitive account | ","")&amp;IF(AND(MAX(N(E799),N(F799))&gt;=Settings!$C$9,MOD(MAX(N(E799),N(F799)),Settings!$C$10)=0),"Round amount | ",""),LEN(IF(K799="No","Does not balance | ","")&amp;IF(I799="","Not approved | ",IF(UPPER(TRIM(H799))=UPPER(TRIM(I799)),"Self-approved | ",""))&amp;IF(J799="","No support | ","")&amp;IF(WEEKDAY(B799,2)&gt;5,"Weekend posting | ","")&amp;IF(COUNTIF(Settings!$A$14:$A$43,B799)&gt;0,"Holiday posting | ","")&amp;IF(B799&gt;Settings!$C$8,"Posted after close | ","")&amp;IF(OR(B799&lt;Settings!$C$6,B799&gt;Settings!$C$7),"Outside period | ","")&amp;IF(COUNTIF(Settings!$E$14:$E$43,C799&amp;"")&gt;0,"Sensitive account | ","")&amp;IF(AND(MAX(N(E799),N(F799))&gt;=Settings!$C$9,MOD(MAX(N(E799),N(F799)),Settings!$C$10)=0),"Round amount | ",""))-3)))</f>
        <v/>
      </c>
      <c r="M799" s="21" t="str">
        <f aca="false">IF(A799="","",IF(COUNTIF($A$9:A799,A799)=1,MAX($M$8:M798)+1,""))</f>
        <v/>
      </c>
    </row>
    <row r="800" customFormat="false" ht="15" hidden="false" customHeight="false" outlineLevel="0" collapsed="false">
      <c r="A800" s="8"/>
      <c r="B800" s="17"/>
      <c r="C800" s="19"/>
      <c r="D800" s="8"/>
      <c r="E800" s="18"/>
      <c r="F800" s="18"/>
      <c r="G800" s="8"/>
      <c r="H800" s="8"/>
      <c r="I800" s="8"/>
      <c r="J800" s="8"/>
      <c r="K800" s="10" t="str">
        <f aca="false">IF(A800="","",IF(ABS(SUMIFS($E$9:$E$2008,$A$9:$A$2008,A800)-SUMIFS($F$9:$F$2008,$A$9:$A$2008,A800))&lt;0.5,"Yes","No"))</f>
        <v/>
      </c>
      <c r="L800" s="10" t="str">
        <f aca="false">IF(A800="","",IF(IF(K800="No","Does not balance | ","")&amp;IF(I800="","Not approved | ",IF(UPPER(TRIM(H800))=UPPER(TRIM(I800)),"Self-approved | ",""))&amp;IF(J800="","No support | ","")&amp;IF(WEEKDAY(B800,2)&gt;5,"Weekend posting | ","")&amp;IF(COUNTIF(Settings!$A$14:$A$43,B800)&gt;0,"Holiday posting | ","")&amp;IF(B800&gt;Settings!$C$8,"Posted after close | ","")&amp;IF(OR(B800&lt;Settings!$C$6,B800&gt;Settings!$C$7),"Outside period | ","")&amp;IF(COUNTIF(Settings!$E$14:$E$43,C800&amp;"")&gt;0,"Sensitive account | ","")&amp;IF(AND(MAX(N(E800),N(F800))&gt;=Settings!$C$9,MOD(MAX(N(E800),N(F800)),Settings!$C$10)=0),"Round amount | ","")="","",LEFT(IF(K800="No","Does not balance | ","")&amp;IF(I800="","Not approved | ",IF(UPPER(TRIM(H800))=UPPER(TRIM(I800)),"Self-approved | ",""))&amp;IF(J800="","No support | ","")&amp;IF(WEEKDAY(B800,2)&gt;5,"Weekend posting | ","")&amp;IF(COUNTIF(Settings!$A$14:$A$43,B800)&gt;0,"Holiday posting | ","")&amp;IF(B800&gt;Settings!$C$8,"Posted after close | ","")&amp;IF(OR(B800&lt;Settings!$C$6,B800&gt;Settings!$C$7),"Outside period | ","")&amp;IF(COUNTIF(Settings!$E$14:$E$43,C800&amp;"")&gt;0,"Sensitive account | ","")&amp;IF(AND(MAX(N(E800),N(F800))&gt;=Settings!$C$9,MOD(MAX(N(E800),N(F800)),Settings!$C$10)=0),"Round amount | ",""),LEN(IF(K800="No","Does not balance | ","")&amp;IF(I800="","Not approved | ",IF(UPPER(TRIM(H800))=UPPER(TRIM(I800)),"Self-approved | ",""))&amp;IF(J800="","No support | ","")&amp;IF(WEEKDAY(B800,2)&gt;5,"Weekend posting | ","")&amp;IF(COUNTIF(Settings!$A$14:$A$43,B800)&gt;0,"Holiday posting | ","")&amp;IF(B800&gt;Settings!$C$8,"Posted after close | ","")&amp;IF(OR(B800&lt;Settings!$C$6,B800&gt;Settings!$C$7),"Outside period | ","")&amp;IF(COUNTIF(Settings!$E$14:$E$43,C800&amp;"")&gt;0,"Sensitive account | ","")&amp;IF(AND(MAX(N(E800),N(F800))&gt;=Settings!$C$9,MOD(MAX(N(E800),N(F800)),Settings!$C$10)=0),"Round amount | ",""))-3)))</f>
        <v/>
      </c>
      <c r="M800" s="21" t="str">
        <f aca="false">IF(A800="","",IF(COUNTIF($A$9:A800,A800)=1,MAX($M$8:M799)+1,""))</f>
        <v/>
      </c>
    </row>
    <row r="801" customFormat="false" ht="15" hidden="false" customHeight="false" outlineLevel="0" collapsed="false">
      <c r="A801" s="8"/>
      <c r="B801" s="17"/>
      <c r="C801" s="19"/>
      <c r="D801" s="8"/>
      <c r="E801" s="18"/>
      <c r="F801" s="18"/>
      <c r="G801" s="8"/>
      <c r="H801" s="8"/>
      <c r="I801" s="8"/>
      <c r="J801" s="8"/>
      <c r="K801" s="10" t="str">
        <f aca="false">IF(A801="","",IF(ABS(SUMIFS($E$9:$E$2008,$A$9:$A$2008,A801)-SUMIFS($F$9:$F$2008,$A$9:$A$2008,A801))&lt;0.5,"Yes","No"))</f>
        <v/>
      </c>
      <c r="L801" s="10" t="str">
        <f aca="false">IF(A801="","",IF(IF(K801="No","Does not balance | ","")&amp;IF(I801="","Not approved | ",IF(UPPER(TRIM(H801))=UPPER(TRIM(I801)),"Self-approved | ",""))&amp;IF(J801="","No support | ","")&amp;IF(WEEKDAY(B801,2)&gt;5,"Weekend posting | ","")&amp;IF(COUNTIF(Settings!$A$14:$A$43,B801)&gt;0,"Holiday posting | ","")&amp;IF(B801&gt;Settings!$C$8,"Posted after close | ","")&amp;IF(OR(B801&lt;Settings!$C$6,B801&gt;Settings!$C$7),"Outside period | ","")&amp;IF(COUNTIF(Settings!$E$14:$E$43,C801&amp;"")&gt;0,"Sensitive account | ","")&amp;IF(AND(MAX(N(E801),N(F801))&gt;=Settings!$C$9,MOD(MAX(N(E801),N(F801)),Settings!$C$10)=0),"Round amount | ","")="","",LEFT(IF(K801="No","Does not balance | ","")&amp;IF(I801="","Not approved | ",IF(UPPER(TRIM(H801))=UPPER(TRIM(I801)),"Self-approved | ",""))&amp;IF(J801="","No support | ","")&amp;IF(WEEKDAY(B801,2)&gt;5,"Weekend posting | ","")&amp;IF(COUNTIF(Settings!$A$14:$A$43,B801)&gt;0,"Holiday posting | ","")&amp;IF(B801&gt;Settings!$C$8,"Posted after close | ","")&amp;IF(OR(B801&lt;Settings!$C$6,B801&gt;Settings!$C$7),"Outside period | ","")&amp;IF(COUNTIF(Settings!$E$14:$E$43,C801&amp;"")&gt;0,"Sensitive account | ","")&amp;IF(AND(MAX(N(E801),N(F801))&gt;=Settings!$C$9,MOD(MAX(N(E801),N(F801)),Settings!$C$10)=0),"Round amount | ",""),LEN(IF(K801="No","Does not balance | ","")&amp;IF(I801="","Not approved | ",IF(UPPER(TRIM(H801))=UPPER(TRIM(I801)),"Self-approved | ",""))&amp;IF(J801="","No support | ","")&amp;IF(WEEKDAY(B801,2)&gt;5,"Weekend posting | ","")&amp;IF(COUNTIF(Settings!$A$14:$A$43,B801)&gt;0,"Holiday posting | ","")&amp;IF(B801&gt;Settings!$C$8,"Posted after close | ","")&amp;IF(OR(B801&lt;Settings!$C$6,B801&gt;Settings!$C$7),"Outside period | ","")&amp;IF(COUNTIF(Settings!$E$14:$E$43,C801&amp;"")&gt;0,"Sensitive account | ","")&amp;IF(AND(MAX(N(E801),N(F801))&gt;=Settings!$C$9,MOD(MAX(N(E801),N(F801)),Settings!$C$10)=0),"Round amount | ",""))-3)))</f>
        <v/>
      </c>
      <c r="M801" s="21" t="str">
        <f aca="false">IF(A801="","",IF(COUNTIF($A$9:A801,A801)=1,MAX($M$8:M800)+1,""))</f>
        <v/>
      </c>
    </row>
    <row r="802" customFormat="false" ht="15" hidden="false" customHeight="false" outlineLevel="0" collapsed="false">
      <c r="A802" s="8"/>
      <c r="B802" s="17"/>
      <c r="C802" s="19"/>
      <c r="D802" s="8"/>
      <c r="E802" s="18"/>
      <c r="F802" s="18"/>
      <c r="G802" s="8"/>
      <c r="H802" s="8"/>
      <c r="I802" s="8"/>
      <c r="J802" s="8"/>
      <c r="K802" s="10" t="str">
        <f aca="false">IF(A802="","",IF(ABS(SUMIFS($E$9:$E$2008,$A$9:$A$2008,A802)-SUMIFS($F$9:$F$2008,$A$9:$A$2008,A802))&lt;0.5,"Yes","No"))</f>
        <v/>
      </c>
      <c r="L802" s="10" t="str">
        <f aca="false">IF(A802="","",IF(IF(K802="No","Does not balance | ","")&amp;IF(I802="","Not approved | ",IF(UPPER(TRIM(H802))=UPPER(TRIM(I802)),"Self-approved | ",""))&amp;IF(J802="","No support | ","")&amp;IF(WEEKDAY(B802,2)&gt;5,"Weekend posting | ","")&amp;IF(COUNTIF(Settings!$A$14:$A$43,B802)&gt;0,"Holiday posting | ","")&amp;IF(B802&gt;Settings!$C$8,"Posted after close | ","")&amp;IF(OR(B802&lt;Settings!$C$6,B802&gt;Settings!$C$7),"Outside period | ","")&amp;IF(COUNTIF(Settings!$E$14:$E$43,C802&amp;"")&gt;0,"Sensitive account | ","")&amp;IF(AND(MAX(N(E802),N(F802))&gt;=Settings!$C$9,MOD(MAX(N(E802),N(F802)),Settings!$C$10)=0),"Round amount | ","")="","",LEFT(IF(K802="No","Does not balance | ","")&amp;IF(I802="","Not approved | ",IF(UPPER(TRIM(H802))=UPPER(TRIM(I802)),"Self-approved | ",""))&amp;IF(J802="","No support | ","")&amp;IF(WEEKDAY(B802,2)&gt;5,"Weekend posting | ","")&amp;IF(COUNTIF(Settings!$A$14:$A$43,B802)&gt;0,"Holiday posting | ","")&amp;IF(B802&gt;Settings!$C$8,"Posted after close | ","")&amp;IF(OR(B802&lt;Settings!$C$6,B802&gt;Settings!$C$7),"Outside period | ","")&amp;IF(COUNTIF(Settings!$E$14:$E$43,C802&amp;"")&gt;0,"Sensitive account | ","")&amp;IF(AND(MAX(N(E802),N(F802))&gt;=Settings!$C$9,MOD(MAX(N(E802),N(F802)),Settings!$C$10)=0),"Round amount | ",""),LEN(IF(K802="No","Does not balance | ","")&amp;IF(I802="","Not approved | ",IF(UPPER(TRIM(H802))=UPPER(TRIM(I802)),"Self-approved | ",""))&amp;IF(J802="","No support | ","")&amp;IF(WEEKDAY(B802,2)&gt;5,"Weekend posting | ","")&amp;IF(COUNTIF(Settings!$A$14:$A$43,B802)&gt;0,"Holiday posting | ","")&amp;IF(B802&gt;Settings!$C$8,"Posted after close | ","")&amp;IF(OR(B802&lt;Settings!$C$6,B802&gt;Settings!$C$7),"Outside period | ","")&amp;IF(COUNTIF(Settings!$E$14:$E$43,C802&amp;"")&gt;0,"Sensitive account | ","")&amp;IF(AND(MAX(N(E802),N(F802))&gt;=Settings!$C$9,MOD(MAX(N(E802),N(F802)),Settings!$C$10)=0),"Round amount | ",""))-3)))</f>
        <v/>
      </c>
      <c r="M802" s="21" t="str">
        <f aca="false">IF(A802="","",IF(COUNTIF($A$9:A802,A802)=1,MAX($M$8:M801)+1,""))</f>
        <v/>
      </c>
    </row>
    <row r="803" customFormat="false" ht="15" hidden="false" customHeight="false" outlineLevel="0" collapsed="false">
      <c r="A803" s="8"/>
      <c r="B803" s="17"/>
      <c r="C803" s="19"/>
      <c r="D803" s="8"/>
      <c r="E803" s="18"/>
      <c r="F803" s="18"/>
      <c r="G803" s="8"/>
      <c r="H803" s="8"/>
      <c r="I803" s="8"/>
      <c r="J803" s="8"/>
      <c r="K803" s="10" t="str">
        <f aca="false">IF(A803="","",IF(ABS(SUMIFS($E$9:$E$2008,$A$9:$A$2008,A803)-SUMIFS($F$9:$F$2008,$A$9:$A$2008,A803))&lt;0.5,"Yes","No"))</f>
        <v/>
      </c>
      <c r="L803" s="10" t="str">
        <f aca="false">IF(A803="","",IF(IF(K803="No","Does not balance | ","")&amp;IF(I803="","Not approved | ",IF(UPPER(TRIM(H803))=UPPER(TRIM(I803)),"Self-approved | ",""))&amp;IF(J803="","No support | ","")&amp;IF(WEEKDAY(B803,2)&gt;5,"Weekend posting | ","")&amp;IF(COUNTIF(Settings!$A$14:$A$43,B803)&gt;0,"Holiday posting | ","")&amp;IF(B803&gt;Settings!$C$8,"Posted after close | ","")&amp;IF(OR(B803&lt;Settings!$C$6,B803&gt;Settings!$C$7),"Outside period | ","")&amp;IF(COUNTIF(Settings!$E$14:$E$43,C803&amp;"")&gt;0,"Sensitive account | ","")&amp;IF(AND(MAX(N(E803),N(F803))&gt;=Settings!$C$9,MOD(MAX(N(E803),N(F803)),Settings!$C$10)=0),"Round amount | ","")="","",LEFT(IF(K803="No","Does not balance | ","")&amp;IF(I803="","Not approved | ",IF(UPPER(TRIM(H803))=UPPER(TRIM(I803)),"Self-approved | ",""))&amp;IF(J803="","No support | ","")&amp;IF(WEEKDAY(B803,2)&gt;5,"Weekend posting | ","")&amp;IF(COUNTIF(Settings!$A$14:$A$43,B803)&gt;0,"Holiday posting | ","")&amp;IF(B803&gt;Settings!$C$8,"Posted after close | ","")&amp;IF(OR(B803&lt;Settings!$C$6,B803&gt;Settings!$C$7),"Outside period | ","")&amp;IF(COUNTIF(Settings!$E$14:$E$43,C803&amp;"")&gt;0,"Sensitive account | ","")&amp;IF(AND(MAX(N(E803),N(F803))&gt;=Settings!$C$9,MOD(MAX(N(E803),N(F803)),Settings!$C$10)=0),"Round amount | ",""),LEN(IF(K803="No","Does not balance | ","")&amp;IF(I803="","Not approved | ",IF(UPPER(TRIM(H803))=UPPER(TRIM(I803)),"Self-approved | ",""))&amp;IF(J803="","No support | ","")&amp;IF(WEEKDAY(B803,2)&gt;5,"Weekend posting | ","")&amp;IF(COUNTIF(Settings!$A$14:$A$43,B803)&gt;0,"Holiday posting | ","")&amp;IF(B803&gt;Settings!$C$8,"Posted after close | ","")&amp;IF(OR(B803&lt;Settings!$C$6,B803&gt;Settings!$C$7),"Outside period | ","")&amp;IF(COUNTIF(Settings!$E$14:$E$43,C803&amp;"")&gt;0,"Sensitive account | ","")&amp;IF(AND(MAX(N(E803),N(F803))&gt;=Settings!$C$9,MOD(MAX(N(E803),N(F803)),Settings!$C$10)=0),"Round amount | ",""))-3)))</f>
        <v/>
      </c>
      <c r="M803" s="21" t="str">
        <f aca="false">IF(A803="","",IF(COUNTIF($A$9:A803,A803)=1,MAX($M$8:M802)+1,""))</f>
        <v/>
      </c>
    </row>
    <row r="804" customFormat="false" ht="15" hidden="false" customHeight="false" outlineLevel="0" collapsed="false">
      <c r="A804" s="8"/>
      <c r="B804" s="17"/>
      <c r="C804" s="19"/>
      <c r="D804" s="8"/>
      <c r="E804" s="18"/>
      <c r="F804" s="18"/>
      <c r="G804" s="8"/>
      <c r="H804" s="8"/>
      <c r="I804" s="8"/>
      <c r="J804" s="8"/>
      <c r="K804" s="10" t="str">
        <f aca="false">IF(A804="","",IF(ABS(SUMIFS($E$9:$E$2008,$A$9:$A$2008,A804)-SUMIFS($F$9:$F$2008,$A$9:$A$2008,A804))&lt;0.5,"Yes","No"))</f>
        <v/>
      </c>
      <c r="L804" s="10" t="str">
        <f aca="false">IF(A804="","",IF(IF(K804="No","Does not balance | ","")&amp;IF(I804="","Not approved | ",IF(UPPER(TRIM(H804))=UPPER(TRIM(I804)),"Self-approved | ",""))&amp;IF(J804="","No support | ","")&amp;IF(WEEKDAY(B804,2)&gt;5,"Weekend posting | ","")&amp;IF(COUNTIF(Settings!$A$14:$A$43,B804)&gt;0,"Holiday posting | ","")&amp;IF(B804&gt;Settings!$C$8,"Posted after close | ","")&amp;IF(OR(B804&lt;Settings!$C$6,B804&gt;Settings!$C$7),"Outside period | ","")&amp;IF(COUNTIF(Settings!$E$14:$E$43,C804&amp;"")&gt;0,"Sensitive account | ","")&amp;IF(AND(MAX(N(E804),N(F804))&gt;=Settings!$C$9,MOD(MAX(N(E804),N(F804)),Settings!$C$10)=0),"Round amount | ","")="","",LEFT(IF(K804="No","Does not balance | ","")&amp;IF(I804="","Not approved | ",IF(UPPER(TRIM(H804))=UPPER(TRIM(I804)),"Self-approved | ",""))&amp;IF(J804="","No support | ","")&amp;IF(WEEKDAY(B804,2)&gt;5,"Weekend posting | ","")&amp;IF(COUNTIF(Settings!$A$14:$A$43,B804)&gt;0,"Holiday posting | ","")&amp;IF(B804&gt;Settings!$C$8,"Posted after close | ","")&amp;IF(OR(B804&lt;Settings!$C$6,B804&gt;Settings!$C$7),"Outside period | ","")&amp;IF(COUNTIF(Settings!$E$14:$E$43,C804&amp;"")&gt;0,"Sensitive account | ","")&amp;IF(AND(MAX(N(E804),N(F804))&gt;=Settings!$C$9,MOD(MAX(N(E804),N(F804)),Settings!$C$10)=0),"Round amount | ",""),LEN(IF(K804="No","Does not balance | ","")&amp;IF(I804="","Not approved | ",IF(UPPER(TRIM(H804))=UPPER(TRIM(I804)),"Self-approved | ",""))&amp;IF(J804="","No support | ","")&amp;IF(WEEKDAY(B804,2)&gt;5,"Weekend posting | ","")&amp;IF(COUNTIF(Settings!$A$14:$A$43,B804)&gt;0,"Holiday posting | ","")&amp;IF(B804&gt;Settings!$C$8,"Posted after close | ","")&amp;IF(OR(B804&lt;Settings!$C$6,B804&gt;Settings!$C$7),"Outside period | ","")&amp;IF(COUNTIF(Settings!$E$14:$E$43,C804&amp;"")&gt;0,"Sensitive account | ","")&amp;IF(AND(MAX(N(E804),N(F804))&gt;=Settings!$C$9,MOD(MAX(N(E804),N(F804)),Settings!$C$10)=0),"Round amount | ",""))-3)))</f>
        <v/>
      </c>
      <c r="M804" s="21" t="str">
        <f aca="false">IF(A804="","",IF(COUNTIF($A$9:A804,A804)=1,MAX($M$8:M803)+1,""))</f>
        <v/>
      </c>
    </row>
    <row r="805" customFormat="false" ht="15" hidden="false" customHeight="false" outlineLevel="0" collapsed="false">
      <c r="A805" s="8"/>
      <c r="B805" s="17"/>
      <c r="C805" s="19"/>
      <c r="D805" s="8"/>
      <c r="E805" s="18"/>
      <c r="F805" s="18"/>
      <c r="G805" s="8"/>
      <c r="H805" s="8"/>
      <c r="I805" s="8"/>
      <c r="J805" s="8"/>
      <c r="K805" s="10" t="str">
        <f aca="false">IF(A805="","",IF(ABS(SUMIFS($E$9:$E$2008,$A$9:$A$2008,A805)-SUMIFS($F$9:$F$2008,$A$9:$A$2008,A805))&lt;0.5,"Yes","No"))</f>
        <v/>
      </c>
      <c r="L805" s="10" t="str">
        <f aca="false">IF(A805="","",IF(IF(K805="No","Does not balance | ","")&amp;IF(I805="","Not approved | ",IF(UPPER(TRIM(H805))=UPPER(TRIM(I805)),"Self-approved | ",""))&amp;IF(J805="","No support | ","")&amp;IF(WEEKDAY(B805,2)&gt;5,"Weekend posting | ","")&amp;IF(COUNTIF(Settings!$A$14:$A$43,B805)&gt;0,"Holiday posting | ","")&amp;IF(B805&gt;Settings!$C$8,"Posted after close | ","")&amp;IF(OR(B805&lt;Settings!$C$6,B805&gt;Settings!$C$7),"Outside period | ","")&amp;IF(COUNTIF(Settings!$E$14:$E$43,C805&amp;"")&gt;0,"Sensitive account | ","")&amp;IF(AND(MAX(N(E805),N(F805))&gt;=Settings!$C$9,MOD(MAX(N(E805),N(F805)),Settings!$C$10)=0),"Round amount | ","")="","",LEFT(IF(K805="No","Does not balance | ","")&amp;IF(I805="","Not approved | ",IF(UPPER(TRIM(H805))=UPPER(TRIM(I805)),"Self-approved | ",""))&amp;IF(J805="","No support | ","")&amp;IF(WEEKDAY(B805,2)&gt;5,"Weekend posting | ","")&amp;IF(COUNTIF(Settings!$A$14:$A$43,B805)&gt;0,"Holiday posting | ","")&amp;IF(B805&gt;Settings!$C$8,"Posted after close | ","")&amp;IF(OR(B805&lt;Settings!$C$6,B805&gt;Settings!$C$7),"Outside period | ","")&amp;IF(COUNTIF(Settings!$E$14:$E$43,C805&amp;"")&gt;0,"Sensitive account | ","")&amp;IF(AND(MAX(N(E805),N(F805))&gt;=Settings!$C$9,MOD(MAX(N(E805),N(F805)),Settings!$C$10)=0),"Round amount | ",""),LEN(IF(K805="No","Does not balance | ","")&amp;IF(I805="","Not approved | ",IF(UPPER(TRIM(H805))=UPPER(TRIM(I805)),"Self-approved | ",""))&amp;IF(J805="","No support | ","")&amp;IF(WEEKDAY(B805,2)&gt;5,"Weekend posting | ","")&amp;IF(COUNTIF(Settings!$A$14:$A$43,B805)&gt;0,"Holiday posting | ","")&amp;IF(B805&gt;Settings!$C$8,"Posted after close | ","")&amp;IF(OR(B805&lt;Settings!$C$6,B805&gt;Settings!$C$7),"Outside period | ","")&amp;IF(COUNTIF(Settings!$E$14:$E$43,C805&amp;"")&gt;0,"Sensitive account | ","")&amp;IF(AND(MAX(N(E805),N(F805))&gt;=Settings!$C$9,MOD(MAX(N(E805),N(F805)),Settings!$C$10)=0),"Round amount | ",""))-3)))</f>
        <v/>
      </c>
      <c r="M805" s="21" t="str">
        <f aca="false">IF(A805="","",IF(COUNTIF($A$9:A805,A805)=1,MAX($M$8:M804)+1,""))</f>
        <v/>
      </c>
    </row>
    <row r="806" customFormat="false" ht="15" hidden="false" customHeight="false" outlineLevel="0" collapsed="false">
      <c r="A806" s="8"/>
      <c r="B806" s="17"/>
      <c r="C806" s="19"/>
      <c r="D806" s="8"/>
      <c r="E806" s="18"/>
      <c r="F806" s="18"/>
      <c r="G806" s="8"/>
      <c r="H806" s="8"/>
      <c r="I806" s="8"/>
      <c r="J806" s="8"/>
      <c r="K806" s="10" t="str">
        <f aca="false">IF(A806="","",IF(ABS(SUMIFS($E$9:$E$2008,$A$9:$A$2008,A806)-SUMIFS($F$9:$F$2008,$A$9:$A$2008,A806))&lt;0.5,"Yes","No"))</f>
        <v/>
      </c>
      <c r="L806" s="10" t="str">
        <f aca="false">IF(A806="","",IF(IF(K806="No","Does not balance | ","")&amp;IF(I806="","Not approved | ",IF(UPPER(TRIM(H806))=UPPER(TRIM(I806)),"Self-approved | ",""))&amp;IF(J806="","No support | ","")&amp;IF(WEEKDAY(B806,2)&gt;5,"Weekend posting | ","")&amp;IF(COUNTIF(Settings!$A$14:$A$43,B806)&gt;0,"Holiday posting | ","")&amp;IF(B806&gt;Settings!$C$8,"Posted after close | ","")&amp;IF(OR(B806&lt;Settings!$C$6,B806&gt;Settings!$C$7),"Outside period | ","")&amp;IF(COUNTIF(Settings!$E$14:$E$43,C806&amp;"")&gt;0,"Sensitive account | ","")&amp;IF(AND(MAX(N(E806),N(F806))&gt;=Settings!$C$9,MOD(MAX(N(E806),N(F806)),Settings!$C$10)=0),"Round amount | ","")="","",LEFT(IF(K806="No","Does not balance | ","")&amp;IF(I806="","Not approved | ",IF(UPPER(TRIM(H806))=UPPER(TRIM(I806)),"Self-approved | ",""))&amp;IF(J806="","No support | ","")&amp;IF(WEEKDAY(B806,2)&gt;5,"Weekend posting | ","")&amp;IF(COUNTIF(Settings!$A$14:$A$43,B806)&gt;0,"Holiday posting | ","")&amp;IF(B806&gt;Settings!$C$8,"Posted after close | ","")&amp;IF(OR(B806&lt;Settings!$C$6,B806&gt;Settings!$C$7),"Outside period | ","")&amp;IF(COUNTIF(Settings!$E$14:$E$43,C806&amp;"")&gt;0,"Sensitive account | ","")&amp;IF(AND(MAX(N(E806),N(F806))&gt;=Settings!$C$9,MOD(MAX(N(E806),N(F806)),Settings!$C$10)=0),"Round amount | ",""),LEN(IF(K806="No","Does not balance | ","")&amp;IF(I806="","Not approved | ",IF(UPPER(TRIM(H806))=UPPER(TRIM(I806)),"Self-approved | ",""))&amp;IF(J806="","No support | ","")&amp;IF(WEEKDAY(B806,2)&gt;5,"Weekend posting | ","")&amp;IF(COUNTIF(Settings!$A$14:$A$43,B806)&gt;0,"Holiday posting | ","")&amp;IF(B806&gt;Settings!$C$8,"Posted after close | ","")&amp;IF(OR(B806&lt;Settings!$C$6,B806&gt;Settings!$C$7),"Outside period | ","")&amp;IF(COUNTIF(Settings!$E$14:$E$43,C806&amp;"")&gt;0,"Sensitive account | ","")&amp;IF(AND(MAX(N(E806),N(F806))&gt;=Settings!$C$9,MOD(MAX(N(E806),N(F806)),Settings!$C$10)=0),"Round amount | ",""))-3)))</f>
        <v/>
      </c>
      <c r="M806" s="21" t="str">
        <f aca="false">IF(A806="","",IF(COUNTIF($A$9:A806,A806)=1,MAX($M$8:M805)+1,""))</f>
        <v/>
      </c>
    </row>
    <row r="807" customFormat="false" ht="15" hidden="false" customHeight="false" outlineLevel="0" collapsed="false">
      <c r="A807" s="8"/>
      <c r="B807" s="17"/>
      <c r="C807" s="19"/>
      <c r="D807" s="8"/>
      <c r="E807" s="18"/>
      <c r="F807" s="18"/>
      <c r="G807" s="8"/>
      <c r="H807" s="8"/>
      <c r="I807" s="8"/>
      <c r="J807" s="8"/>
      <c r="K807" s="10" t="str">
        <f aca="false">IF(A807="","",IF(ABS(SUMIFS($E$9:$E$2008,$A$9:$A$2008,A807)-SUMIFS($F$9:$F$2008,$A$9:$A$2008,A807))&lt;0.5,"Yes","No"))</f>
        <v/>
      </c>
      <c r="L807" s="10" t="str">
        <f aca="false">IF(A807="","",IF(IF(K807="No","Does not balance | ","")&amp;IF(I807="","Not approved | ",IF(UPPER(TRIM(H807))=UPPER(TRIM(I807)),"Self-approved | ",""))&amp;IF(J807="","No support | ","")&amp;IF(WEEKDAY(B807,2)&gt;5,"Weekend posting | ","")&amp;IF(COUNTIF(Settings!$A$14:$A$43,B807)&gt;0,"Holiday posting | ","")&amp;IF(B807&gt;Settings!$C$8,"Posted after close | ","")&amp;IF(OR(B807&lt;Settings!$C$6,B807&gt;Settings!$C$7),"Outside period | ","")&amp;IF(COUNTIF(Settings!$E$14:$E$43,C807&amp;"")&gt;0,"Sensitive account | ","")&amp;IF(AND(MAX(N(E807),N(F807))&gt;=Settings!$C$9,MOD(MAX(N(E807),N(F807)),Settings!$C$10)=0),"Round amount | ","")="","",LEFT(IF(K807="No","Does not balance | ","")&amp;IF(I807="","Not approved | ",IF(UPPER(TRIM(H807))=UPPER(TRIM(I807)),"Self-approved | ",""))&amp;IF(J807="","No support | ","")&amp;IF(WEEKDAY(B807,2)&gt;5,"Weekend posting | ","")&amp;IF(COUNTIF(Settings!$A$14:$A$43,B807)&gt;0,"Holiday posting | ","")&amp;IF(B807&gt;Settings!$C$8,"Posted after close | ","")&amp;IF(OR(B807&lt;Settings!$C$6,B807&gt;Settings!$C$7),"Outside period | ","")&amp;IF(COUNTIF(Settings!$E$14:$E$43,C807&amp;"")&gt;0,"Sensitive account | ","")&amp;IF(AND(MAX(N(E807),N(F807))&gt;=Settings!$C$9,MOD(MAX(N(E807),N(F807)),Settings!$C$10)=0),"Round amount | ",""),LEN(IF(K807="No","Does not balance | ","")&amp;IF(I807="","Not approved | ",IF(UPPER(TRIM(H807))=UPPER(TRIM(I807)),"Self-approved | ",""))&amp;IF(J807="","No support | ","")&amp;IF(WEEKDAY(B807,2)&gt;5,"Weekend posting | ","")&amp;IF(COUNTIF(Settings!$A$14:$A$43,B807)&gt;0,"Holiday posting | ","")&amp;IF(B807&gt;Settings!$C$8,"Posted after close | ","")&amp;IF(OR(B807&lt;Settings!$C$6,B807&gt;Settings!$C$7),"Outside period | ","")&amp;IF(COUNTIF(Settings!$E$14:$E$43,C807&amp;"")&gt;0,"Sensitive account | ","")&amp;IF(AND(MAX(N(E807),N(F807))&gt;=Settings!$C$9,MOD(MAX(N(E807),N(F807)),Settings!$C$10)=0),"Round amount | ",""))-3)))</f>
        <v/>
      </c>
      <c r="M807" s="21" t="str">
        <f aca="false">IF(A807="","",IF(COUNTIF($A$9:A807,A807)=1,MAX($M$8:M806)+1,""))</f>
        <v/>
      </c>
    </row>
    <row r="808" customFormat="false" ht="15" hidden="false" customHeight="false" outlineLevel="0" collapsed="false">
      <c r="A808" s="8"/>
      <c r="B808" s="17"/>
      <c r="C808" s="19"/>
      <c r="D808" s="8"/>
      <c r="E808" s="18"/>
      <c r="F808" s="18"/>
      <c r="G808" s="8"/>
      <c r="H808" s="8"/>
      <c r="I808" s="8"/>
      <c r="J808" s="8"/>
      <c r="K808" s="10" t="str">
        <f aca="false">IF(A808="","",IF(ABS(SUMIFS($E$9:$E$2008,$A$9:$A$2008,A808)-SUMIFS($F$9:$F$2008,$A$9:$A$2008,A808))&lt;0.5,"Yes","No"))</f>
        <v/>
      </c>
      <c r="L808" s="10" t="str">
        <f aca="false">IF(A808="","",IF(IF(K808="No","Does not balance | ","")&amp;IF(I808="","Not approved | ",IF(UPPER(TRIM(H808))=UPPER(TRIM(I808)),"Self-approved | ",""))&amp;IF(J808="","No support | ","")&amp;IF(WEEKDAY(B808,2)&gt;5,"Weekend posting | ","")&amp;IF(COUNTIF(Settings!$A$14:$A$43,B808)&gt;0,"Holiday posting | ","")&amp;IF(B808&gt;Settings!$C$8,"Posted after close | ","")&amp;IF(OR(B808&lt;Settings!$C$6,B808&gt;Settings!$C$7),"Outside period | ","")&amp;IF(COUNTIF(Settings!$E$14:$E$43,C808&amp;"")&gt;0,"Sensitive account | ","")&amp;IF(AND(MAX(N(E808),N(F808))&gt;=Settings!$C$9,MOD(MAX(N(E808),N(F808)),Settings!$C$10)=0),"Round amount | ","")="","",LEFT(IF(K808="No","Does not balance | ","")&amp;IF(I808="","Not approved | ",IF(UPPER(TRIM(H808))=UPPER(TRIM(I808)),"Self-approved | ",""))&amp;IF(J808="","No support | ","")&amp;IF(WEEKDAY(B808,2)&gt;5,"Weekend posting | ","")&amp;IF(COUNTIF(Settings!$A$14:$A$43,B808)&gt;0,"Holiday posting | ","")&amp;IF(B808&gt;Settings!$C$8,"Posted after close | ","")&amp;IF(OR(B808&lt;Settings!$C$6,B808&gt;Settings!$C$7),"Outside period | ","")&amp;IF(COUNTIF(Settings!$E$14:$E$43,C808&amp;"")&gt;0,"Sensitive account | ","")&amp;IF(AND(MAX(N(E808),N(F808))&gt;=Settings!$C$9,MOD(MAX(N(E808),N(F808)),Settings!$C$10)=0),"Round amount | ",""),LEN(IF(K808="No","Does not balance | ","")&amp;IF(I808="","Not approved | ",IF(UPPER(TRIM(H808))=UPPER(TRIM(I808)),"Self-approved | ",""))&amp;IF(J808="","No support | ","")&amp;IF(WEEKDAY(B808,2)&gt;5,"Weekend posting | ","")&amp;IF(COUNTIF(Settings!$A$14:$A$43,B808)&gt;0,"Holiday posting | ","")&amp;IF(B808&gt;Settings!$C$8,"Posted after close | ","")&amp;IF(OR(B808&lt;Settings!$C$6,B808&gt;Settings!$C$7),"Outside period | ","")&amp;IF(COUNTIF(Settings!$E$14:$E$43,C808&amp;"")&gt;0,"Sensitive account | ","")&amp;IF(AND(MAX(N(E808),N(F808))&gt;=Settings!$C$9,MOD(MAX(N(E808),N(F808)),Settings!$C$10)=0),"Round amount | ",""))-3)))</f>
        <v/>
      </c>
      <c r="M808" s="21" t="str">
        <f aca="false">IF(A808="","",IF(COUNTIF($A$9:A808,A808)=1,MAX($M$8:M807)+1,""))</f>
        <v/>
      </c>
    </row>
    <row r="809" customFormat="false" ht="15" hidden="false" customHeight="false" outlineLevel="0" collapsed="false">
      <c r="A809" s="8"/>
      <c r="B809" s="17"/>
      <c r="C809" s="19"/>
      <c r="D809" s="8"/>
      <c r="E809" s="18"/>
      <c r="F809" s="18"/>
      <c r="G809" s="8"/>
      <c r="H809" s="8"/>
      <c r="I809" s="8"/>
      <c r="J809" s="8"/>
      <c r="K809" s="10" t="str">
        <f aca="false">IF(A809="","",IF(ABS(SUMIFS($E$9:$E$2008,$A$9:$A$2008,A809)-SUMIFS($F$9:$F$2008,$A$9:$A$2008,A809))&lt;0.5,"Yes","No"))</f>
        <v/>
      </c>
      <c r="L809" s="10" t="str">
        <f aca="false">IF(A809="","",IF(IF(K809="No","Does not balance | ","")&amp;IF(I809="","Not approved | ",IF(UPPER(TRIM(H809))=UPPER(TRIM(I809)),"Self-approved | ",""))&amp;IF(J809="","No support | ","")&amp;IF(WEEKDAY(B809,2)&gt;5,"Weekend posting | ","")&amp;IF(COUNTIF(Settings!$A$14:$A$43,B809)&gt;0,"Holiday posting | ","")&amp;IF(B809&gt;Settings!$C$8,"Posted after close | ","")&amp;IF(OR(B809&lt;Settings!$C$6,B809&gt;Settings!$C$7),"Outside period | ","")&amp;IF(COUNTIF(Settings!$E$14:$E$43,C809&amp;"")&gt;0,"Sensitive account | ","")&amp;IF(AND(MAX(N(E809),N(F809))&gt;=Settings!$C$9,MOD(MAX(N(E809),N(F809)),Settings!$C$10)=0),"Round amount | ","")="","",LEFT(IF(K809="No","Does not balance | ","")&amp;IF(I809="","Not approved | ",IF(UPPER(TRIM(H809))=UPPER(TRIM(I809)),"Self-approved | ",""))&amp;IF(J809="","No support | ","")&amp;IF(WEEKDAY(B809,2)&gt;5,"Weekend posting | ","")&amp;IF(COUNTIF(Settings!$A$14:$A$43,B809)&gt;0,"Holiday posting | ","")&amp;IF(B809&gt;Settings!$C$8,"Posted after close | ","")&amp;IF(OR(B809&lt;Settings!$C$6,B809&gt;Settings!$C$7),"Outside period | ","")&amp;IF(COUNTIF(Settings!$E$14:$E$43,C809&amp;"")&gt;0,"Sensitive account | ","")&amp;IF(AND(MAX(N(E809),N(F809))&gt;=Settings!$C$9,MOD(MAX(N(E809),N(F809)),Settings!$C$10)=0),"Round amount | ",""),LEN(IF(K809="No","Does not balance | ","")&amp;IF(I809="","Not approved | ",IF(UPPER(TRIM(H809))=UPPER(TRIM(I809)),"Self-approved | ",""))&amp;IF(J809="","No support | ","")&amp;IF(WEEKDAY(B809,2)&gt;5,"Weekend posting | ","")&amp;IF(COUNTIF(Settings!$A$14:$A$43,B809)&gt;0,"Holiday posting | ","")&amp;IF(B809&gt;Settings!$C$8,"Posted after close | ","")&amp;IF(OR(B809&lt;Settings!$C$6,B809&gt;Settings!$C$7),"Outside period | ","")&amp;IF(COUNTIF(Settings!$E$14:$E$43,C809&amp;"")&gt;0,"Sensitive account | ","")&amp;IF(AND(MAX(N(E809),N(F809))&gt;=Settings!$C$9,MOD(MAX(N(E809),N(F809)),Settings!$C$10)=0),"Round amount | ",""))-3)))</f>
        <v/>
      </c>
      <c r="M809" s="21" t="str">
        <f aca="false">IF(A809="","",IF(COUNTIF($A$9:A809,A809)=1,MAX($M$8:M808)+1,""))</f>
        <v/>
      </c>
    </row>
    <row r="810" customFormat="false" ht="15" hidden="false" customHeight="false" outlineLevel="0" collapsed="false">
      <c r="A810" s="8"/>
      <c r="B810" s="17"/>
      <c r="C810" s="19"/>
      <c r="D810" s="8"/>
      <c r="E810" s="18"/>
      <c r="F810" s="18"/>
      <c r="G810" s="8"/>
      <c r="H810" s="8"/>
      <c r="I810" s="8"/>
      <c r="J810" s="8"/>
      <c r="K810" s="10" t="str">
        <f aca="false">IF(A810="","",IF(ABS(SUMIFS($E$9:$E$2008,$A$9:$A$2008,A810)-SUMIFS($F$9:$F$2008,$A$9:$A$2008,A810))&lt;0.5,"Yes","No"))</f>
        <v/>
      </c>
      <c r="L810" s="10" t="str">
        <f aca="false">IF(A810="","",IF(IF(K810="No","Does not balance | ","")&amp;IF(I810="","Not approved | ",IF(UPPER(TRIM(H810))=UPPER(TRIM(I810)),"Self-approved | ",""))&amp;IF(J810="","No support | ","")&amp;IF(WEEKDAY(B810,2)&gt;5,"Weekend posting | ","")&amp;IF(COUNTIF(Settings!$A$14:$A$43,B810)&gt;0,"Holiday posting | ","")&amp;IF(B810&gt;Settings!$C$8,"Posted after close | ","")&amp;IF(OR(B810&lt;Settings!$C$6,B810&gt;Settings!$C$7),"Outside period | ","")&amp;IF(COUNTIF(Settings!$E$14:$E$43,C810&amp;"")&gt;0,"Sensitive account | ","")&amp;IF(AND(MAX(N(E810),N(F810))&gt;=Settings!$C$9,MOD(MAX(N(E810),N(F810)),Settings!$C$10)=0),"Round amount | ","")="","",LEFT(IF(K810="No","Does not balance | ","")&amp;IF(I810="","Not approved | ",IF(UPPER(TRIM(H810))=UPPER(TRIM(I810)),"Self-approved | ",""))&amp;IF(J810="","No support | ","")&amp;IF(WEEKDAY(B810,2)&gt;5,"Weekend posting | ","")&amp;IF(COUNTIF(Settings!$A$14:$A$43,B810)&gt;0,"Holiday posting | ","")&amp;IF(B810&gt;Settings!$C$8,"Posted after close | ","")&amp;IF(OR(B810&lt;Settings!$C$6,B810&gt;Settings!$C$7),"Outside period | ","")&amp;IF(COUNTIF(Settings!$E$14:$E$43,C810&amp;"")&gt;0,"Sensitive account | ","")&amp;IF(AND(MAX(N(E810),N(F810))&gt;=Settings!$C$9,MOD(MAX(N(E810),N(F810)),Settings!$C$10)=0),"Round amount | ",""),LEN(IF(K810="No","Does not balance | ","")&amp;IF(I810="","Not approved | ",IF(UPPER(TRIM(H810))=UPPER(TRIM(I810)),"Self-approved | ",""))&amp;IF(J810="","No support | ","")&amp;IF(WEEKDAY(B810,2)&gt;5,"Weekend posting | ","")&amp;IF(COUNTIF(Settings!$A$14:$A$43,B810)&gt;0,"Holiday posting | ","")&amp;IF(B810&gt;Settings!$C$8,"Posted after close | ","")&amp;IF(OR(B810&lt;Settings!$C$6,B810&gt;Settings!$C$7),"Outside period | ","")&amp;IF(COUNTIF(Settings!$E$14:$E$43,C810&amp;"")&gt;0,"Sensitive account | ","")&amp;IF(AND(MAX(N(E810),N(F810))&gt;=Settings!$C$9,MOD(MAX(N(E810),N(F810)),Settings!$C$10)=0),"Round amount | ",""))-3)))</f>
        <v/>
      </c>
      <c r="M810" s="21" t="str">
        <f aca="false">IF(A810="","",IF(COUNTIF($A$9:A810,A810)=1,MAX($M$8:M809)+1,""))</f>
        <v/>
      </c>
    </row>
    <row r="811" customFormat="false" ht="15" hidden="false" customHeight="false" outlineLevel="0" collapsed="false">
      <c r="A811" s="8"/>
      <c r="B811" s="17"/>
      <c r="C811" s="19"/>
      <c r="D811" s="8"/>
      <c r="E811" s="18"/>
      <c r="F811" s="18"/>
      <c r="G811" s="8"/>
      <c r="H811" s="8"/>
      <c r="I811" s="8"/>
      <c r="J811" s="8"/>
      <c r="K811" s="10" t="str">
        <f aca="false">IF(A811="","",IF(ABS(SUMIFS($E$9:$E$2008,$A$9:$A$2008,A811)-SUMIFS($F$9:$F$2008,$A$9:$A$2008,A811))&lt;0.5,"Yes","No"))</f>
        <v/>
      </c>
      <c r="L811" s="10" t="str">
        <f aca="false">IF(A811="","",IF(IF(K811="No","Does not balance | ","")&amp;IF(I811="","Not approved | ",IF(UPPER(TRIM(H811))=UPPER(TRIM(I811)),"Self-approved | ",""))&amp;IF(J811="","No support | ","")&amp;IF(WEEKDAY(B811,2)&gt;5,"Weekend posting | ","")&amp;IF(COUNTIF(Settings!$A$14:$A$43,B811)&gt;0,"Holiday posting | ","")&amp;IF(B811&gt;Settings!$C$8,"Posted after close | ","")&amp;IF(OR(B811&lt;Settings!$C$6,B811&gt;Settings!$C$7),"Outside period | ","")&amp;IF(COUNTIF(Settings!$E$14:$E$43,C811&amp;"")&gt;0,"Sensitive account | ","")&amp;IF(AND(MAX(N(E811),N(F811))&gt;=Settings!$C$9,MOD(MAX(N(E811),N(F811)),Settings!$C$10)=0),"Round amount | ","")="","",LEFT(IF(K811="No","Does not balance | ","")&amp;IF(I811="","Not approved | ",IF(UPPER(TRIM(H811))=UPPER(TRIM(I811)),"Self-approved | ",""))&amp;IF(J811="","No support | ","")&amp;IF(WEEKDAY(B811,2)&gt;5,"Weekend posting | ","")&amp;IF(COUNTIF(Settings!$A$14:$A$43,B811)&gt;0,"Holiday posting | ","")&amp;IF(B811&gt;Settings!$C$8,"Posted after close | ","")&amp;IF(OR(B811&lt;Settings!$C$6,B811&gt;Settings!$C$7),"Outside period | ","")&amp;IF(COUNTIF(Settings!$E$14:$E$43,C811&amp;"")&gt;0,"Sensitive account | ","")&amp;IF(AND(MAX(N(E811),N(F811))&gt;=Settings!$C$9,MOD(MAX(N(E811),N(F811)),Settings!$C$10)=0),"Round amount | ",""),LEN(IF(K811="No","Does not balance | ","")&amp;IF(I811="","Not approved | ",IF(UPPER(TRIM(H811))=UPPER(TRIM(I811)),"Self-approved | ",""))&amp;IF(J811="","No support | ","")&amp;IF(WEEKDAY(B811,2)&gt;5,"Weekend posting | ","")&amp;IF(COUNTIF(Settings!$A$14:$A$43,B811)&gt;0,"Holiday posting | ","")&amp;IF(B811&gt;Settings!$C$8,"Posted after close | ","")&amp;IF(OR(B811&lt;Settings!$C$6,B811&gt;Settings!$C$7),"Outside period | ","")&amp;IF(COUNTIF(Settings!$E$14:$E$43,C811&amp;"")&gt;0,"Sensitive account | ","")&amp;IF(AND(MAX(N(E811),N(F811))&gt;=Settings!$C$9,MOD(MAX(N(E811),N(F811)),Settings!$C$10)=0),"Round amount | ",""))-3)))</f>
        <v/>
      </c>
      <c r="M811" s="21" t="str">
        <f aca="false">IF(A811="","",IF(COUNTIF($A$9:A811,A811)=1,MAX($M$8:M810)+1,""))</f>
        <v/>
      </c>
    </row>
    <row r="812" customFormat="false" ht="15" hidden="false" customHeight="false" outlineLevel="0" collapsed="false">
      <c r="A812" s="8"/>
      <c r="B812" s="17"/>
      <c r="C812" s="19"/>
      <c r="D812" s="8"/>
      <c r="E812" s="18"/>
      <c r="F812" s="18"/>
      <c r="G812" s="8"/>
      <c r="H812" s="8"/>
      <c r="I812" s="8"/>
      <c r="J812" s="8"/>
      <c r="K812" s="10" t="str">
        <f aca="false">IF(A812="","",IF(ABS(SUMIFS($E$9:$E$2008,$A$9:$A$2008,A812)-SUMIFS($F$9:$F$2008,$A$9:$A$2008,A812))&lt;0.5,"Yes","No"))</f>
        <v/>
      </c>
      <c r="L812" s="10" t="str">
        <f aca="false">IF(A812="","",IF(IF(K812="No","Does not balance | ","")&amp;IF(I812="","Not approved | ",IF(UPPER(TRIM(H812))=UPPER(TRIM(I812)),"Self-approved | ",""))&amp;IF(J812="","No support | ","")&amp;IF(WEEKDAY(B812,2)&gt;5,"Weekend posting | ","")&amp;IF(COUNTIF(Settings!$A$14:$A$43,B812)&gt;0,"Holiday posting | ","")&amp;IF(B812&gt;Settings!$C$8,"Posted after close | ","")&amp;IF(OR(B812&lt;Settings!$C$6,B812&gt;Settings!$C$7),"Outside period | ","")&amp;IF(COUNTIF(Settings!$E$14:$E$43,C812&amp;"")&gt;0,"Sensitive account | ","")&amp;IF(AND(MAX(N(E812),N(F812))&gt;=Settings!$C$9,MOD(MAX(N(E812),N(F812)),Settings!$C$10)=0),"Round amount | ","")="","",LEFT(IF(K812="No","Does not balance | ","")&amp;IF(I812="","Not approved | ",IF(UPPER(TRIM(H812))=UPPER(TRIM(I812)),"Self-approved | ",""))&amp;IF(J812="","No support | ","")&amp;IF(WEEKDAY(B812,2)&gt;5,"Weekend posting | ","")&amp;IF(COUNTIF(Settings!$A$14:$A$43,B812)&gt;0,"Holiday posting | ","")&amp;IF(B812&gt;Settings!$C$8,"Posted after close | ","")&amp;IF(OR(B812&lt;Settings!$C$6,B812&gt;Settings!$C$7),"Outside period | ","")&amp;IF(COUNTIF(Settings!$E$14:$E$43,C812&amp;"")&gt;0,"Sensitive account | ","")&amp;IF(AND(MAX(N(E812),N(F812))&gt;=Settings!$C$9,MOD(MAX(N(E812),N(F812)),Settings!$C$10)=0),"Round amount | ",""),LEN(IF(K812="No","Does not balance | ","")&amp;IF(I812="","Not approved | ",IF(UPPER(TRIM(H812))=UPPER(TRIM(I812)),"Self-approved | ",""))&amp;IF(J812="","No support | ","")&amp;IF(WEEKDAY(B812,2)&gt;5,"Weekend posting | ","")&amp;IF(COUNTIF(Settings!$A$14:$A$43,B812)&gt;0,"Holiday posting | ","")&amp;IF(B812&gt;Settings!$C$8,"Posted after close | ","")&amp;IF(OR(B812&lt;Settings!$C$6,B812&gt;Settings!$C$7),"Outside period | ","")&amp;IF(COUNTIF(Settings!$E$14:$E$43,C812&amp;"")&gt;0,"Sensitive account | ","")&amp;IF(AND(MAX(N(E812),N(F812))&gt;=Settings!$C$9,MOD(MAX(N(E812),N(F812)),Settings!$C$10)=0),"Round amount | ",""))-3)))</f>
        <v/>
      </c>
      <c r="M812" s="21" t="str">
        <f aca="false">IF(A812="","",IF(COUNTIF($A$9:A812,A812)=1,MAX($M$8:M811)+1,""))</f>
        <v/>
      </c>
    </row>
    <row r="813" customFormat="false" ht="15" hidden="false" customHeight="false" outlineLevel="0" collapsed="false">
      <c r="A813" s="8"/>
      <c r="B813" s="17"/>
      <c r="C813" s="19"/>
      <c r="D813" s="8"/>
      <c r="E813" s="18"/>
      <c r="F813" s="18"/>
      <c r="G813" s="8"/>
      <c r="H813" s="8"/>
      <c r="I813" s="8"/>
      <c r="J813" s="8"/>
      <c r="K813" s="10" t="str">
        <f aca="false">IF(A813="","",IF(ABS(SUMIFS($E$9:$E$2008,$A$9:$A$2008,A813)-SUMIFS($F$9:$F$2008,$A$9:$A$2008,A813))&lt;0.5,"Yes","No"))</f>
        <v/>
      </c>
      <c r="L813" s="10" t="str">
        <f aca="false">IF(A813="","",IF(IF(K813="No","Does not balance | ","")&amp;IF(I813="","Not approved | ",IF(UPPER(TRIM(H813))=UPPER(TRIM(I813)),"Self-approved | ",""))&amp;IF(J813="","No support | ","")&amp;IF(WEEKDAY(B813,2)&gt;5,"Weekend posting | ","")&amp;IF(COUNTIF(Settings!$A$14:$A$43,B813)&gt;0,"Holiday posting | ","")&amp;IF(B813&gt;Settings!$C$8,"Posted after close | ","")&amp;IF(OR(B813&lt;Settings!$C$6,B813&gt;Settings!$C$7),"Outside period | ","")&amp;IF(COUNTIF(Settings!$E$14:$E$43,C813&amp;"")&gt;0,"Sensitive account | ","")&amp;IF(AND(MAX(N(E813),N(F813))&gt;=Settings!$C$9,MOD(MAX(N(E813),N(F813)),Settings!$C$10)=0),"Round amount | ","")="","",LEFT(IF(K813="No","Does not balance | ","")&amp;IF(I813="","Not approved | ",IF(UPPER(TRIM(H813))=UPPER(TRIM(I813)),"Self-approved | ",""))&amp;IF(J813="","No support | ","")&amp;IF(WEEKDAY(B813,2)&gt;5,"Weekend posting | ","")&amp;IF(COUNTIF(Settings!$A$14:$A$43,B813)&gt;0,"Holiday posting | ","")&amp;IF(B813&gt;Settings!$C$8,"Posted after close | ","")&amp;IF(OR(B813&lt;Settings!$C$6,B813&gt;Settings!$C$7),"Outside period | ","")&amp;IF(COUNTIF(Settings!$E$14:$E$43,C813&amp;"")&gt;0,"Sensitive account | ","")&amp;IF(AND(MAX(N(E813),N(F813))&gt;=Settings!$C$9,MOD(MAX(N(E813),N(F813)),Settings!$C$10)=0),"Round amount | ",""),LEN(IF(K813="No","Does not balance | ","")&amp;IF(I813="","Not approved | ",IF(UPPER(TRIM(H813))=UPPER(TRIM(I813)),"Self-approved | ",""))&amp;IF(J813="","No support | ","")&amp;IF(WEEKDAY(B813,2)&gt;5,"Weekend posting | ","")&amp;IF(COUNTIF(Settings!$A$14:$A$43,B813)&gt;0,"Holiday posting | ","")&amp;IF(B813&gt;Settings!$C$8,"Posted after close | ","")&amp;IF(OR(B813&lt;Settings!$C$6,B813&gt;Settings!$C$7),"Outside period | ","")&amp;IF(COUNTIF(Settings!$E$14:$E$43,C813&amp;"")&gt;0,"Sensitive account | ","")&amp;IF(AND(MAX(N(E813),N(F813))&gt;=Settings!$C$9,MOD(MAX(N(E813),N(F813)),Settings!$C$10)=0),"Round amount | ",""))-3)))</f>
        <v/>
      </c>
      <c r="M813" s="21" t="str">
        <f aca="false">IF(A813="","",IF(COUNTIF($A$9:A813,A813)=1,MAX($M$8:M812)+1,""))</f>
        <v/>
      </c>
    </row>
    <row r="814" customFormat="false" ht="15" hidden="false" customHeight="false" outlineLevel="0" collapsed="false">
      <c r="A814" s="8"/>
      <c r="B814" s="17"/>
      <c r="C814" s="19"/>
      <c r="D814" s="8"/>
      <c r="E814" s="18"/>
      <c r="F814" s="18"/>
      <c r="G814" s="8"/>
      <c r="H814" s="8"/>
      <c r="I814" s="8"/>
      <c r="J814" s="8"/>
      <c r="K814" s="10" t="str">
        <f aca="false">IF(A814="","",IF(ABS(SUMIFS($E$9:$E$2008,$A$9:$A$2008,A814)-SUMIFS($F$9:$F$2008,$A$9:$A$2008,A814))&lt;0.5,"Yes","No"))</f>
        <v/>
      </c>
      <c r="L814" s="10" t="str">
        <f aca="false">IF(A814="","",IF(IF(K814="No","Does not balance | ","")&amp;IF(I814="","Not approved | ",IF(UPPER(TRIM(H814))=UPPER(TRIM(I814)),"Self-approved | ",""))&amp;IF(J814="","No support | ","")&amp;IF(WEEKDAY(B814,2)&gt;5,"Weekend posting | ","")&amp;IF(COUNTIF(Settings!$A$14:$A$43,B814)&gt;0,"Holiday posting | ","")&amp;IF(B814&gt;Settings!$C$8,"Posted after close | ","")&amp;IF(OR(B814&lt;Settings!$C$6,B814&gt;Settings!$C$7),"Outside period | ","")&amp;IF(COUNTIF(Settings!$E$14:$E$43,C814&amp;"")&gt;0,"Sensitive account | ","")&amp;IF(AND(MAX(N(E814),N(F814))&gt;=Settings!$C$9,MOD(MAX(N(E814),N(F814)),Settings!$C$10)=0),"Round amount | ","")="","",LEFT(IF(K814="No","Does not balance | ","")&amp;IF(I814="","Not approved | ",IF(UPPER(TRIM(H814))=UPPER(TRIM(I814)),"Self-approved | ",""))&amp;IF(J814="","No support | ","")&amp;IF(WEEKDAY(B814,2)&gt;5,"Weekend posting | ","")&amp;IF(COUNTIF(Settings!$A$14:$A$43,B814)&gt;0,"Holiday posting | ","")&amp;IF(B814&gt;Settings!$C$8,"Posted after close | ","")&amp;IF(OR(B814&lt;Settings!$C$6,B814&gt;Settings!$C$7),"Outside period | ","")&amp;IF(COUNTIF(Settings!$E$14:$E$43,C814&amp;"")&gt;0,"Sensitive account | ","")&amp;IF(AND(MAX(N(E814),N(F814))&gt;=Settings!$C$9,MOD(MAX(N(E814),N(F814)),Settings!$C$10)=0),"Round amount | ",""),LEN(IF(K814="No","Does not balance | ","")&amp;IF(I814="","Not approved | ",IF(UPPER(TRIM(H814))=UPPER(TRIM(I814)),"Self-approved | ",""))&amp;IF(J814="","No support | ","")&amp;IF(WEEKDAY(B814,2)&gt;5,"Weekend posting | ","")&amp;IF(COUNTIF(Settings!$A$14:$A$43,B814)&gt;0,"Holiday posting | ","")&amp;IF(B814&gt;Settings!$C$8,"Posted after close | ","")&amp;IF(OR(B814&lt;Settings!$C$6,B814&gt;Settings!$C$7),"Outside period | ","")&amp;IF(COUNTIF(Settings!$E$14:$E$43,C814&amp;"")&gt;0,"Sensitive account | ","")&amp;IF(AND(MAX(N(E814),N(F814))&gt;=Settings!$C$9,MOD(MAX(N(E814),N(F814)),Settings!$C$10)=0),"Round amount | ",""))-3)))</f>
        <v/>
      </c>
      <c r="M814" s="21" t="str">
        <f aca="false">IF(A814="","",IF(COUNTIF($A$9:A814,A814)=1,MAX($M$8:M813)+1,""))</f>
        <v/>
      </c>
    </row>
    <row r="815" customFormat="false" ht="15" hidden="false" customHeight="false" outlineLevel="0" collapsed="false">
      <c r="A815" s="8"/>
      <c r="B815" s="17"/>
      <c r="C815" s="19"/>
      <c r="D815" s="8"/>
      <c r="E815" s="18"/>
      <c r="F815" s="18"/>
      <c r="G815" s="8"/>
      <c r="H815" s="8"/>
      <c r="I815" s="8"/>
      <c r="J815" s="8"/>
      <c r="K815" s="10" t="str">
        <f aca="false">IF(A815="","",IF(ABS(SUMIFS($E$9:$E$2008,$A$9:$A$2008,A815)-SUMIFS($F$9:$F$2008,$A$9:$A$2008,A815))&lt;0.5,"Yes","No"))</f>
        <v/>
      </c>
      <c r="L815" s="10" t="str">
        <f aca="false">IF(A815="","",IF(IF(K815="No","Does not balance | ","")&amp;IF(I815="","Not approved | ",IF(UPPER(TRIM(H815))=UPPER(TRIM(I815)),"Self-approved | ",""))&amp;IF(J815="","No support | ","")&amp;IF(WEEKDAY(B815,2)&gt;5,"Weekend posting | ","")&amp;IF(COUNTIF(Settings!$A$14:$A$43,B815)&gt;0,"Holiday posting | ","")&amp;IF(B815&gt;Settings!$C$8,"Posted after close | ","")&amp;IF(OR(B815&lt;Settings!$C$6,B815&gt;Settings!$C$7),"Outside period | ","")&amp;IF(COUNTIF(Settings!$E$14:$E$43,C815&amp;"")&gt;0,"Sensitive account | ","")&amp;IF(AND(MAX(N(E815),N(F815))&gt;=Settings!$C$9,MOD(MAX(N(E815),N(F815)),Settings!$C$10)=0),"Round amount | ","")="","",LEFT(IF(K815="No","Does not balance | ","")&amp;IF(I815="","Not approved | ",IF(UPPER(TRIM(H815))=UPPER(TRIM(I815)),"Self-approved | ",""))&amp;IF(J815="","No support | ","")&amp;IF(WEEKDAY(B815,2)&gt;5,"Weekend posting | ","")&amp;IF(COUNTIF(Settings!$A$14:$A$43,B815)&gt;0,"Holiday posting | ","")&amp;IF(B815&gt;Settings!$C$8,"Posted after close | ","")&amp;IF(OR(B815&lt;Settings!$C$6,B815&gt;Settings!$C$7),"Outside period | ","")&amp;IF(COUNTIF(Settings!$E$14:$E$43,C815&amp;"")&gt;0,"Sensitive account | ","")&amp;IF(AND(MAX(N(E815),N(F815))&gt;=Settings!$C$9,MOD(MAX(N(E815),N(F815)),Settings!$C$10)=0),"Round amount | ",""),LEN(IF(K815="No","Does not balance | ","")&amp;IF(I815="","Not approved | ",IF(UPPER(TRIM(H815))=UPPER(TRIM(I815)),"Self-approved | ",""))&amp;IF(J815="","No support | ","")&amp;IF(WEEKDAY(B815,2)&gt;5,"Weekend posting | ","")&amp;IF(COUNTIF(Settings!$A$14:$A$43,B815)&gt;0,"Holiday posting | ","")&amp;IF(B815&gt;Settings!$C$8,"Posted after close | ","")&amp;IF(OR(B815&lt;Settings!$C$6,B815&gt;Settings!$C$7),"Outside period | ","")&amp;IF(COUNTIF(Settings!$E$14:$E$43,C815&amp;"")&gt;0,"Sensitive account | ","")&amp;IF(AND(MAX(N(E815),N(F815))&gt;=Settings!$C$9,MOD(MAX(N(E815),N(F815)),Settings!$C$10)=0),"Round amount | ",""))-3)))</f>
        <v/>
      </c>
      <c r="M815" s="21" t="str">
        <f aca="false">IF(A815="","",IF(COUNTIF($A$9:A815,A815)=1,MAX($M$8:M814)+1,""))</f>
        <v/>
      </c>
    </row>
    <row r="816" customFormat="false" ht="15" hidden="false" customHeight="false" outlineLevel="0" collapsed="false">
      <c r="A816" s="8"/>
      <c r="B816" s="17"/>
      <c r="C816" s="19"/>
      <c r="D816" s="8"/>
      <c r="E816" s="18"/>
      <c r="F816" s="18"/>
      <c r="G816" s="8"/>
      <c r="H816" s="8"/>
      <c r="I816" s="8"/>
      <c r="J816" s="8"/>
      <c r="K816" s="10" t="str">
        <f aca="false">IF(A816="","",IF(ABS(SUMIFS($E$9:$E$2008,$A$9:$A$2008,A816)-SUMIFS($F$9:$F$2008,$A$9:$A$2008,A816))&lt;0.5,"Yes","No"))</f>
        <v/>
      </c>
      <c r="L816" s="10" t="str">
        <f aca="false">IF(A816="","",IF(IF(K816="No","Does not balance | ","")&amp;IF(I816="","Not approved | ",IF(UPPER(TRIM(H816))=UPPER(TRIM(I816)),"Self-approved | ",""))&amp;IF(J816="","No support | ","")&amp;IF(WEEKDAY(B816,2)&gt;5,"Weekend posting | ","")&amp;IF(COUNTIF(Settings!$A$14:$A$43,B816)&gt;0,"Holiday posting | ","")&amp;IF(B816&gt;Settings!$C$8,"Posted after close | ","")&amp;IF(OR(B816&lt;Settings!$C$6,B816&gt;Settings!$C$7),"Outside period | ","")&amp;IF(COUNTIF(Settings!$E$14:$E$43,C816&amp;"")&gt;0,"Sensitive account | ","")&amp;IF(AND(MAX(N(E816),N(F816))&gt;=Settings!$C$9,MOD(MAX(N(E816),N(F816)),Settings!$C$10)=0),"Round amount | ","")="","",LEFT(IF(K816="No","Does not balance | ","")&amp;IF(I816="","Not approved | ",IF(UPPER(TRIM(H816))=UPPER(TRIM(I816)),"Self-approved | ",""))&amp;IF(J816="","No support | ","")&amp;IF(WEEKDAY(B816,2)&gt;5,"Weekend posting | ","")&amp;IF(COUNTIF(Settings!$A$14:$A$43,B816)&gt;0,"Holiday posting | ","")&amp;IF(B816&gt;Settings!$C$8,"Posted after close | ","")&amp;IF(OR(B816&lt;Settings!$C$6,B816&gt;Settings!$C$7),"Outside period | ","")&amp;IF(COUNTIF(Settings!$E$14:$E$43,C816&amp;"")&gt;0,"Sensitive account | ","")&amp;IF(AND(MAX(N(E816),N(F816))&gt;=Settings!$C$9,MOD(MAX(N(E816),N(F816)),Settings!$C$10)=0),"Round amount | ",""),LEN(IF(K816="No","Does not balance | ","")&amp;IF(I816="","Not approved | ",IF(UPPER(TRIM(H816))=UPPER(TRIM(I816)),"Self-approved | ",""))&amp;IF(J816="","No support | ","")&amp;IF(WEEKDAY(B816,2)&gt;5,"Weekend posting | ","")&amp;IF(COUNTIF(Settings!$A$14:$A$43,B816)&gt;0,"Holiday posting | ","")&amp;IF(B816&gt;Settings!$C$8,"Posted after close | ","")&amp;IF(OR(B816&lt;Settings!$C$6,B816&gt;Settings!$C$7),"Outside period | ","")&amp;IF(COUNTIF(Settings!$E$14:$E$43,C816&amp;"")&gt;0,"Sensitive account | ","")&amp;IF(AND(MAX(N(E816),N(F816))&gt;=Settings!$C$9,MOD(MAX(N(E816),N(F816)),Settings!$C$10)=0),"Round amount | ",""))-3)))</f>
        <v/>
      </c>
      <c r="M816" s="21" t="str">
        <f aca="false">IF(A816="","",IF(COUNTIF($A$9:A816,A816)=1,MAX($M$8:M815)+1,""))</f>
        <v/>
      </c>
    </row>
    <row r="817" customFormat="false" ht="15" hidden="false" customHeight="false" outlineLevel="0" collapsed="false">
      <c r="A817" s="8"/>
      <c r="B817" s="17"/>
      <c r="C817" s="19"/>
      <c r="D817" s="8"/>
      <c r="E817" s="18"/>
      <c r="F817" s="18"/>
      <c r="G817" s="8"/>
      <c r="H817" s="8"/>
      <c r="I817" s="8"/>
      <c r="J817" s="8"/>
      <c r="K817" s="10" t="str">
        <f aca="false">IF(A817="","",IF(ABS(SUMIFS($E$9:$E$2008,$A$9:$A$2008,A817)-SUMIFS($F$9:$F$2008,$A$9:$A$2008,A817))&lt;0.5,"Yes","No"))</f>
        <v/>
      </c>
      <c r="L817" s="10" t="str">
        <f aca="false">IF(A817="","",IF(IF(K817="No","Does not balance | ","")&amp;IF(I817="","Not approved | ",IF(UPPER(TRIM(H817))=UPPER(TRIM(I817)),"Self-approved | ",""))&amp;IF(J817="","No support | ","")&amp;IF(WEEKDAY(B817,2)&gt;5,"Weekend posting | ","")&amp;IF(COUNTIF(Settings!$A$14:$A$43,B817)&gt;0,"Holiday posting | ","")&amp;IF(B817&gt;Settings!$C$8,"Posted after close | ","")&amp;IF(OR(B817&lt;Settings!$C$6,B817&gt;Settings!$C$7),"Outside period | ","")&amp;IF(COUNTIF(Settings!$E$14:$E$43,C817&amp;"")&gt;0,"Sensitive account | ","")&amp;IF(AND(MAX(N(E817),N(F817))&gt;=Settings!$C$9,MOD(MAX(N(E817),N(F817)),Settings!$C$10)=0),"Round amount | ","")="","",LEFT(IF(K817="No","Does not balance | ","")&amp;IF(I817="","Not approved | ",IF(UPPER(TRIM(H817))=UPPER(TRIM(I817)),"Self-approved | ",""))&amp;IF(J817="","No support | ","")&amp;IF(WEEKDAY(B817,2)&gt;5,"Weekend posting | ","")&amp;IF(COUNTIF(Settings!$A$14:$A$43,B817)&gt;0,"Holiday posting | ","")&amp;IF(B817&gt;Settings!$C$8,"Posted after close | ","")&amp;IF(OR(B817&lt;Settings!$C$6,B817&gt;Settings!$C$7),"Outside period | ","")&amp;IF(COUNTIF(Settings!$E$14:$E$43,C817&amp;"")&gt;0,"Sensitive account | ","")&amp;IF(AND(MAX(N(E817),N(F817))&gt;=Settings!$C$9,MOD(MAX(N(E817),N(F817)),Settings!$C$10)=0),"Round amount | ",""),LEN(IF(K817="No","Does not balance | ","")&amp;IF(I817="","Not approved | ",IF(UPPER(TRIM(H817))=UPPER(TRIM(I817)),"Self-approved | ",""))&amp;IF(J817="","No support | ","")&amp;IF(WEEKDAY(B817,2)&gt;5,"Weekend posting | ","")&amp;IF(COUNTIF(Settings!$A$14:$A$43,B817)&gt;0,"Holiday posting | ","")&amp;IF(B817&gt;Settings!$C$8,"Posted after close | ","")&amp;IF(OR(B817&lt;Settings!$C$6,B817&gt;Settings!$C$7),"Outside period | ","")&amp;IF(COUNTIF(Settings!$E$14:$E$43,C817&amp;"")&gt;0,"Sensitive account | ","")&amp;IF(AND(MAX(N(E817),N(F817))&gt;=Settings!$C$9,MOD(MAX(N(E817),N(F817)),Settings!$C$10)=0),"Round amount | ",""))-3)))</f>
        <v/>
      </c>
      <c r="M817" s="21" t="str">
        <f aca="false">IF(A817="","",IF(COUNTIF($A$9:A817,A817)=1,MAX($M$8:M816)+1,""))</f>
        <v/>
      </c>
    </row>
    <row r="818" customFormat="false" ht="15" hidden="false" customHeight="false" outlineLevel="0" collapsed="false">
      <c r="A818" s="8"/>
      <c r="B818" s="17"/>
      <c r="C818" s="19"/>
      <c r="D818" s="8"/>
      <c r="E818" s="18"/>
      <c r="F818" s="18"/>
      <c r="G818" s="8"/>
      <c r="H818" s="8"/>
      <c r="I818" s="8"/>
      <c r="J818" s="8"/>
      <c r="K818" s="10" t="str">
        <f aca="false">IF(A818="","",IF(ABS(SUMIFS($E$9:$E$2008,$A$9:$A$2008,A818)-SUMIFS($F$9:$F$2008,$A$9:$A$2008,A818))&lt;0.5,"Yes","No"))</f>
        <v/>
      </c>
      <c r="L818" s="10" t="str">
        <f aca="false">IF(A818="","",IF(IF(K818="No","Does not balance | ","")&amp;IF(I818="","Not approved | ",IF(UPPER(TRIM(H818))=UPPER(TRIM(I818)),"Self-approved | ",""))&amp;IF(J818="","No support | ","")&amp;IF(WEEKDAY(B818,2)&gt;5,"Weekend posting | ","")&amp;IF(COUNTIF(Settings!$A$14:$A$43,B818)&gt;0,"Holiday posting | ","")&amp;IF(B818&gt;Settings!$C$8,"Posted after close | ","")&amp;IF(OR(B818&lt;Settings!$C$6,B818&gt;Settings!$C$7),"Outside period | ","")&amp;IF(COUNTIF(Settings!$E$14:$E$43,C818&amp;"")&gt;0,"Sensitive account | ","")&amp;IF(AND(MAX(N(E818),N(F818))&gt;=Settings!$C$9,MOD(MAX(N(E818),N(F818)),Settings!$C$10)=0),"Round amount | ","")="","",LEFT(IF(K818="No","Does not balance | ","")&amp;IF(I818="","Not approved | ",IF(UPPER(TRIM(H818))=UPPER(TRIM(I818)),"Self-approved | ",""))&amp;IF(J818="","No support | ","")&amp;IF(WEEKDAY(B818,2)&gt;5,"Weekend posting | ","")&amp;IF(COUNTIF(Settings!$A$14:$A$43,B818)&gt;0,"Holiday posting | ","")&amp;IF(B818&gt;Settings!$C$8,"Posted after close | ","")&amp;IF(OR(B818&lt;Settings!$C$6,B818&gt;Settings!$C$7),"Outside period | ","")&amp;IF(COUNTIF(Settings!$E$14:$E$43,C818&amp;"")&gt;0,"Sensitive account | ","")&amp;IF(AND(MAX(N(E818),N(F818))&gt;=Settings!$C$9,MOD(MAX(N(E818),N(F818)),Settings!$C$10)=0),"Round amount | ",""),LEN(IF(K818="No","Does not balance | ","")&amp;IF(I818="","Not approved | ",IF(UPPER(TRIM(H818))=UPPER(TRIM(I818)),"Self-approved | ",""))&amp;IF(J818="","No support | ","")&amp;IF(WEEKDAY(B818,2)&gt;5,"Weekend posting | ","")&amp;IF(COUNTIF(Settings!$A$14:$A$43,B818)&gt;0,"Holiday posting | ","")&amp;IF(B818&gt;Settings!$C$8,"Posted after close | ","")&amp;IF(OR(B818&lt;Settings!$C$6,B818&gt;Settings!$C$7),"Outside period | ","")&amp;IF(COUNTIF(Settings!$E$14:$E$43,C818&amp;"")&gt;0,"Sensitive account | ","")&amp;IF(AND(MAX(N(E818),N(F818))&gt;=Settings!$C$9,MOD(MAX(N(E818),N(F818)),Settings!$C$10)=0),"Round amount | ",""))-3)))</f>
        <v/>
      </c>
      <c r="M818" s="21" t="str">
        <f aca="false">IF(A818="","",IF(COUNTIF($A$9:A818,A818)=1,MAX($M$8:M817)+1,""))</f>
        <v/>
      </c>
    </row>
    <row r="819" customFormat="false" ht="15" hidden="false" customHeight="false" outlineLevel="0" collapsed="false">
      <c r="A819" s="8"/>
      <c r="B819" s="17"/>
      <c r="C819" s="19"/>
      <c r="D819" s="8"/>
      <c r="E819" s="18"/>
      <c r="F819" s="18"/>
      <c r="G819" s="8"/>
      <c r="H819" s="8"/>
      <c r="I819" s="8"/>
      <c r="J819" s="8"/>
      <c r="K819" s="10" t="str">
        <f aca="false">IF(A819="","",IF(ABS(SUMIFS($E$9:$E$2008,$A$9:$A$2008,A819)-SUMIFS($F$9:$F$2008,$A$9:$A$2008,A819))&lt;0.5,"Yes","No"))</f>
        <v/>
      </c>
      <c r="L819" s="10" t="str">
        <f aca="false">IF(A819="","",IF(IF(K819="No","Does not balance | ","")&amp;IF(I819="","Not approved | ",IF(UPPER(TRIM(H819))=UPPER(TRIM(I819)),"Self-approved | ",""))&amp;IF(J819="","No support | ","")&amp;IF(WEEKDAY(B819,2)&gt;5,"Weekend posting | ","")&amp;IF(COUNTIF(Settings!$A$14:$A$43,B819)&gt;0,"Holiday posting | ","")&amp;IF(B819&gt;Settings!$C$8,"Posted after close | ","")&amp;IF(OR(B819&lt;Settings!$C$6,B819&gt;Settings!$C$7),"Outside period | ","")&amp;IF(COUNTIF(Settings!$E$14:$E$43,C819&amp;"")&gt;0,"Sensitive account | ","")&amp;IF(AND(MAX(N(E819),N(F819))&gt;=Settings!$C$9,MOD(MAX(N(E819),N(F819)),Settings!$C$10)=0),"Round amount | ","")="","",LEFT(IF(K819="No","Does not balance | ","")&amp;IF(I819="","Not approved | ",IF(UPPER(TRIM(H819))=UPPER(TRIM(I819)),"Self-approved | ",""))&amp;IF(J819="","No support | ","")&amp;IF(WEEKDAY(B819,2)&gt;5,"Weekend posting | ","")&amp;IF(COUNTIF(Settings!$A$14:$A$43,B819)&gt;0,"Holiday posting | ","")&amp;IF(B819&gt;Settings!$C$8,"Posted after close | ","")&amp;IF(OR(B819&lt;Settings!$C$6,B819&gt;Settings!$C$7),"Outside period | ","")&amp;IF(COUNTIF(Settings!$E$14:$E$43,C819&amp;"")&gt;0,"Sensitive account | ","")&amp;IF(AND(MAX(N(E819),N(F819))&gt;=Settings!$C$9,MOD(MAX(N(E819),N(F819)),Settings!$C$10)=0),"Round amount | ",""),LEN(IF(K819="No","Does not balance | ","")&amp;IF(I819="","Not approved | ",IF(UPPER(TRIM(H819))=UPPER(TRIM(I819)),"Self-approved | ",""))&amp;IF(J819="","No support | ","")&amp;IF(WEEKDAY(B819,2)&gt;5,"Weekend posting | ","")&amp;IF(COUNTIF(Settings!$A$14:$A$43,B819)&gt;0,"Holiday posting | ","")&amp;IF(B819&gt;Settings!$C$8,"Posted after close | ","")&amp;IF(OR(B819&lt;Settings!$C$6,B819&gt;Settings!$C$7),"Outside period | ","")&amp;IF(COUNTIF(Settings!$E$14:$E$43,C819&amp;"")&gt;0,"Sensitive account | ","")&amp;IF(AND(MAX(N(E819),N(F819))&gt;=Settings!$C$9,MOD(MAX(N(E819),N(F819)),Settings!$C$10)=0),"Round amount | ",""))-3)))</f>
        <v/>
      </c>
      <c r="M819" s="21" t="str">
        <f aca="false">IF(A819="","",IF(COUNTIF($A$9:A819,A819)=1,MAX($M$8:M818)+1,""))</f>
        <v/>
      </c>
    </row>
    <row r="820" customFormat="false" ht="15" hidden="false" customHeight="false" outlineLevel="0" collapsed="false">
      <c r="A820" s="8"/>
      <c r="B820" s="17"/>
      <c r="C820" s="19"/>
      <c r="D820" s="8"/>
      <c r="E820" s="18"/>
      <c r="F820" s="18"/>
      <c r="G820" s="8"/>
      <c r="H820" s="8"/>
      <c r="I820" s="8"/>
      <c r="J820" s="8"/>
      <c r="K820" s="10" t="str">
        <f aca="false">IF(A820="","",IF(ABS(SUMIFS($E$9:$E$2008,$A$9:$A$2008,A820)-SUMIFS($F$9:$F$2008,$A$9:$A$2008,A820))&lt;0.5,"Yes","No"))</f>
        <v/>
      </c>
      <c r="L820" s="10" t="str">
        <f aca="false">IF(A820="","",IF(IF(K820="No","Does not balance | ","")&amp;IF(I820="","Not approved | ",IF(UPPER(TRIM(H820))=UPPER(TRIM(I820)),"Self-approved | ",""))&amp;IF(J820="","No support | ","")&amp;IF(WEEKDAY(B820,2)&gt;5,"Weekend posting | ","")&amp;IF(COUNTIF(Settings!$A$14:$A$43,B820)&gt;0,"Holiday posting | ","")&amp;IF(B820&gt;Settings!$C$8,"Posted after close | ","")&amp;IF(OR(B820&lt;Settings!$C$6,B820&gt;Settings!$C$7),"Outside period | ","")&amp;IF(COUNTIF(Settings!$E$14:$E$43,C820&amp;"")&gt;0,"Sensitive account | ","")&amp;IF(AND(MAX(N(E820),N(F820))&gt;=Settings!$C$9,MOD(MAX(N(E820),N(F820)),Settings!$C$10)=0),"Round amount | ","")="","",LEFT(IF(K820="No","Does not balance | ","")&amp;IF(I820="","Not approved | ",IF(UPPER(TRIM(H820))=UPPER(TRIM(I820)),"Self-approved | ",""))&amp;IF(J820="","No support | ","")&amp;IF(WEEKDAY(B820,2)&gt;5,"Weekend posting | ","")&amp;IF(COUNTIF(Settings!$A$14:$A$43,B820)&gt;0,"Holiday posting | ","")&amp;IF(B820&gt;Settings!$C$8,"Posted after close | ","")&amp;IF(OR(B820&lt;Settings!$C$6,B820&gt;Settings!$C$7),"Outside period | ","")&amp;IF(COUNTIF(Settings!$E$14:$E$43,C820&amp;"")&gt;0,"Sensitive account | ","")&amp;IF(AND(MAX(N(E820),N(F820))&gt;=Settings!$C$9,MOD(MAX(N(E820),N(F820)),Settings!$C$10)=0),"Round amount | ",""),LEN(IF(K820="No","Does not balance | ","")&amp;IF(I820="","Not approved | ",IF(UPPER(TRIM(H820))=UPPER(TRIM(I820)),"Self-approved | ",""))&amp;IF(J820="","No support | ","")&amp;IF(WEEKDAY(B820,2)&gt;5,"Weekend posting | ","")&amp;IF(COUNTIF(Settings!$A$14:$A$43,B820)&gt;0,"Holiday posting | ","")&amp;IF(B820&gt;Settings!$C$8,"Posted after close | ","")&amp;IF(OR(B820&lt;Settings!$C$6,B820&gt;Settings!$C$7),"Outside period | ","")&amp;IF(COUNTIF(Settings!$E$14:$E$43,C820&amp;"")&gt;0,"Sensitive account | ","")&amp;IF(AND(MAX(N(E820),N(F820))&gt;=Settings!$C$9,MOD(MAX(N(E820),N(F820)),Settings!$C$10)=0),"Round amount | ",""))-3)))</f>
        <v/>
      </c>
      <c r="M820" s="21" t="str">
        <f aca="false">IF(A820="","",IF(COUNTIF($A$9:A820,A820)=1,MAX($M$8:M819)+1,""))</f>
        <v/>
      </c>
    </row>
    <row r="821" customFormat="false" ht="15" hidden="false" customHeight="false" outlineLevel="0" collapsed="false">
      <c r="A821" s="8"/>
      <c r="B821" s="17"/>
      <c r="C821" s="19"/>
      <c r="D821" s="8"/>
      <c r="E821" s="18"/>
      <c r="F821" s="18"/>
      <c r="G821" s="8"/>
      <c r="H821" s="8"/>
      <c r="I821" s="8"/>
      <c r="J821" s="8"/>
      <c r="K821" s="10" t="str">
        <f aca="false">IF(A821="","",IF(ABS(SUMIFS($E$9:$E$2008,$A$9:$A$2008,A821)-SUMIFS($F$9:$F$2008,$A$9:$A$2008,A821))&lt;0.5,"Yes","No"))</f>
        <v/>
      </c>
      <c r="L821" s="10" t="str">
        <f aca="false">IF(A821="","",IF(IF(K821="No","Does not balance | ","")&amp;IF(I821="","Not approved | ",IF(UPPER(TRIM(H821))=UPPER(TRIM(I821)),"Self-approved | ",""))&amp;IF(J821="","No support | ","")&amp;IF(WEEKDAY(B821,2)&gt;5,"Weekend posting | ","")&amp;IF(COUNTIF(Settings!$A$14:$A$43,B821)&gt;0,"Holiday posting | ","")&amp;IF(B821&gt;Settings!$C$8,"Posted after close | ","")&amp;IF(OR(B821&lt;Settings!$C$6,B821&gt;Settings!$C$7),"Outside period | ","")&amp;IF(COUNTIF(Settings!$E$14:$E$43,C821&amp;"")&gt;0,"Sensitive account | ","")&amp;IF(AND(MAX(N(E821),N(F821))&gt;=Settings!$C$9,MOD(MAX(N(E821),N(F821)),Settings!$C$10)=0),"Round amount | ","")="","",LEFT(IF(K821="No","Does not balance | ","")&amp;IF(I821="","Not approved | ",IF(UPPER(TRIM(H821))=UPPER(TRIM(I821)),"Self-approved | ",""))&amp;IF(J821="","No support | ","")&amp;IF(WEEKDAY(B821,2)&gt;5,"Weekend posting | ","")&amp;IF(COUNTIF(Settings!$A$14:$A$43,B821)&gt;0,"Holiday posting | ","")&amp;IF(B821&gt;Settings!$C$8,"Posted after close | ","")&amp;IF(OR(B821&lt;Settings!$C$6,B821&gt;Settings!$C$7),"Outside period | ","")&amp;IF(COUNTIF(Settings!$E$14:$E$43,C821&amp;"")&gt;0,"Sensitive account | ","")&amp;IF(AND(MAX(N(E821),N(F821))&gt;=Settings!$C$9,MOD(MAX(N(E821),N(F821)),Settings!$C$10)=0),"Round amount | ",""),LEN(IF(K821="No","Does not balance | ","")&amp;IF(I821="","Not approved | ",IF(UPPER(TRIM(H821))=UPPER(TRIM(I821)),"Self-approved | ",""))&amp;IF(J821="","No support | ","")&amp;IF(WEEKDAY(B821,2)&gt;5,"Weekend posting | ","")&amp;IF(COUNTIF(Settings!$A$14:$A$43,B821)&gt;0,"Holiday posting | ","")&amp;IF(B821&gt;Settings!$C$8,"Posted after close | ","")&amp;IF(OR(B821&lt;Settings!$C$6,B821&gt;Settings!$C$7),"Outside period | ","")&amp;IF(COUNTIF(Settings!$E$14:$E$43,C821&amp;"")&gt;0,"Sensitive account | ","")&amp;IF(AND(MAX(N(E821),N(F821))&gt;=Settings!$C$9,MOD(MAX(N(E821),N(F821)),Settings!$C$10)=0),"Round amount | ",""))-3)))</f>
        <v/>
      </c>
      <c r="M821" s="21" t="str">
        <f aca="false">IF(A821="","",IF(COUNTIF($A$9:A821,A821)=1,MAX($M$8:M820)+1,""))</f>
        <v/>
      </c>
    </row>
    <row r="822" customFormat="false" ht="15" hidden="false" customHeight="false" outlineLevel="0" collapsed="false">
      <c r="A822" s="8"/>
      <c r="B822" s="17"/>
      <c r="C822" s="19"/>
      <c r="D822" s="8"/>
      <c r="E822" s="18"/>
      <c r="F822" s="18"/>
      <c r="G822" s="8"/>
      <c r="H822" s="8"/>
      <c r="I822" s="8"/>
      <c r="J822" s="8"/>
      <c r="K822" s="10" t="str">
        <f aca="false">IF(A822="","",IF(ABS(SUMIFS($E$9:$E$2008,$A$9:$A$2008,A822)-SUMIFS($F$9:$F$2008,$A$9:$A$2008,A822))&lt;0.5,"Yes","No"))</f>
        <v/>
      </c>
      <c r="L822" s="10" t="str">
        <f aca="false">IF(A822="","",IF(IF(K822="No","Does not balance | ","")&amp;IF(I822="","Not approved | ",IF(UPPER(TRIM(H822))=UPPER(TRIM(I822)),"Self-approved | ",""))&amp;IF(J822="","No support | ","")&amp;IF(WEEKDAY(B822,2)&gt;5,"Weekend posting | ","")&amp;IF(COUNTIF(Settings!$A$14:$A$43,B822)&gt;0,"Holiday posting | ","")&amp;IF(B822&gt;Settings!$C$8,"Posted after close | ","")&amp;IF(OR(B822&lt;Settings!$C$6,B822&gt;Settings!$C$7),"Outside period | ","")&amp;IF(COUNTIF(Settings!$E$14:$E$43,C822&amp;"")&gt;0,"Sensitive account | ","")&amp;IF(AND(MAX(N(E822),N(F822))&gt;=Settings!$C$9,MOD(MAX(N(E822),N(F822)),Settings!$C$10)=0),"Round amount | ","")="","",LEFT(IF(K822="No","Does not balance | ","")&amp;IF(I822="","Not approved | ",IF(UPPER(TRIM(H822))=UPPER(TRIM(I822)),"Self-approved | ",""))&amp;IF(J822="","No support | ","")&amp;IF(WEEKDAY(B822,2)&gt;5,"Weekend posting | ","")&amp;IF(COUNTIF(Settings!$A$14:$A$43,B822)&gt;0,"Holiday posting | ","")&amp;IF(B822&gt;Settings!$C$8,"Posted after close | ","")&amp;IF(OR(B822&lt;Settings!$C$6,B822&gt;Settings!$C$7),"Outside period | ","")&amp;IF(COUNTIF(Settings!$E$14:$E$43,C822&amp;"")&gt;0,"Sensitive account | ","")&amp;IF(AND(MAX(N(E822),N(F822))&gt;=Settings!$C$9,MOD(MAX(N(E822),N(F822)),Settings!$C$10)=0),"Round amount | ",""),LEN(IF(K822="No","Does not balance | ","")&amp;IF(I822="","Not approved | ",IF(UPPER(TRIM(H822))=UPPER(TRIM(I822)),"Self-approved | ",""))&amp;IF(J822="","No support | ","")&amp;IF(WEEKDAY(B822,2)&gt;5,"Weekend posting | ","")&amp;IF(COUNTIF(Settings!$A$14:$A$43,B822)&gt;0,"Holiday posting | ","")&amp;IF(B822&gt;Settings!$C$8,"Posted after close | ","")&amp;IF(OR(B822&lt;Settings!$C$6,B822&gt;Settings!$C$7),"Outside period | ","")&amp;IF(COUNTIF(Settings!$E$14:$E$43,C822&amp;"")&gt;0,"Sensitive account | ","")&amp;IF(AND(MAX(N(E822),N(F822))&gt;=Settings!$C$9,MOD(MAX(N(E822),N(F822)),Settings!$C$10)=0),"Round amount | ",""))-3)))</f>
        <v/>
      </c>
      <c r="M822" s="21" t="str">
        <f aca="false">IF(A822="","",IF(COUNTIF($A$9:A822,A822)=1,MAX($M$8:M821)+1,""))</f>
        <v/>
      </c>
    </row>
    <row r="823" customFormat="false" ht="15" hidden="false" customHeight="false" outlineLevel="0" collapsed="false">
      <c r="A823" s="8"/>
      <c r="B823" s="17"/>
      <c r="C823" s="19"/>
      <c r="D823" s="8"/>
      <c r="E823" s="18"/>
      <c r="F823" s="18"/>
      <c r="G823" s="8"/>
      <c r="H823" s="8"/>
      <c r="I823" s="8"/>
      <c r="J823" s="8"/>
      <c r="K823" s="10" t="str">
        <f aca="false">IF(A823="","",IF(ABS(SUMIFS($E$9:$E$2008,$A$9:$A$2008,A823)-SUMIFS($F$9:$F$2008,$A$9:$A$2008,A823))&lt;0.5,"Yes","No"))</f>
        <v/>
      </c>
      <c r="L823" s="10" t="str">
        <f aca="false">IF(A823="","",IF(IF(K823="No","Does not balance | ","")&amp;IF(I823="","Not approved | ",IF(UPPER(TRIM(H823))=UPPER(TRIM(I823)),"Self-approved | ",""))&amp;IF(J823="","No support | ","")&amp;IF(WEEKDAY(B823,2)&gt;5,"Weekend posting | ","")&amp;IF(COUNTIF(Settings!$A$14:$A$43,B823)&gt;0,"Holiday posting | ","")&amp;IF(B823&gt;Settings!$C$8,"Posted after close | ","")&amp;IF(OR(B823&lt;Settings!$C$6,B823&gt;Settings!$C$7),"Outside period | ","")&amp;IF(COUNTIF(Settings!$E$14:$E$43,C823&amp;"")&gt;0,"Sensitive account | ","")&amp;IF(AND(MAX(N(E823),N(F823))&gt;=Settings!$C$9,MOD(MAX(N(E823),N(F823)),Settings!$C$10)=0),"Round amount | ","")="","",LEFT(IF(K823="No","Does not balance | ","")&amp;IF(I823="","Not approved | ",IF(UPPER(TRIM(H823))=UPPER(TRIM(I823)),"Self-approved | ",""))&amp;IF(J823="","No support | ","")&amp;IF(WEEKDAY(B823,2)&gt;5,"Weekend posting | ","")&amp;IF(COUNTIF(Settings!$A$14:$A$43,B823)&gt;0,"Holiday posting | ","")&amp;IF(B823&gt;Settings!$C$8,"Posted after close | ","")&amp;IF(OR(B823&lt;Settings!$C$6,B823&gt;Settings!$C$7),"Outside period | ","")&amp;IF(COUNTIF(Settings!$E$14:$E$43,C823&amp;"")&gt;0,"Sensitive account | ","")&amp;IF(AND(MAX(N(E823),N(F823))&gt;=Settings!$C$9,MOD(MAX(N(E823),N(F823)),Settings!$C$10)=0),"Round amount | ",""),LEN(IF(K823="No","Does not balance | ","")&amp;IF(I823="","Not approved | ",IF(UPPER(TRIM(H823))=UPPER(TRIM(I823)),"Self-approved | ",""))&amp;IF(J823="","No support | ","")&amp;IF(WEEKDAY(B823,2)&gt;5,"Weekend posting | ","")&amp;IF(COUNTIF(Settings!$A$14:$A$43,B823)&gt;0,"Holiday posting | ","")&amp;IF(B823&gt;Settings!$C$8,"Posted after close | ","")&amp;IF(OR(B823&lt;Settings!$C$6,B823&gt;Settings!$C$7),"Outside period | ","")&amp;IF(COUNTIF(Settings!$E$14:$E$43,C823&amp;"")&gt;0,"Sensitive account | ","")&amp;IF(AND(MAX(N(E823),N(F823))&gt;=Settings!$C$9,MOD(MAX(N(E823),N(F823)),Settings!$C$10)=0),"Round amount | ",""))-3)))</f>
        <v/>
      </c>
      <c r="M823" s="21" t="str">
        <f aca="false">IF(A823="","",IF(COUNTIF($A$9:A823,A823)=1,MAX($M$8:M822)+1,""))</f>
        <v/>
      </c>
    </row>
    <row r="824" customFormat="false" ht="15" hidden="false" customHeight="false" outlineLevel="0" collapsed="false">
      <c r="A824" s="8"/>
      <c r="B824" s="17"/>
      <c r="C824" s="19"/>
      <c r="D824" s="8"/>
      <c r="E824" s="18"/>
      <c r="F824" s="18"/>
      <c r="G824" s="8"/>
      <c r="H824" s="8"/>
      <c r="I824" s="8"/>
      <c r="J824" s="8"/>
      <c r="K824" s="10" t="str">
        <f aca="false">IF(A824="","",IF(ABS(SUMIFS($E$9:$E$2008,$A$9:$A$2008,A824)-SUMIFS($F$9:$F$2008,$A$9:$A$2008,A824))&lt;0.5,"Yes","No"))</f>
        <v/>
      </c>
      <c r="L824" s="10" t="str">
        <f aca="false">IF(A824="","",IF(IF(K824="No","Does not balance | ","")&amp;IF(I824="","Not approved | ",IF(UPPER(TRIM(H824))=UPPER(TRIM(I824)),"Self-approved | ",""))&amp;IF(J824="","No support | ","")&amp;IF(WEEKDAY(B824,2)&gt;5,"Weekend posting | ","")&amp;IF(COUNTIF(Settings!$A$14:$A$43,B824)&gt;0,"Holiday posting | ","")&amp;IF(B824&gt;Settings!$C$8,"Posted after close | ","")&amp;IF(OR(B824&lt;Settings!$C$6,B824&gt;Settings!$C$7),"Outside period | ","")&amp;IF(COUNTIF(Settings!$E$14:$E$43,C824&amp;"")&gt;0,"Sensitive account | ","")&amp;IF(AND(MAX(N(E824),N(F824))&gt;=Settings!$C$9,MOD(MAX(N(E824),N(F824)),Settings!$C$10)=0),"Round amount | ","")="","",LEFT(IF(K824="No","Does not balance | ","")&amp;IF(I824="","Not approved | ",IF(UPPER(TRIM(H824))=UPPER(TRIM(I824)),"Self-approved | ",""))&amp;IF(J824="","No support | ","")&amp;IF(WEEKDAY(B824,2)&gt;5,"Weekend posting | ","")&amp;IF(COUNTIF(Settings!$A$14:$A$43,B824)&gt;0,"Holiday posting | ","")&amp;IF(B824&gt;Settings!$C$8,"Posted after close | ","")&amp;IF(OR(B824&lt;Settings!$C$6,B824&gt;Settings!$C$7),"Outside period | ","")&amp;IF(COUNTIF(Settings!$E$14:$E$43,C824&amp;"")&gt;0,"Sensitive account | ","")&amp;IF(AND(MAX(N(E824),N(F824))&gt;=Settings!$C$9,MOD(MAX(N(E824),N(F824)),Settings!$C$10)=0),"Round amount | ",""),LEN(IF(K824="No","Does not balance | ","")&amp;IF(I824="","Not approved | ",IF(UPPER(TRIM(H824))=UPPER(TRIM(I824)),"Self-approved | ",""))&amp;IF(J824="","No support | ","")&amp;IF(WEEKDAY(B824,2)&gt;5,"Weekend posting | ","")&amp;IF(COUNTIF(Settings!$A$14:$A$43,B824)&gt;0,"Holiday posting | ","")&amp;IF(B824&gt;Settings!$C$8,"Posted after close | ","")&amp;IF(OR(B824&lt;Settings!$C$6,B824&gt;Settings!$C$7),"Outside period | ","")&amp;IF(COUNTIF(Settings!$E$14:$E$43,C824&amp;"")&gt;0,"Sensitive account | ","")&amp;IF(AND(MAX(N(E824),N(F824))&gt;=Settings!$C$9,MOD(MAX(N(E824),N(F824)),Settings!$C$10)=0),"Round amount | ",""))-3)))</f>
        <v/>
      </c>
      <c r="M824" s="21" t="str">
        <f aca="false">IF(A824="","",IF(COUNTIF($A$9:A824,A824)=1,MAX($M$8:M823)+1,""))</f>
        <v/>
      </c>
    </row>
    <row r="825" customFormat="false" ht="15" hidden="false" customHeight="false" outlineLevel="0" collapsed="false">
      <c r="A825" s="8"/>
      <c r="B825" s="17"/>
      <c r="C825" s="19"/>
      <c r="D825" s="8"/>
      <c r="E825" s="18"/>
      <c r="F825" s="18"/>
      <c r="G825" s="8"/>
      <c r="H825" s="8"/>
      <c r="I825" s="8"/>
      <c r="J825" s="8"/>
      <c r="K825" s="10" t="str">
        <f aca="false">IF(A825="","",IF(ABS(SUMIFS($E$9:$E$2008,$A$9:$A$2008,A825)-SUMIFS($F$9:$F$2008,$A$9:$A$2008,A825))&lt;0.5,"Yes","No"))</f>
        <v/>
      </c>
      <c r="L825" s="10" t="str">
        <f aca="false">IF(A825="","",IF(IF(K825="No","Does not balance | ","")&amp;IF(I825="","Not approved | ",IF(UPPER(TRIM(H825))=UPPER(TRIM(I825)),"Self-approved | ",""))&amp;IF(J825="","No support | ","")&amp;IF(WEEKDAY(B825,2)&gt;5,"Weekend posting | ","")&amp;IF(COUNTIF(Settings!$A$14:$A$43,B825)&gt;0,"Holiday posting | ","")&amp;IF(B825&gt;Settings!$C$8,"Posted after close | ","")&amp;IF(OR(B825&lt;Settings!$C$6,B825&gt;Settings!$C$7),"Outside period | ","")&amp;IF(COUNTIF(Settings!$E$14:$E$43,C825&amp;"")&gt;0,"Sensitive account | ","")&amp;IF(AND(MAX(N(E825),N(F825))&gt;=Settings!$C$9,MOD(MAX(N(E825),N(F825)),Settings!$C$10)=0),"Round amount | ","")="","",LEFT(IF(K825="No","Does not balance | ","")&amp;IF(I825="","Not approved | ",IF(UPPER(TRIM(H825))=UPPER(TRIM(I825)),"Self-approved | ",""))&amp;IF(J825="","No support | ","")&amp;IF(WEEKDAY(B825,2)&gt;5,"Weekend posting | ","")&amp;IF(COUNTIF(Settings!$A$14:$A$43,B825)&gt;0,"Holiday posting | ","")&amp;IF(B825&gt;Settings!$C$8,"Posted after close | ","")&amp;IF(OR(B825&lt;Settings!$C$6,B825&gt;Settings!$C$7),"Outside period | ","")&amp;IF(COUNTIF(Settings!$E$14:$E$43,C825&amp;"")&gt;0,"Sensitive account | ","")&amp;IF(AND(MAX(N(E825),N(F825))&gt;=Settings!$C$9,MOD(MAX(N(E825),N(F825)),Settings!$C$10)=0),"Round amount | ",""),LEN(IF(K825="No","Does not balance | ","")&amp;IF(I825="","Not approved | ",IF(UPPER(TRIM(H825))=UPPER(TRIM(I825)),"Self-approved | ",""))&amp;IF(J825="","No support | ","")&amp;IF(WEEKDAY(B825,2)&gt;5,"Weekend posting | ","")&amp;IF(COUNTIF(Settings!$A$14:$A$43,B825)&gt;0,"Holiday posting | ","")&amp;IF(B825&gt;Settings!$C$8,"Posted after close | ","")&amp;IF(OR(B825&lt;Settings!$C$6,B825&gt;Settings!$C$7),"Outside period | ","")&amp;IF(COUNTIF(Settings!$E$14:$E$43,C825&amp;"")&gt;0,"Sensitive account | ","")&amp;IF(AND(MAX(N(E825),N(F825))&gt;=Settings!$C$9,MOD(MAX(N(E825),N(F825)),Settings!$C$10)=0),"Round amount | ",""))-3)))</f>
        <v/>
      </c>
      <c r="M825" s="21" t="str">
        <f aca="false">IF(A825="","",IF(COUNTIF($A$9:A825,A825)=1,MAX($M$8:M824)+1,""))</f>
        <v/>
      </c>
    </row>
    <row r="826" customFormat="false" ht="15" hidden="false" customHeight="false" outlineLevel="0" collapsed="false">
      <c r="A826" s="8"/>
      <c r="B826" s="17"/>
      <c r="C826" s="19"/>
      <c r="D826" s="8"/>
      <c r="E826" s="18"/>
      <c r="F826" s="18"/>
      <c r="G826" s="8"/>
      <c r="H826" s="8"/>
      <c r="I826" s="8"/>
      <c r="J826" s="8"/>
      <c r="K826" s="10" t="str">
        <f aca="false">IF(A826="","",IF(ABS(SUMIFS($E$9:$E$2008,$A$9:$A$2008,A826)-SUMIFS($F$9:$F$2008,$A$9:$A$2008,A826))&lt;0.5,"Yes","No"))</f>
        <v/>
      </c>
      <c r="L826" s="10" t="str">
        <f aca="false">IF(A826="","",IF(IF(K826="No","Does not balance | ","")&amp;IF(I826="","Not approved | ",IF(UPPER(TRIM(H826))=UPPER(TRIM(I826)),"Self-approved | ",""))&amp;IF(J826="","No support | ","")&amp;IF(WEEKDAY(B826,2)&gt;5,"Weekend posting | ","")&amp;IF(COUNTIF(Settings!$A$14:$A$43,B826)&gt;0,"Holiday posting | ","")&amp;IF(B826&gt;Settings!$C$8,"Posted after close | ","")&amp;IF(OR(B826&lt;Settings!$C$6,B826&gt;Settings!$C$7),"Outside period | ","")&amp;IF(COUNTIF(Settings!$E$14:$E$43,C826&amp;"")&gt;0,"Sensitive account | ","")&amp;IF(AND(MAX(N(E826),N(F826))&gt;=Settings!$C$9,MOD(MAX(N(E826),N(F826)),Settings!$C$10)=0),"Round amount | ","")="","",LEFT(IF(K826="No","Does not balance | ","")&amp;IF(I826="","Not approved | ",IF(UPPER(TRIM(H826))=UPPER(TRIM(I826)),"Self-approved | ",""))&amp;IF(J826="","No support | ","")&amp;IF(WEEKDAY(B826,2)&gt;5,"Weekend posting | ","")&amp;IF(COUNTIF(Settings!$A$14:$A$43,B826)&gt;0,"Holiday posting | ","")&amp;IF(B826&gt;Settings!$C$8,"Posted after close | ","")&amp;IF(OR(B826&lt;Settings!$C$6,B826&gt;Settings!$C$7),"Outside period | ","")&amp;IF(COUNTIF(Settings!$E$14:$E$43,C826&amp;"")&gt;0,"Sensitive account | ","")&amp;IF(AND(MAX(N(E826),N(F826))&gt;=Settings!$C$9,MOD(MAX(N(E826),N(F826)),Settings!$C$10)=0),"Round amount | ",""),LEN(IF(K826="No","Does not balance | ","")&amp;IF(I826="","Not approved | ",IF(UPPER(TRIM(H826))=UPPER(TRIM(I826)),"Self-approved | ",""))&amp;IF(J826="","No support | ","")&amp;IF(WEEKDAY(B826,2)&gt;5,"Weekend posting | ","")&amp;IF(COUNTIF(Settings!$A$14:$A$43,B826)&gt;0,"Holiday posting | ","")&amp;IF(B826&gt;Settings!$C$8,"Posted after close | ","")&amp;IF(OR(B826&lt;Settings!$C$6,B826&gt;Settings!$C$7),"Outside period | ","")&amp;IF(COUNTIF(Settings!$E$14:$E$43,C826&amp;"")&gt;0,"Sensitive account | ","")&amp;IF(AND(MAX(N(E826),N(F826))&gt;=Settings!$C$9,MOD(MAX(N(E826),N(F826)),Settings!$C$10)=0),"Round amount | ",""))-3)))</f>
        <v/>
      </c>
      <c r="M826" s="21" t="str">
        <f aca="false">IF(A826="","",IF(COUNTIF($A$9:A826,A826)=1,MAX($M$8:M825)+1,""))</f>
        <v/>
      </c>
    </row>
    <row r="827" customFormat="false" ht="15" hidden="false" customHeight="false" outlineLevel="0" collapsed="false">
      <c r="A827" s="8"/>
      <c r="B827" s="17"/>
      <c r="C827" s="19"/>
      <c r="D827" s="8"/>
      <c r="E827" s="18"/>
      <c r="F827" s="18"/>
      <c r="G827" s="8"/>
      <c r="H827" s="8"/>
      <c r="I827" s="8"/>
      <c r="J827" s="8"/>
      <c r="K827" s="10" t="str">
        <f aca="false">IF(A827="","",IF(ABS(SUMIFS($E$9:$E$2008,$A$9:$A$2008,A827)-SUMIFS($F$9:$F$2008,$A$9:$A$2008,A827))&lt;0.5,"Yes","No"))</f>
        <v/>
      </c>
      <c r="L827" s="10" t="str">
        <f aca="false">IF(A827="","",IF(IF(K827="No","Does not balance | ","")&amp;IF(I827="","Not approved | ",IF(UPPER(TRIM(H827))=UPPER(TRIM(I827)),"Self-approved | ",""))&amp;IF(J827="","No support | ","")&amp;IF(WEEKDAY(B827,2)&gt;5,"Weekend posting | ","")&amp;IF(COUNTIF(Settings!$A$14:$A$43,B827)&gt;0,"Holiday posting | ","")&amp;IF(B827&gt;Settings!$C$8,"Posted after close | ","")&amp;IF(OR(B827&lt;Settings!$C$6,B827&gt;Settings!$C$7),"Outside period | ","")&amp;IF(COUNTIF(Settings!$E$14:$E$43,C827&amp;"")&gt;0,"Sensitive account | ","")&amp;IF(AND(MAX(N(E827),N(F827))&gt;=Settings!$C$9,MOD(MAX(N(E827),N(F827)),Settings!$C$10)=0),"Round amount | ","")="","",LEFT(IF(K827="No","Does not balance | ","")&amp;IF(I827="","Not approved | ",IF(UPPER(TRIM(H827))=UPPER(TRIM(I827)),"Self-approved | ",""))&amp;IF(J827="","No support | ","")&amp;IF(WEEKDAY(B827,2)&gt;5,"Weekend posting | ","")&amp;IF(COUNTIF(Settings!$A$14:$A$43,B827)&gt;0,"Holiday posting | ","")&amp;IF(B827&gt;Settings!$C$8,"Posted after close | ","")&amp;IF(OR(B827&lt;Settings!$C$6,B827&gt;Settings!$C$7),"Outside period | ","")&amp;IF(COUNTIF(Settings!$E$14:$E$43,C827&amp;"")&gt;0,"Sensitive account | ","")&amp;IF(AND(MAX(N(E827),N(F827))&gt;=Settings!$C$9,MOD(MAX(N(E827),N(F827)),Settings!$C$10)=0),"Round amount | ",""),LEN(IF(K827="No","Does not balance | ","")&amp;IF(I827="","Not approved | ",IF(UPPER(TRIM(H827))=UPPER(TRIM(I827)),"Self-approved | ",""))&amp;IF(J827="","No support | ","")&amp;IF(WEEKDAY(B827,2)&gt;5,"Weekend posting | ","")&amp;IF(COUNTIF(Settings!$A$14:$A$43,B827)&gt;0,"Holiday posting | ","")&amp;IF(B827&gt;Settings!$C$8,"Posted after close | ","")&amp;IF(OR(B827&lt;Settings!$C$6,B827&gt;Settings!$C$7),"Outside period | ","")&amp;IF(COUNTIF(Settings!$E$14:$E$43,C827&amp;"")&gt;0,"Sensitive account | ","")&amp;IF(AND(MAX(N(E827),N(F827))&gt;=Settings!$C$9,MOD(MAX(N(E827),N(F827)),Settings!$C$10)=0),"Round amount | ",""))-3)))</f>
        <v/>
      </c>
      <c r="M827" s="21" t="str">
        <f aca="false">IF(A827="","",IF(COUNTIF($A$9:A827,A827)=1,MAX($M$8:M826)+1,""))</f>
        <v/>
      </c>
    </row>
    <row r="828" customFormat="false" ht="15" hidden="false" customHeight="false" outlineLevel="0" collapsed="false">
      <c r="A828" s="8"/>
      <c r="B828" s="17"/>
      <c r="C828" s="19"/>
      <c r="D828" s="8"/>
      <c r="E828" s="18"/>
      <c r="F828" s="18"/>
      <c r="G828" s="8"/>
      <c r="H828" s="8"/>
      <c r="I828" s="8"/>
      <c r="J828" s="8"/>
      <c r="K828" s="10" t="str">
        <f aca="false">IF(A828="","",IF(ABS(SUMIFS($E$9:$E$2008,$A$9:$A$2008,A828)-SUMIFS($F$9:$F$2008,$A$9:$A$2008,A828))&lt;0.5,"Yes","No"))</f>
        <v/>
      </c>
      <c r="L828" s="10" t="str">
        <f aca="false">IF(A828="","",IF(IF(K828="No","Does not balance | ","")&amp;IF(I828="","Not approved | ",IF(UPPER(TRIM(H828))=UPPER(TRIM(I828)),"Self-approved | ",""))&amp;IF(J828="","No support | ","")&amp;IF(WEEKDAY(B828,2)&gt;5,"Weekend posting | ","")&amp;IF(COUNTIF(Settings!$A$14:$A$43,B828)&gt;0,"Holiday posting | ","")&amp;IF(B828&gt;Settings!$C$8,"Posted after close | ","")&amp;IF(OR(B828&lt;Settings!$C$6,B828&gt;Settings!$C$7),"Outside period | ","")&amp;IF(COUNTIF(Settings!$E$14:$E$43,C828&amp;"")&gt;0,"Sensitive account | ","")&amp;IF(AND(MAX(N(E828),N(F828))&gt;=Settings!$C$9,MOD(MAX(N(E828),N(F828)),Settings!$C$10)=0),"Round amount | ","")="","",LEFT(IF(K828="No","Does not balance | ","")&amp;IF(I828="","Not approved | ",IF(UPPER(TRIM(H828))=UPPER(TRIM(I828)),"Self-approved | ",""))&amp;IF(J828="","No support | ","")&amp;IF(WEEKDAY(B828,2)&gt;5,"Weekend posting | ","")&amp;IF(COUNTIF(Settings!$A$14:$A$43,B828)&gt;0,"Holiday posting | ","")&amp;IF(B828&gt;Settings!$C$8,"Posted after close | ","")&amp;IF(OR(B828&lt;Settings!$C$6,B828&gt;Settings!$C$7),"Outside period | ","")&amp;IF(COUNTIF(Settings!$E$14:$E$43,C828&amp;"")&gt;0,"Sensitive account | ","")&amp;IF(AND(MAX(N(E828),N(F828))&gt;=Settings!$C$9,MOD(MAX(N(E828),N(F828)),Settings!$C$10)=0),"Round amount | ",""),LEN(IF(K828="No","Does not balance | ","")&amp;IF(I828="","Not approved | ",IF(UPPER(TRIM(H828))=UPPER(TRIM(I828)),"Self-approved | ",""))&amp;IF(J828="","No support | ","")&amp;IF(WEEKDAY(B828,2)&gt;5,"Weekend posting | ","")&amp;IF(COUNTIF(Settings!$A$14:$A$43,B828)&gt;0,"Holiday posting | ","")&amp;IF(B828&gt;Settings!$C$8,"Posted after close | ","")&amp;IF(OR(B828&lt;Settings!$C$6,B828&gt;Settings!$C$7),"Outside period | ","")&amp;IF(COUNTIF(Settings!$E$14:$E$43,C828&amp;"")&gt;0,"Sensitive account | ","")&amp;IF(AND(MAX(N(E828),N(F828))&gt;=Settings!$C$9,MOD(MAX(N(E828),N(F828)),Settings!$C$10)=0),"Round amount | ",""))-3)))</f>
        <v/>
      </c>
      <c r="M828" s="21" t="str">
        <f aca="false">IF(A828="","",IF(COUNTIF($A$9:A828,A828)=1,MAX($M$8:M827)+1,""))</f>
        <v/>
      </c>
    </row>
    <row r="829" customFormat="false" ht="15" hidden="false" customHeight="false" outlineLevel="0" collapsed="false">
      <c r="A829" s="8"/>
      <c r="B829" s="17"/>
      <c r="C829" s="19"/>
      <c r="D829" s="8"/>
      <c r="E829" s="18"/>
      <c r="F829" s="18"/>
      <c r="G829" s="8"/>
      <c r="H829" s="8"/>
      <c r="I829" s="8"/>
      <c r="J829" s="8"/>
      <c r="K829" s="10" t="str">
        <f aca="false">IF(A829="","",IF(ABS(SUMIFS($E$9:$E$2008,$A$9:$A$2008,A829)-SUMIFS($F$9:$F$2008,$A$9:$A$2008,A829))&lt;0.5,"Yes","No"))</f>
        <v/>
      </c>
      <c r="L829" s="10" t="str">
        <f aca="false">IF(A829="","",IF(IF(K829="No","Does not balance | ","")&amp;IF(I829="","Not approved | ",IF(UPPER(TRIM(H829))=UPPER(TRIM(I829)),"Self-approved | ",""))&amp;IF(J829="","No support | ","")&amp;IF(WEEKDAY(B829,2)&gt;5,"Weekend posting | ","")&amp;IF(COUNTIF(Settings!$A$14:$A$43,B829)&gt;0,"Holiday posting | ","")&amp;IF(B829&gt;Settings!$C$8,"Posted after close | ","")&amp;IF(OR(B829&lt;Settings!$C$6,B829&gt;Settings!$C$7),"Outside period | ","")&amp;IF(COUNTIF(Settings!$E$14:$E$43,C829&amp;"")&gt;0,"Sensitive account | ","")&amp;IF(AND(MAX(N(E829),N(F829))&gt;=Settings!$C$9,MOD(MAX(N(E829),N(F829)),Settings!$C$10)=0),"Round amount | ","")="","",LEFT(IF(K829="No","Does not balance | ","")&amp;IF(I829="","Not approved | ",IF(UPPER(TRIM(H829))=UPPER(TRIM(I829)),"Self-approved | ",""))&amp;IF(J829="","No support | ","")&amp;IF(WEEKDAY(B829,2)&gt;5,"Weekend posting | ","")&amp;IF(COUNTIF(Settings!$A$14:$A$43,B829)&gt;0,"Holiday posting | ","")&amp;IF(B829&gt;Settings!$C$8,"Posted after close | ","")&amp;IF(OR(B829&lt;Settings!$C$6,B829&gt;Settings!$C$7),"Outside period | ","")&amp;IF(COUNTIF(Settings!$E$14:$E$43,C829&amp;"")&gt;0,"Sensitive account | ","")&amp;IF(AND(MAX(N(E829),N(F829))&gt;=Settings!$C$9,MOD(MAX(N(E829),N(F829)),Settings!$C$10)=0),"Round amount | ",""),LEN(IF(K829="No","Does not balance | ","")&amp;IF(I829="","Not approved | ",IF(UPPER(TRIM(H829))=UPPER(TRIM(I829)),"Self-approved | ",""))&amp;IF(J829="","No support | ","")&amp;IF(WEEKDAY(B829,2)&gt;5,"Weekend posting | ","")&amp;IF(COUNTIF(Settings!$A$14:$A$43,B829)&gt;0,"Holiday posting | ","")&amp;IF(B829&gt;Settings!$C$8,"Posted after close | ","")&amp;IF(OR(B829&lt;Settings!$C$6,B829&gt;Settings!$C$7),"Outside period | ","")&amp;IF(COUNTIF(Settings!$E$14:$E$43,C829&amp;"")&gt;0,"Sensitive account | ","")&amp;IF(AND(MAX(N(E829),N(F829))&gt;=Settings!$C$9,MOD(MAX(N(E829),N(F829)),Settings!$C$10)=0),"Round amount | ",""))-3)))</f>
        <v/>
      </c>
      <c r="M829" s="21" t="str">
        <f aca="false">IF(A829="","",IF(COUNTIF($A$9:A829,A829)=1,MAX($M$8:M828)+1,""))</f>
        <v/>
      </c>
    </row>
    <row r="830" customFormat="false" ht="15" hidden="false" customHeight="false" outlineLevel="0" collapsed="false">
      <c r="A830" s="8"/>
      <c r="B830" s="17"/>
      <c r="C830" s="19"/>
      <c r="D830" s="8"/>
      <c r="E830" s="18"/>
      <c r="F830" s="18"/>
      <c r="G830" s="8"/>
      <c r="H830" s="8"/>
      <c r="I830" s="8"/>
      <c r="J830" s="8"/>
      <c r="K830" s="10" t="str">
        <f aca="false">IF(A830="","",IF(ABS(SUMIFS($E$9:$E$2008,$A$9:$A$2008,A830)-SUMIFS($F$9:$F$2008,$A$9:$A$2008,A830))&lt;0.5,"Yes","No"))</f>
        <v/>
      </c>
      <c r="L830" s="10" t="str">
        <f aca="false">IF(A830="","",IF(IF(K830="No","Does not balance | ","")&amp;IF(I830="","Not approved | ",IF(UPPER(TRIM(H830))=UPPER(TRIM(I830)),"Self-approved | ",""))&amp;IF(J830="","No support | ","")&amp;IF(WEEKDAY(B830,2)&gt;5,"Weekend posting | ","")&amp;IF(COUNTIF(Settings!$A$14:$A$43,B830)&gt;0,"Holiday posting | ","")&amp;IF(B830&gt;Settings!$C$8,"Posted after close | ","")&amp;IF(OR(B830&lt;Settings!$C$6,B830&gt;Settings!$C$7),"Outside period | ","")&amp;IF(COUNTIF(Settings!$E$14:$E$43,C830&amp;"")&gt;0,"Sensitive account | ","")&amp;IF(AND(MAX(N(E830),N(F830))&gt;=Settings!$C$9,MOD(MAX(N(E830),N(F830)),Settings!$C$10)=0),"Round amount | ","")="","",LEFT(IF(K830="No","Does not balance | ","")&amp;IF(I830="","Not approved | ",IF(UPPER(TRIM(H830))=UPPER(TRIM(I830)),"Self-approved | ",""))&amp;IF(J830="","No support | ","")&amp;IF(WEEKDAY(B830,2)&gt;5,"Weekend posting | ","")&amp;IF(COUNTIF(Settings!$A$14:$A$43,B830)&gt;0,"Holiday posting | ","")&amp;IF(B830&gt;Settings!$C$8,"Posted after close | ","")&amp;IF(OR(B830&lt;Settings!$C$6,B830&gt;Settings!$C$7),"Outside period | ","")&amp;IF(COUNTIF(Settings!$E$14:$E$43,C830&amp;"")&gt;0,"Sensitive account | ","")&amp;IF(AND(MAX(N(E830),N(F830))&gt;=Settings!$C$9,MOD(MAX(N(E830),N(F830)),Settings!$C$10)=0),"Round amount | ",""),LEN(IF(K830="No","Does not balance | ","")&amp;IF(I830="","Not approved | ",IF(UPPER(TRIM(H830))=UPPER(TRIM(I830)),"Self-approved | ",""))&amp;IF(J830="","No support | ","")&amp;IF(WEEKDAY(B830,2)&gt;5,"Weekend posting | ","")&amp;IF(COUNTIF(Settings!$A$14:$A$43,B830)&gt;0,"Holiday posting | ","")&amp;IF(B830&gt;Settings!$C$8,"Posted after close | ","")&amp;IF(OR(B830&lt;Settings!$C$6,B830&gt;Settings!$C$7),"Outside period | ","")&amp;IF(COUNTIF(Settings!$E$14:$E$43,C830&amp;"")&gt;0,"Sensitive account | ","")&amp;IF(AND(MAX(N(E830),N(F830))&gt;=Settings!$C$9,MOD(MAX(N(E830),N(F830)),Settings!$C$10)=0),"Round amount | ",""))-3)))</f>
        <v/>
      </c>
      <c r="M830" s="21" t="str">
        <f aca="false">IF(A830="","",IF(COUNTIF($A$9:A830,A830)=1,MAX($M$8:M829)+1,""))</f>
        <v/>
      </c>
    </row>
    <row r="831" customFormat="false" ht="15" hidden="false" customHeight="false" outlineLevel="0" collapsed="false">
      <c r="A831" s="8"/>
      <c r="B831" s="17"/>
      <c r="C831" s="19"/>
      <c r="D831" s="8"/>
      <c r="E831" s="18"/>
      <c r="F831" s="18"/>
      <c r="G831" s="8"/>
      <c r="H831" s="8"/>
      <c r="I831" s="8"/>
      <c r="J831" s="8"/>
      <c r="K831" s="10" t="str">
        <f aca="false">IF(A831="","",IF(ABS(SUMIFS($E$9:$E$2008,$A$9:$A$2008,A831)-SUMIFS($F$9:$F$2008,$A$9:$A$2008,A831))&lt;0.5,"Yes","No"))</f>
        <v/>
      </c>
      <c r="L831" s="10" t="str">
        <f aca="false">IF(A831="","",IF(IF(K831="No","Does not balance | ","")&amp;IF(I831="","Not approved | ",IF(UPPER(TRIM(H831))=UPPER(TRIM(I831)),"Self-approved | ",""))&amp;IF(J831="","No support | ","")&amp;IF(WEEKDAY(B831,2)&gt;5,"Weekend posting | ","")&amp;IF(COUNTIF(Settings!$A$14:$A$43,B831)&gt;0,"Holiday posting | ","")&amp;IF(B831&gt;Settings!$C$8,"Posted after close | ","")&amp;IF(OR(B831&lt;Settings!$C$6,B831&gt;Settings!$C$7),"Outside period | ","")&amp;IF(COUNTIF(Settings!$E$14:$E$43,C831&amp;"")&gt;0,"Sensitive account | ","")&amp;IF(AND(MAX(N(E831),N(F831))&gt;=Settings!$C$9,MOD(MAX(N(E831),N(F831)),Settings!$C$10)=0),"Round amount | ","")="","",LEFT(IF(K831="No","Does not balance | ","")&amp;IF(I831="","Not approved | ",IF(UPPER(TRIM(H831))=UPPER(TRIM(I831)),"Self-approved | ",""))&amp;IF(J831="","No support | ","")&amp;IF(WEEKDAY(B831,2)&gt;5,"Weekend posting | ","")&amp;IF(COUNTIF(Settings!$A$14:$A$43,B831)&gt;0,"Holiday posting | ","")&amp;IF(B831&gt;Settings!$C$8,"Posted after close | ","")&amp;IF(OR(B831&lt;Settings!$C$6,B831&gt;Settings!$C$7),"Outside period | ","")&amp;IF(COUNTIF(Settings!$E$14:$E$43,C831&amp;"")&gt;0,"Sensitive account | ","")&amp;IF(AND(MAX(N(E831),N(F831))&gt;=Settings!$C$9,MOD(MAX(N(E831),N(F831)),Settings!$C$10)=0),"Round amount | ",""),LEN(IF(K831="No","Does not balance | ","")&amp;IF(I831="","Not approved | ",IF(UPPER(TRIM(H831))=UPPER(TRIM(I831)),"Self-approved | ",""))&amp;IF(J831="","No support | ","")&amp;IF(WEEKDAY(B831,2)&gt;5,"Weekend posting | ","")&amp;IF(COUNTIF(Settings!$A$14:$A$43,B831)&gt;0,"Holiday posting | ","")&amp;IF(B831&gt;Settings!$C$8,"Posted after close | ","")&amp;IF(OR(B831&lt;Settings!$C$6,B831&gt;Settings!$C$7),"Outside period | ","")&amp;IF(COUNTIF(Settings!$E$14:$E$43,C831&amp;"")&gt;0,"Sensitive account | ","")&amp;IF(AND(MAX(N(E831),N(F831))&gt;=Settings!$C$9,MOD(MAX(N(E831),N(F831)),Settings!$C$10)=0),"Round amount | ",""))-3)))</f>
        <v/>
      </c>
      <c r="M831" s="21" t="str">
        <f aca="false">IF(A831="","",IF(COUNTIF($A$9:A831,A831)=1,MAX($M$8:M830)+1,""))</f>
        <v/>
      </c>
    </row>
    <row r="832" customFormat="false" ht="15" hidden="false" customHeight="false" outlineLevel="0" collapsed="false">
      <c r="A832" s="8"/>
      <c r="B832" s="17"/>
      <c r="C832" s="19"/>
      <c r="D832" s="8"/>
      <c r="E832" s="18"/>
      <c r="F832" s="18"/>
      <c r="G832" s="8"/>
      <c r="H832" s="8"/>
      <c r="I832" s="8"/>
      <c r="J832" s="8"/>
      <c r="K832" s="10" t="str">
        <f aca="false">IF(A832="","",IF(ABS(SUMIFS($E$9:$E$2008,$A$9:$A$2008,A832)-SUMIFS($F$9:$F$2008,$A$9:$A$2008,A832))&lt;0.5,"Yes","No"))</f>
        <v/>
      </c>
      <c r="L832" s="10" t="str">
        <f aca="false">IF(A832="","",IF(IF(K832="No","Does not balance | ","")&amp;IF(I832="","Not approved | ",IF(UPPER(TRIM(H832))=UPPER(TRIM(I832)),"Self-approved | ",""))&amp;IF(J832="","No support | ","")&amp;IF(WEEKDAY(B832,2)&gt;5,"Weekend posting | ","")&amp;IF(COUNTIF(Settings!$A$14:$A$43,B832)&gt;0,"Holiday posting | ","")&amp;IF(B832&gt;Settings!$C$8,"Posted after close | ","")&amp;IF(OR(B832&lt;Settings!$C$6,B832&gt;Settings!$C$7),"Outside period | ","")&amp;IF(COUNTIF(Settings!$E$14:$E$43,C832&amp;"")&gt;0,"Sensitive account | ","")&amp;IF(AND(MAX(N(E832),N(F832))&gt;=Settings!$C$9,MOD(MAX(N(E832),N(F832)),Settings!$C$10)=0),"Round amount | ","")="","",LEFT(IF(K832="No","Does not balance | ","")&amp;IF(I832="","Not approved | ",IF(UPPER(TRIM(H832))=UPPER(TRIM(I832)),"Self-approved | ",""))&amp;IF(J832="","No support | ","")&amp;IF(WEEKDAY(B832,2)&gt;5,"Weekend posting | ","")&amp;IF(COUNTIF(Settings!$A$14:$A$43,B832)&gt;0,"Holiday posting | ","")&amp;IF(B832&gt;Settings!$C$8,"Posted after close | ","")&amp;IF(OR(B832&lt;Settings!$C$6,B832&gt;Settings!$C$7),"Outside period | ","")&amp;IF(COUNTIF(Settings!$E$14:$E$43,C832&amp;"")&gt;0,"Sensitive account | ","")&amp;IF(AND(MAX(N(E832),N(F832))&gt;=Settings!$C$9,MOD(MAX(N(E832),N(F832)),Settings!$C$10)=0),"Round amount | ",""),LEN(IF(K832="No","Does not balance | ","")&amp;IF(I832="","Not approved | ",IF(UPPER(TRIM(H832))=UPPER(TRIM(I832)),"Self-approved | ",""))&amp;IF(J832="","No support | ","")&amp;IF(WEEKDAY(B832,2)&gt;5,"Weekend posting | ","")&amp;IF(COUNTIF(Settings!$A$14:$A$43,B832)&gt;0,"Holiday posting | ","")&amp;IF(B832&gt;Settings!$C$8,"Posted after close | ","")&amp;IF(OR(B832&lt;Settings!$C$6,B832&gt;Settings!$C$7),"Outside period | ","")&amp;IF(COUNTIF(Settings!$E$14:$E$43,C832&amp;"")&gt;0,"Sensitive account | ","")&amp;IF(AND(MAX(N(E832),N(F832))&gt;=Settings!$C$9,MOD(MAX(N(E832),N(F832)),Settings!$C$10)=0),"Round amount | ",""))-3)))</f>
        <v/>
      </c>
      <c r="M832" s="21" t="str">
        <f aca="false">IF(A832="","",IF(COUNTIF($A$9:A832,A832)=1,MAX($M$8:M831)+1,""))</f>
        <v/>
      </c>
    </row>
    <row r="833" customFormat="false" ht="15" hidden="false" customHeight="false" outlineLevel="0" collapsed="false">
      <c r="A833" s="8"/>
      <c r="B833" s="17"/>
      <c r="C833" s="19"/>
      <c r="D833" s="8"/>
      <c r="E833" s="18"/>
      <c r="F833" s="18"/>
      <c r="G833" s="8"/>
      <c r="H833" s="8"/>
      <c r="I833" s="8"/>
      <c r="J833" s="8"/>
      <c r="K833" s="10" t="str">
        <f aca="false">IF(A833="","",IF(ABS(SUMIFS($E$9:$E$2008,$A$9:$A$2008,A833)-SUMIFS($F$9:$F$2008,$A$9:$A$2008,A833))&lt;0.5,"Yes","No"))</f>
        <v/>
      </c>
      <c r="L833" s="10" t="str">
        <f aca="false">IF(A833="","",IF(IF(K833="No","Does not balance | ","")&amp;IF(I833="","Not approved | ",IF(UPPER(TRIM(H833))=UPPER(TRIM(I833)),"Self-approved | ",""))&amp;IF(J833="","No support | ","")&amp;IF(WEEKDAY(B833,2)&gt;5,"Weekend posting | ","")&amp;IF(COUNTIF(Settings!$A$14:$A$43,B833)&gt;0,"Holiday posting | ","")&amp;IF(B833&gt;Settings!$C$8,"Posted after close | ","")&amp;IF(OR(B833&lt;Settings!$C$6,B833&gt;Settings!$C$7),"Outside period | ","")&amp;IF(COUNTIF(Settings!$E$14:$E$43,C833&amp;"")&gt;0,"Sensitive account | ","")&amp;IF(AND(MAX(N(E833),N(F833))&gt;=Settings!$C$9,MOD(MAX(N(E833),N(F833)),Settings!$C$10)=0),"Round amount | ","")="","",LEFT(IF(K833="No","Does not balance | ","")&amp;IF(I833="","Not approved | ",IF(UPPER(TRIM(H833))=UPPER(TRIM(I833)),"Self-approved | ",""))&amp;IF(J833="","No support | ","")&amp;IF(WEEKDAY(B833,2)&gt;5,"Weekend posting | ","")&amp;IF(COUNTIF(Settings!$A$14:$A$43,B833)&gt;0,"Holiday posting | ","")&amp;IF(B833&gt;Settings!$C$8,"Posted after close | ","")&amp;IF(OR(B833&lt;Settings!$C$6,B833&gt;Settings!$C$7),"Outside period | ","")&amp;IF(COUNTIF(Settings!$E$14:$E$43,C833&amp;"")&gt;0,"Sensitive account | ","")&amp;IF(AND(MAX(N(E833),N(F833))&gt;=Settings!$C$9,MOD(MAX(N(E833),N(F833)),Settings!$C$10)=0),"Round amount | ",""),LEN(IF(K833="No","Does not balance | ","")&amp;IF(I833="","Not approved | ",IF(UPPER(TRIM(H833))=UPPER(TRIM(I833)),"Self-approved | ",""))&amp;IF(J833="","No support | ","")&amp;IF(WEEKDAY(B833,2)&gt;5,"Weekend posting | ","")&amp;IF(COUNTIF(Settings!$A$14:$A$43,B833)&gt;0,"Holiday posting | ","")&amp;IF(B833&gt;Settings!$C$8,"Posted after close | ","")&amp;IF(OR(B833&lt;Settings!$C$6,B833&gt;Settings!$C$7),"Outside period | ","")&amp;IF(COUNTIF(Settings!$E$14:$E$43,C833&amp;"")&gt;0,"Sensitive account | ","")&amp;IF(AND(MAX(N(E833),N(F833))&gt;=Settings!$C$9,MOD(MAX(N(E833),N(F833)),Settings!$C$10)=0),"Round amount | ",""))-3)))</f>
        <v/>
      </c>
      <c r="M833" s="21" t="str">
        <f aca="false">IF(A833="","",IF(COUNTIF($A$9:A833,A833)=1,MAX($M$8:M832)+1,""))</f>
        <v/>
      </c>
    </row>
    <row r="834" customFormat="false" ht="15" hidden="false" customHeight="false" outlineLevel="0" collapsed="false">
      <c r="A834" s="8"/>
      <c r="B834" s="17"/>
      <c r="C834" s="19"/>
      <c r="D834" s="8"/>
      <c r="E834" s="18"/>
      <c r="F834" s="18"/>
      <c r="G834" s="8"/>
      <c r="H834" s="8"/>
      <c r="I834" s="8"/>
      <c r="J834" s="8"/>
      <c r="K834" s="10" t="str">
        <f aca="false">IF(A834="","",IF(ABS(SUMIFS($E$9:$E$2008,$A$9:$A$2008,A834)-SUMIFS($F$9:$F$2008,$A$9:$A$2008,A834))&lt;0.5,"Yes","No"))</f>
        <v/>
      </c>
      <c r="L834" s="10" t="str">
        <f aca="false">IF(A834="","",IF(IF(K834="No","Does not balance | ","")&amp;IF(I834="","Not approved | ",IF(UPPER(TRIM(H834))=UPPER(TRIM(I834)),"Self-approved | ",""))&amp;IF(J834="","No support | ","")&amp;IF(WEEKDAY(B834,2)&gt;5,"Weekend posting | ","")&amp;IF(COUNTIF(Settings!$A$14:$A$43,B834)&gt;0,"Holiday posting | ","")&amp;IF(B834&gt;Settings!$C$8,"Posted after close | ","")&amp;IF(OR(B834&lt;Settings!$C$6,B834&gt;Settings!$C$7),"Outside period | ","")&amp;IF(COUNTIF(Settings!$E$14:$E$43,C834&amp;"")&gt;0,"Sensitive account | ","")&amp;IF(AND(MAX(N(E834),N(F834))&gt;=Settings!$C$9,MOD(MAX(N(E834),N(F834)),Settings!$C$10)=0),"Round amount | ","")="","",LEFT(IF(K834="No","Does not balance | ","")&amp;IF(I834="","Not approved | ",IF(UPPER(TRIM(H834))=UPPER(TRIM(I834)),"Self-approved | ",""))&amp;IF(J834="","No support | ","")&amp;IF(WEEKDAY(B834,2)&gt;5,"Weekend posting | ","")&amp;IF(COUNTIF(Settings!$A$14:$A$43,B834)&gt;0,"Holiday posting | ","")&amp;IF(B834&gt;Settings!$C$8,"Posted after close | ","")&amp;IF(OR(B834&lt;Settings!$C$6,B834&gt;Settings!$C$7),"Outside period | ","")&amp;IF(COUNTIF(Settings!$E$14:$E$43,C834&amp;"")&gt;0,"Sensitive account | ","")&amp;IF(AND(MAX(N(E834),N(F834))&gt;=Settings!$C$9,MOD(MAX(N(E834),N(F834)),Settings!$C$10)=0),"Round amount | ",""),LEN(IF(K834="No","Does not balance | ","")&amp;IF(I834="","Not approved | ",IF(UPPER(TRIM(H834))=UPPER(TRIM(I834)),"Self-approved | ",""))&amp;IF(J834="","No support | ","")&amp;IF(WEEKDAY(B834,2)&gt;5,"Weekend posting | ","")&amp;IF(COUNTIF(Settings!$A$14:$A$43,B834)&gt;0,"Holiday posting | ","")&amp;IF(B834&gt;Settings!$C$8,"Posted after close | ","")&amp;IF(OR(B834&lt;Settings!$C$6,B834&gt;Settings!$C$7),"Outside period | ","")&amp;IF(COUNTIF(Settings!$E$14:$E$43,C834&amp;"")&gt;0,"Sensitive account | ","")&amp;IF(AND(MAX(N(E834),N(F834))&gt;=Settings!$C$9,MOD(MAX(N(E834),N(F834)),Settings!$C$10)=0),"Round amount | ",""))-3)))</f>
        <v/>
      </c>
      <c r="M834" s="21" t="str">
        <f aca="false">IF(A834="","",IF(COUNTIF($A$9:A834,A834)=1,MAX($M$8:M833)+1,""))</f>
        <v/>
      </c>
    </row>
    <row r="835" customFormat="false" ht="15" hidden="false" customHeight="false" outlineLevel="0" collapsed="false">
      <c r="A835" s="8"/>
      <c r="B835" s="17"/>
      <c r="C835" s="19"/>
      <c r="D835" s="8"/>
      <c r="E835" s="18"/>
      <c r="F835" s="18"/>
      <c r="G835" s="8"/>
      <c r="H835" s="8"/>
      <c r="I835" s="8"/>
      <c r="J835" s="8"/>
      <c r="K835" s="10" t="str">
        <f aca="false">IF(A835="","",IF(ABS(SUMIFS($E$9:$E$2008,$A$9:$A$2008,A835)-SUMIFS($F$9:$F$2008,$A$9:$A$2008,A835))&lt;0.5,"Yes","No"))</f>
        <v/>
      </c>
      <c r="L835" s="10" t="str">
        <f aca="false">IF(A835="","",IF(IF(K835="No","Does not balance | ","")&amp;IF(I835="","Not approved | ",IF(UPPER(TRIM(H835))=UPPER(TRIM(I835)),"Self-approved | ",""))&amp;IF(J835="","No support | ","")&amp;IF(WEEKDAY(B835,2)&gt;5,"Weekend posting | ","")&amp;IF(COUNTIF(Settings!$A$14:$A$43,B835)&gt;0,"Holiday posting | ","")&amp;IF(B835&gt;Settings!$C$8,"Posted after close | ","")&amp;IF(OR(B835&lt;Settings!$C$6,B835&gt;Settings!$C$7),"Outside period | ","")&amp;IF(COUNTIF(Settings!$E$14:$E$43,C835&amp;"")&gt;0,"Sensitive account | ","")&amp;IF(AND(MAX(N(E835),N(F835))&gt;=Settings!$C$9,MOD(MAX(N(E835),N(F835)),Settings!$C$10)=0),"Round amount | ","")="","",LEFT(IF(K835="No","Does not balance | ","")&amp;IF(I835="","Not approved | ",IF(UPPER(TRIM(H835))=UPPER(TRIM(I835)),"Self-approved | ",""))&amp;IF(J835="","No support | ","")&amp;IF(WEEKDAY(B835,2)&gt;5,"Weekend posting | ","")&amp;IF(COUNTIF(Settings!$A$14:$A$43,B835)&gt;0,"Holiday posting | ","")&amp;IF(B835&gt;Settings!$C$8,"Posted after close | ","")&amp;IF(OR(B835&lt;Settings!$C$6,B835&gt;Settings!$C$7),"Outside period | ","")&amp;IF(COUNTIF(Settings!$E$14:$E$43,C835&amp;"")&gt;0,"Sensitive account | ","")&amp;IF(AND(MAX(N(E835),N(F835))&gt;=Settings!$C$9,MOD(MAX(N(E835),N(F835)),Settings!$C$10)=0),"Round amount | ",""),LEN(IF(K835="No","Does not balance | ","")&amp;IF(I835="","Not approved | ",IF(UPPER(TRIM(H835))=UPPER(TRIM(I835)),"Self-approved | ",""))&amp;IF(J835="","No support | ","")&amp;IF(WEEKDAY(B835,2)&gt;5,"Weekend posting | ","")&amp;IF(COUNTIF(Settings!$A$14:$A$43,B835)&gt;0,"Holiday posting | ","")&amp;IF(B835&gt;Settings!$C$8,"Posted after close | ","")&amp;IF(OR(B835&lt;Settings!$C$6,B835&gt;Settings!$C$7),"Outside period | ","")&amp;IF(COUNTIF(Settings!$E$14:$E$43,C835&amp;"")&gt;0,"Sensitive account | ","")&amp;IF(AND(MAX(N(E835),N(F835))&gt;=Settings!$C$9,MOD(MAX(N(E835),N(F835)),Settings!$C$10)=0),"Round amount | ",""))-3)))</f>
        <v/>
      </c>
      <c r="M835" s="21" t="str">
        <f aca="false">IF(A835="","",IF(COUNTIF($A$9:A835,A835)=1,MAX($M$8:M834)+1,""))</f>
        <v/>
      </c>
    </row>
    <row r="836" customFormat="false" ht="15" hidden="false" customHeight="false" outlineLevel="0" collapsed="false">
      <c r="A836" s="8"/>
      <c r="B836" s="17"/>
      <c r="C836" s="19"/>
      <c r="D836" s="8"/>
      <c r="E836" s="18"/>
      <c r="F836" s="18"/>
      <c r="G836" s="8"/>
      <c r="H836" s="8"/>
      <c r="I836" s="8"/>
      <c r="J836" s="8"/>
      <c r="K836" s="10" t="str">
        <f aca="false">IF(A836="","",IF(ABS(SUMIFS($E$9:$E$2008,$A$9:$A$2008,A836)-SUMIFS($F$9:$F$2008,$A$9:$A$2008,A836))&lt;0.5,"Yes","No"))</f>
        <v/>
      </c>
      <c r="L836" s="10" t="str">
        <f aca="false">IF(A836="","",IF(IF(K836="No","Does not balance | ","")&amp;IF(I836="","Not approved | ",IF(UPPER(TRIM(H836))=UPPER(TRIM(I836)),"Self-approved | ",""))&amp;IF(J836="","No support | ","")&amp;IF(WEEKDAY(B836,2)&gt;5,"Weekend posting | ","")&amp;IF(COUNTIF(Settings!$A$14:$A$43,B836)&gt;0,"Holiday posting | ","")&amp;IF(B836&gt;Settings!$C$8,"Posted after close | ","")&amp;IF(OR(B836&lt;Settings!$C$6,B836&gt;Settings!$C$7),"Outside period | ","")&amp;IF(COUNTIF(Settings!$E$14:$E$43,C836&amp;"")&gt;0,"Sensitive account | ","")&amp;IF(AND(MAX(N(E836),N(F836))&gt;=Settings!$C$9,MOD(MAX(N(E836),N(F836)),Settings!$C$10)=0),"Round amount | ","")="","",LEFT(IF(K836="No","Does not balance | ","")&amp;IF(I836="","Not approved | ",IF(UPPER(TRIM(H836))=UPPER(TRIM(I836)),"Self-approved | ",""))&amp;IF(J836="","No support | ","")&amp;IF(WEEKDAY(B836,2)&gt;5,"Weekend posting | ","")&amp;IF(COUNTIF(Settings!$A$14:$A$43,B836)&gt;0,"Holiday posting | ","")&amp;IF(B836&gt;Settings!$C$8,"Posted after close | ","")&amp;IF(OR(B836&lt;Settings!$C$6,B836&gt;Settings!$C$7),"Outside period | ","")&amp;IF(COUNTIF(Settings!$E$14:$E$43,C836&amp;"")&gt;0,"Sensitive account | ","")&amp;IF(AND(MAX(N(E836),N(F836))&gt;=Settings!$C$9,MOD(MAX(N(E836),N(F836)),Settings!$C$10)=0),"Round amount | ",""),LEN(IF(K836="No","Does not balance | ","")&amp;IF(I836="","Not approved | ",IF(UPPER(TRIM(H836))=UPPER(TRIM(I836)),"Self-approved | ",""))&amp;IF(J836="","No support | ","")&amp;IF(WEEKDAY(B836,2)&gt;5,"Weekend posting | ","")&amp;IF(COUNTIF(Settings!$A$14:$A$43,B836)&gt;0,"Holiday posting | ","")&amp;IF(B836&gt;Settings!$C$8,"Posted after close | ","")&amp;IF(OR(B836&lt;Settings!$C$6,B836&gt;Settings!$C$7),"Outside period | ","")&amp;IF(COUNTIF(Settings!$E$14:$E$43,C836&amp;"")&gt;0,"Sensitive account | ","")&amp;IF(AND(MAX(N(E836),N(F836))&gt;=Settings!$C$9,MOD(MAX(N(E836),N(F836)),Settings!$C$10)=0),"Round amount | ",""))-3)))</f>
        <v/>
      </c>
      <c r="M836" s="21" t="str">
        <f aca="false">IF(A836="","",IF(COUNTIF($A$9:A836,A836)=1,MAX($M$8:M835)+1,""))</f>
        <v/>
      </c>
    </row>
    <row r="837" customFormat="false" ht="15" hidden="false" customHeight="false" outlineLevel="0" collapsed="false">
      <c r="A837" s="8"/>
      <c r="B837" s="17"/>
      <c r="C837" s="19"/>
      <c r="D837" s="8"/>
      <c r="E837" s="18"/>
      <c r="F837" s="18"/>
      <c r="G837" s="8"/>
      <c r="H837" s="8"/>
      <c r="I837" s="8"/>
      <c r="J837" s="8"/>
      <c r="K837" s="10" t="str">
        <f aca="false">IF(A837="","",IF(ABS(SUMIFS($E$9:$E$2008,$A$9:$A$2008,A837)-SUMIFS($F$9:$F$2008,$A$9:$A$2008,A837))&lt;0.5,"Yes","No"))</f>
        <v/>
      </c>
      <c r="L837" s="10" t="str">
        <f aca="false">IF(A837="","",IF(IF(K837="No","Does not balance | ","")&amp;IF(I837="","Not approved | ",IF(UPPER(TRIM(H837))=UPPER(TRIM(I837)),"Self-approved | ",""))&amp;IF(J837="","No support | ","")&amp;IF(WEEKDAY(B837,2)&gt;5,"Weekend posting | ","")&amp;IF(COUNTIF(Settings!$A$14:$A$43,B837)&gt;0,"Holiday posting | ","")&amp;IF(B837&gt;Settings!$C$8,"Posted after close | ","")&amp;IF(OR(B837&lt;Settings!$C$6,B837&gt;Settings!$C$7),"Outside period | ","")&amp;IF(COUNTIF(Settings!$E$14:$E$43,C837&amp;"")&gt;0,"Sensitive account | ","")&amp;IF(AND(MAX(N(E837),N(F837))&gt;=Settings!$C$9,MOD(MAX(N(E837),N(F837)),Settings!$C$10)=0),"Round amount | ","")="","",LEFT(IF(K837="No","Does not balance | ","")&amp;IF(I837="","Not approved | ",IF(UPPER(TRIM(H837))=UPPER(TRIM(I837)),"Self-approved | ",""))&amp;IF(J837="","No support | ","")&amp;IF(WEEKDAY(B837,2)&gt;5,"Weekend posting | ","")&amp;IF(COUNTIF(Settings!$A$14:$A$43,B837)&gt;0,"Holiday posting | ","")&amp;IF(B837&gt;Settings!$C$8,"Posted after close | ","")&amp;IF(OR(B837&lt;Settings!$C$6,B837&gt;Settings!$C$7),"Outside period | ","")&amp;IF(COUNTIF(Settings!$E$14:$E$43,C837&amp;"")&gt;0,"Sensitive account | ","")&amp;IF(AND(MAX(N(E837),N(F837))&gt;=Settings!$C$9,MOD(MAX(N(E837),N(F837)),Settings!$C$10)=0),"Round amount | ",""),LEN(IF(K837="No","Does not balance | ","")&amp;IF(I837="","Not approved | ",IF(UPPER(TRIM(H837))=UPPER(TRIM(I837)),"Self-approved | ",""))&amp;IF(J837="","No support | ","")&amp;IF(WEEKDAY(B837,2)&gt;5,"Weekend posting | ","")&amp;IF(COUNTIF(Settings!$A$14:$A$43,B837)&gt;0,"Holiday posting | ","")&amp;IF(B837&gt;Settings!$C$8,"Posted after close | ","")&amp;IF(OR(B837&lt;Settings!$C$6,B837&gt;Settings!$C$7),"Outside period | ","")&amp;IF(COUNTIF(Settings!$E$14:$E$43,C837&amp;"")&gt;0,"Sensitive account | ","")&amp;IF(AND(MAX(N(E837),N(F837))&gt;=Settings!$C$9,MOD(MAX(N(E837),N(F837)),Settings!$C$10)=0),"Round amount | ",""))-3)))</f>
        <v/>
      </c>
      <c r="M837" s="21" t="str">
        <f aca="false">IF(A837="","",IF(COUNTIF($A$9:A837,A837)=1,MAX($M$8:M836)+1,""))</f>
        <v/>
      </c>
    </row>
    <row r="838" customFormat="false" ht="15" hidden="false" customHeight="false" outlineLevel="0" collapsed="false">
      <c r="A838" s="8"/>
      <c r="B838" s="17"/>
      <c r="C838" s="19"/>
      <c r="D838" s="8"/>
      <c r="E838" s="18"/>
      <c r="F838" s="18"/>
      <c r="G838" s="8"/>
      <c r="H838" s="8"/>
      <c r="I838" s="8"/>
      <c r="J838" s="8"/>
      <c r="K838" s="10" t="str">
        <f aca="false">IF(A838="","",IF(ABS(SUMIFS($E$9:$E$2008,$A$9:$A$2008,A838)-SUMIFS($F$9:$F$2008,$A$9:$A$2008,A838))&lt;0.5,"Yes","No"))</f>
        <v/>
      </c>
      <c r="L838" s="10" t="str">
        <f aca="false">IF(A838="","",IF(IF(K838="No","Does not balance | ","")&amp;IF(I838="","Not approved | ",IF(UPPER(TRIM(H838))=UPPER(TRIM(I838)),"Self-approved | ",""))&amp;IF(J838="","No support | ","")&amp;IF(WEEKDAY(B838,2)&gt;5,"Weekend posting | ","")&amp;IF(COUNTIF(Settings!$A$14:$A$43,B838)&gt;0,"Holiday posting | ","")&amp;IF(B838&gt;Settings!$C$8,"Posted after close | ","")&amp;IF(OR(B838&lt;Settings!$C$6,B838&gt;Settings!$C$7),"Outside period | ","")&amp;IF(COUNTIF(Settings!$E$14:$E$43,C838&amp;"")&gt;0,"Sensitive account | ","")&amp;IF(AND(MAX(N(E838),N(F838))&gt;=Settings!$C$9,MOD(MAX(N(E838),N(F838)),Settings!$C$10)=0),"Round amount | ","")="","",LEFT(IF(K838="No","Does not balance | ","")&amp;IF(I838="","Not approved | ",IF(UPPER(TRIM(H838))=UPPER(TRIM(I838)),"Self-approved | ",""))&amp;IF(J838="","No support | ","")&amp;IF(WEEKDAY(B838,2)&gt;5,"Weekend posting | ","")&amp;IF(COUNTIF(Settings!$A$14:$A$43,B838)&gt;0,"Holiday posting | ","")&amp;IF(B838&gt;Settings!$C$8,"Posted after close | ","")&amp;IF(OR(B838&lt;Settings!$C$6,B838&gt;Settings!$C$7),"Outside period | ","")&amp;IF(COUNTIF(Settings!$E$14:$E$43,C838&amp;"")&gt;0,"Sensitive account | ","")&amp;IF(AND(MAX(N(E838),N(F838))&gt;=Settings!$C$9,MOD(MAX(N(E838),N(F838)),Settings!$C$10)=0),"Round amount | ",""),LEN(IF(K838="No","Does not balance | ","")&amp;IF(I838="","Not approved | ",IF(UPPER(TRIM(H838))=UPPER(TRIM(I838)),"Self-approved | ",""))&amp;IF(J838="","No support | ","")&amp;IF(WEEKDAY(B838,2)&gt;5,"Weekend posting | ","")&amp;IF(COUNTIF(Settings!$A$14:$A$43,B838)&gt;0,"Holiday posting | ","")&amp;IF(B838&gt;Settings!$C$8,"Posted after close | ","")&amp;IF(OR(B838&lt;Settings!$C$6,B838&gt;Settings!$C$7),"Outside period | ","")&amp;IF(COUNTIF(Settings!$E$14:$E$43,C838&amp;"")&gt;0,"Sensitive account | ","")&amp;IF(AND(MAX(N(E838),N(F838))&gt;=Settings!$C$9,MOD(MAX(N(E838),N(F838)),Settings!$C$10)=0),"Round amount | ",""))-3)))</f>
        <v/>
      </c>
      <c r="M838" s="21" t="str">
        <f aca="false">IF(A838="","",IF(COUNTIF($A$9:A838,A838)=1,MAX($M$8:M837)+1,""))</f>
        <v/>
      </c>
    </row>
    <row r="839" customFormat="false" ht="15" hidden="false" customHeight="false" outlineLevel="0" collapsed="false">
      <c r="A839" s="8"/>
      <c r="B839" s="17"/>
      <c r="C839" s="19"/>
      <c r="D839" s="8"/>
      <c r="E839" s="18"/>
      <c r="F839" s="18"/>
      <c r="G839" s="8"/>
      <c r="H839" s="8"/>
      <c r="I839" s="8"/>
      <c r="J839" s="8"/>
      <c r="K839" s="10" t="str">
        <f aca="false">IF(A839="","",IF(ABS(SUMIFS($E$9:$E$2008,$A$9:$A$2008,A839)-SUMIFS($F$9:$F$2008,$A$9:$A$2008,A839))&lt;0.5,"Yes","No"))</f>
        <v/>
      </c>
      <c r="L839" s="10" t="str">
        <f aca="false">IF(A839="","",IF(IF(K839="No","Does not balance | ","")&amp;IF(I839="","Not approved | ",IF(UPPER(TRIM(H839))=UPPER(TRIM(I839)),"Self-approved | ",""))&amp;IF(J839="","No support | ","")&amp;IF(WEEKDAY(B839,2)&gt;5,"Weekend posting | ","")&amp;IF(COUNTIF(Settings!$A$14:$A$43,B839)&gt;0,"Holiday posting | ","")&amp;IF(B839&gt;Settings!$C$8,"Posted after close | ","")&amp;IF(OR(B839&lt;Settings!$C$6,B839&gt;Settings!$C$7),"Outside period | ","")&amp;IF(COUNTIF(Settings!$E$14:$E$43,C839&amp;"")&gt;0,"Sensitive account | ","")&amp;IF(AND(MAX(N(E839),N(F839))&gt;=Settings!$C$9,MOD(MAX(N(E839),N(F839)),Settings!$C$10)=0),"Round amount | ","")="","",LEFT(IF(K839="No","Does not balance | ","")&amp;IF(I839="","Not approved | ",IF(UPPER(TRIM(H839))=UPPER(TRIM(I839)),"Self-approved | ",""))&amp;IF(J839="","No support | ","")&amp;IF(WEEKDAY(B839,2)&gt;5,"Weekend posting | ","")&amp;IF(COUNTIF(Settings!$A$14:$A$43,B839)&gt;0,"Holiday posting | ","")&amp;IF(B839&gt;Settings!$C$8,"Posted after close | ","")&amp;IF(OR(B839&lt;Settings!$C$6,B839&gt;Settings!$C$7),"Outside period | ","")&amp;IF(COUNTIF(Settings!$E$14:$E$43,C839&amp;"")&gt;0,"Sensitive account | ","")&amp;IF(AND(MAX(N(E839),N(F839))&gt;=Settings!$C$9,MOD(MAX(N(E839),N(F839)),Settings!$C$10)=0),"Round amount | ",""),LEN(IF(K839="No","Does not balance | ","")&amp;IF(I839="","Not approved | ",IF(UPPER(TRIM(H839))=UPPER(TRIM(I839)),"Self-approved | ",""))&amp;IF(J839="","No support | ","")&amp;IF(WEEKDAY(B839,2)&gt;5,"Weekend posting | ","")&amp;IF(COUNTIF(Settings!$A$14:$A$43,B839)&gt;0,"Holiday posting | ","")&amp;IF(B839&gt;Settings!$C$8,"Posted after close | ","")&amp;IF(OR(B839&lt;Settings!$C$6,B839&gt;Settings!$C$7),"Outside period | ","")&amp;IF(COUNTIF(Settings!$E$14:$E$43,C839&amp;"")&gt;0,"Sensitive account | ","")&amp;IF(AND(MAX(N(E839),N(F839))&gt;=Settings!$C$9,MOD(MAX(N(E839),N(F839)),Settings!$C$10)=0),"Round amount | ",""))-3)))</f>
        <v/>
      </c>
      <c r="M839" s="21" t="str">
        <f aca="false">IF(A839="","",IF(COUNTIF($A$9:A839,A839)=1,MAX($M$8:M838)+1,""))</f>
        <v/>
      </c>
    </row>
    <row r="840" customFormat="false" ht="15" hidden="false" customHeight="false" outlineLevel="0" collapsed="false">
      <c r="A840" s="8"/>
      <c r="B840" s="17"/>
      <c r="C840" s="19"/>
      <c r="D840" s="8"/>
      <c r="E840" s="18"/>
      <c r="F840" s="18"/>
      <c r="G840" s="8"/>
      <c r="H840" s="8"/>
      <c r="I840" s="8"/>
      <c r="J840" s="8"/>
      <c r="K840" s="10" t="str">
        <f aca="false">IF(A840="","",IF(ABS(SUMIFS($E$9:$E$2008,$A$9:$A$2008,A840)-SUMIFS($F$9:$F$2008,$A$9:$A$2008,A840))&lt;0.5,"Yes","No"))</f>
        <v/>
      </c>
      <c r="L840" s="10" t="str">
        <f aca="false">IF(A840="","",IF(IF(K840="No","Does not balance | ","")&amp;IF(I840="","Not approved | ",IF(UPPER(TRIM(H840))=UPPER(TRIM(I840)),"Self-approved | ",""))&amp;IF(J840="","No support | ","")&amp;IF(WEEKDAY(B840,2)&gt;5,"Weekend posting | ","")&amp;IF(COUNTIF(Settings!$A$14:$A$43,B840)&gt;0,"Holiday posting | ","")&amp;IF(B840&gt;Settings!$C$8,"Posted after close | ","")&amp;IF(OR(B840&lt;Settings!$C$6,B840&gt;Settings!$C$7),"Outside period | ","")&amp;IF(COUNTIF(Settings!$E$14:$E$43,C840&amp;"")&gt;0,"Sensitive account | ","")&amp;IF(AND(MAX(N(E840),N(F840))&gt;=Settings!$C$9,MOD(MAX(N(E840),N(F840)),Settings!$C$10)=0),"Round amount | ","")="","",LEFT(IF(K840="No","Does not balance | ","")&amp;IF(I840="","Not approved | ",IF(UPPER(TRIM(H840))=UPPER(TRIM(I840)),"Self-approved | ",""))&amp;IF(J840="","No support | ","")&amp;IF(WEEKDAY(B840,2)&gt;5,"Weekend posting | ","")&amp;IF(COUNTIF(Settings!$A$14:$A$43,B840)&gt;0,"Holiday posting | ","")&amp;IF(B840&gt;Settings!$C$8,"Posted after close | ","")&amp;IF(OR(B840&lt;Settings!$C$6,B840&gt;Settings!$C$7),"Outside period | ","")&amp;IF(COUNTIF(Settings!$E$14:$E$43,C840&amp;"")&gt;0,"Sensitive account | ","")&amp;IF(AND(MAX(N(E840),N(F840))&gt;=Settings!$C$9,MOD(MAX(N(E840),N(F840)),Settings!$C$10)=0),"Round amount | ",""),LEN(IF(K840="No","Does not balance | ","")&amp;IF(I840="","Not approved | ",IF(UPPER(TRIM(H840))=UPPER(TRIM(I840)),"Self-approved | ",""))&amp;IF(J840="","No support | ","")&amp;IF(WEEKDAY(B840,2)&gt;5,"Weekend posting | ","")&amp;IF(COUNTIF(Settings!$A$14:$A$43,B840)&gt;0,"Holiday posting | ","")&amp;IF(B840&gt;Settings!$C$8,"Posted after close | ","")&amp;IF(OR(B840&lt;Settings!$C$6,B840&gt;Settings!$C$7),"Outside period | ","")&amp;IF(COUNTIF(Settings!$E$14:$E$43,C840&amp;"")&gt;0,"Sensitive account | ","")&amp;IF(AND(MAX(N(E840),N(F840))&gt;=Settings!$C$9,MOD(MAX(N(E840),N(F840)),Settings!$C$10)=0),"Round amount | ",""))-3)))</f>
        <v/>
      </c>
      <c r="M840" s="21" t="str">
        <f aca="false">IF(A840="","",IF(COUNTIF($A$9:A840,A840)=1,MAX($M$8:M839)+1,""))</f>
        <v/>
      </c>
    </row>
    <row r="841" customFormat="false" ht="15" hidden="false" customHeight="false" outlineLevel="0" collapsed="false">
      <c r="A841" s="8"/>
      <c r="B841" s="17"/>
      <c r="C841" s="19"/>
      <c r="D841" s="8"/>
      <c r="E841" s="18"/>
      <c r="F841" s="18"/>
      <c r="G841" s="8"/>
      <c r="H841" s="8"/>
      <c r="I841" s="8"/>
      <c r="J841" s="8"/>
      <c r="K841" s="10" t="str">
        <f aca="false">IF(A841="","",IF(ABS(SUMIFS($E$9:$E$2008,$A$9:$A$2008,A841)-SUMIFS($F$9:$F$2008,$A$9:$A$2008,A841))&lt;0.5,"Yes","No"))</f>
        <v/>
      </c>
      <c r="L841" s="10" t="str">
        <f aca="false">IF(A841="","",IF(IF(K841="No","Does not balance | ","")&amp;IF(I841="","Not approved | ",IF(UPPER(TRIM(H841))=UPPER(TRIM(I841)),"Self-approved | ",""))&amp;IF(J841="","No support | ","")&amp;IF(WEEKDAY(B841,2)&gt;5,"Weekend posting | ","")&amp;IF(COUNTIF(Settings!$A$14:$A$43,B841)&gt;0,"Holiday posting | ","")&amp;IF(B841&gt;Settings!$C$8,"Posted after close | ","")&amp;IF(OR(B841&lt;Settings!$C$6,B841&gt;Settings!$C$7),"Outside period | ","")&amp;IF(COUNTIF(Settings!$E$14:$E$43,C841&amp;"")&gt;0,"Sensitive account | ","")&amp;IF(AND(MAX(N(E841),N(F841))&gt;=Settings!$C$9,MOD(MAX(N(E841),N(F841)),Settings!$C$10)=0),"Round amount | ","")="","",LEFT(IF(K841="No","Does not balance | ","")&amp;IF(I841="","Not approved | ",IF(UPPER(TRIM(H841))=UPPER(TRIM(I841)),"Self-approved | ",""))&amp;IF(J841="","No support | ","")&amp;IF(WEEKDAY(B841,2)&gt;5,"Weekend posting | ","")&amp;IF(COUNTIF(Settings!$A$14:$A$43,B841)&gt;0,"Holiday posting | ","")&amp;IF(B841&gt;Settings!$C$8,"Posted after close | ","")&amp;IF(OR(B841&lt;Settings!$C$6,B841&gt;Settings!$C$7),"Outside period | ","")&amp;IF(COUNTIF(Settings!$E$14:$E$43,C841&amp;"")&gt;0,"Sensitive account | ","")&amp;IF(AND(MAX(N(E841),N(F841))&gt;=Settings!$C$9,MOD(MAX(N(E841),N(F841)),Settings!$C$10)=0),"Round amount | ",""),LEN(IF(K841="No","Does not balance | ","")&amp;IF(I841="","Not approved | ",IF(UPPER(TRIM(H841))=UPPER(TRIM(I841)),"Self-approved | ",""))&amp;IF(J841="","No support | ","")&amp;IF(WEEKDAY(B841,2)&gt;5,"Weekend posting | ","")&amp;IF(COUNTIF(Settings!$A$14:$A$43,B841)&gt;0,"Holiday posting | ","")&amp;IF(B841&gt;Settings!$C$8,"Posted after close | ","")&amp;IF(OR(B841&lt;Settings!$C$6,B841&gt;Settings!$C$7),"Outside period | ","")&amp;IF(COUNTIF(Settings!$E$14:$E$43,C841&amp;"")&gt;0,"Sensitive account | ","")&amp;IF(AND(MAX(N(E841),N(F841))&gt;=Settings!$C$9,MOD(MAX(N(E841),N(F841)),Settings!$C$10)=0),"Round amount | ",""))-3)))</f>
        <v/>
      </c>
      <c r="M841" s="21" t="str">
        <f aca="false">IF(A841="","",IF(COUNTIF($A$9:A841,A841)=1,MAX($M$8:M840)+1,""))</f>
        <v/>
      </c>
    </row>
    <row r="842" customFormat="false" ht="15" hidden="false" customHeight="false" outlineLevel="0" collapsed="false">
      <c r="A842" s="8"/>
      <c r="B842" s="17"/>
      <c r="C842" s="19"/>
      <c r="D842" s="8"/>
      <c r="E842" s="18"/>
      <c r="F842" s="18"/>
      <c r="G842" s="8"/>
      <c r="H842" s="8"/>
      <c r="I842" s="8"/>
      <c r="J842" s="8"/>
      <c r="K842" s="10" t="str">
        <f aca="false">IF(A842="","",IF(ABS(SUMIFS($E$9:$E$2008,$A$9:$A$2008,A842)-SUMIFS($F$9:$F$2008,$A$9:$A$2008,A842))&lt;0.5,"Yes","No"))</f>
        <v/>
      </c>
      <c r="L842" s="10" t="str">
        <f aca="false">IF(A842="","",IF(IF(K842="No","Does not balance | ","")&amp;IF(I842="","Not approved | ",IF(UPPER(TRIM(H842))=UPPER(TRIM(I842)),"Self-approved | ",""))&amp;IF(J842="","No support | ","")&amp;IF(WEEKDAY(B842,2)&gt;5,"Weekend posting | ","")&amp;IF(COUNTIF(Settings!$A$14:$A$43,B842)&gt;0,"Holiday posting | ","")&amp;IF(B842&gt;Settings!$C$8,"Posted after close | ","")&amp;IF(OR(B842&lt;Settings!$C$6,B842&gt;Settings!$C$7),"Outside period | ","")&amp;IF(COUNTIF(Settings!$E$14:$E$43,C842&amp;"")&gt;0,"Sensitive account | ","")&amp;IF(AND(MAX(N(E842),N(F842))&gt;=Settings!$C$9,MOD(MAX(N(E842),N(F842)),Settings!$C$10)=0),"Round amount | ","")="","",LEFT(IF(K842="No","Does not balance | ","")&amp;IF(I842="","Not approved | ",IF(UPPER(TRIM(H842))=UPPER(TRIM(I842)),"Self-approved | ",""))&amp;IF(J842="","No support | ","")&amp;IF(WEEKDAY(B842,2)&gt;5,"Weekend posting | ","")&amp;IF(COUNTIF(Settings!$A$14:$A$43,B842)&gt;0,"Holiday posting | ","")&amp;IF(B842&gt;Settings!$C$8,"Posted after close | ","")&amp;IF(OR(B842&lt;Settings!$C$6,B842&gt;Settings!$C$7),"Outside period | ","")&amp;IF(COUNTIF(Settings!$E$14:$E$43,C842&amp;"")&gt;0,"Sensitive account | ","")&amp;IF(AND(MAX(N(E842),N(F842))&gt;=Settings!$C$9,MOD(MAX(N(E842),N(F842)),Settings!$C$10)=0),"Round amount | ",""),LEN(IF(K842="No","Does not balance | ","")&amp;IF(I842="","Not approved | ",IF(UPPER(TRIM(H842))=UPPER(TRIM(I842)),"Self-approved | ",""))&amp;IF(J842="","No support | ","")&amp;IF(WEEKDAY(B842,2)&gt;5,"Weekend posting | ","")&amp;IF(COUNTIF(Settings!$A$14:$A$43,B842)&gt;0,"Holiday posting | ","")&amp;IF(B842&gt;Settings!$C$8,"Posted after close | ","")&amp;IF(OR(B842&lt;Settings!$C$6,B842&gt;Settings!$C$7),"Outside period | ","")&amp;IF(COUNTIF(Settings!$E$14:$E$43,C842&amp;"")&gt;0,"Sensitive account | ","")&amp;IF(AND(MAX(N(E842),N(F842))&gt;=Settings!$C$9,MOD(MAX(N(E842),N(F842)),Settings!$C$10)=0),"Round amount | ",""))-3)))</f>
        <v/>
      </c>
      <c r="M842" s="21" t="str">
        <f aca="false">IF(A842="","",IF(COUNTIF($A$9:A842,A842)=1,MAX($M$8:M841)+1,""))</f>
        <v/>
      </c>
    </row>
    <row r="843" customFormat="false" ht="15" hidden="false" customHeight="false" outlineLevel="0" collapsed="false">
      <c r="A843" s="8"/>
      <c r="B843" s="17"/>
      <c r="C843" s="19"/>
      <c r="D843" s="8"/>
      <c r="E843" s="18"/>
      <c r="F843" s="18"/>
      <c r="G843" s="8"/>
      <c r="H843" s="8"/>
      <c r="I843" s="8"/>
      <c r="J843" s="8"/>
      <c r="K843" s="10" t="str">
        <f aca="false">IF(A843="","",IF(ABS(SUMIFS($E$9:$E$2008,$A$9:$A$2008,A843)-SUMIFS($F$9:$F$2008,$A$9:$A$2008,A843))&lt;0.5,"Yes","No"))</f>
        <v/>
      </c>
      <c r="L843" s="10" t="str">
        <f aca="false">IF(A843="","",IF(IF(K843="No","Does not balance | ","")&amp;IF(I843="","Not approved | ",IF(UPPER(TRIM(H843))=UPPER(TRIM(I843)),"Self-approved | ",""))&amp;IF(J843="","No support | ","")&amp;IF(WEEKDAY(B843,2)&gt;5,"Weekend posting | ","")&amp;IF(COUNTIF(Settings!$A$14:$A$43,B843)&gt;0,"Holiday posting | ","")&amp;IF(B843&gt;Settings!$C$8,"Posted after close | ","")&amp;IF(OR(B843&lt;Settings!$C$6,B843&gt;Settings!$C$7),"Outside period | ","")&amp;IF(COUNTIF(Settings!$E$14:$E$43,C843&amp;"")&gt;0,"Sensitive account | ","")&amp;IF(AND(MAX(N(E843),N(F843))&gt;=Settings!$C$9,MOD(MAX(N(E843),N(F843)),Settings!$C$10)=0),"Round amount | ","")="","",LEFT(IF(K843="No","Does not balance | ","")&amp;IF(I843="","Not approved | ",IF(UPPER(TRIM(H843))=UPPER(TRIM(I843)),"Self-approved | ",""))&amp;IF(J843="","No support | ","")&amp;IF(WEEKDAY(B843,2)&gt;5,"Weekend posting | ","")&amp;IF(COUNTIF(Settings!$A$14:$A$43,B843)&gt;0,"Holiday posting | ","")&amp;IF(B843&gt;Settings!$C$8,"Posted after close | ","")&amp;IF(OR(B843&lt;Settings!$C$6,B843&gt;Settings!$C$7),"Outside period | ","")&amp;IF(COUNTIF(Settings!$E$14:$E$43,C843&amp;"")&gt;0,"Sensitive account | ","")&amp;IF(AND(MAX(N(E843),N(F843))&gt;=Settings!$C$9,MOD(MAX(N(E843),N(F843)),Settings!$C$10)=0),"Round amount | ",""),LEN(IF(K843="No","Does not balance | ","")&amp;IF(I843="","Not approved | ",IF(UPPER(TRIM(H843))=UPPER(TRIM(I843)),"Self-approved | ",""))&amp;IF(J843="","No support | ","")&amp;IF(WEEKDAY(B843,2)&gt;5,"Weekend posting | ","")&amp;IF(COUNTIF(Settings!$A$14:$A$43,B843)&gt;0,"Holiday posting | ","")&amp;IF(B843&gt;Settings!$C$8,"Posted after close | ","")&amp;IF(OR(B843&lt;Settings!$C$6,B843&gt;Settings!$C$7),"Outside period | ","")&amp;IF(COUNTIF(Settings!$E$14:$E$43,C843&amp;"")&gt;0,"Sensitive account | ","")&amp;IF(AND(MAX(N(E843),N(F843))&gt;=Settings!$C$9,MOD(MAX(N(E843),N(F843)),Settings!$C$10)=0),"Round amount | ",""))-3)))</f>
        <v/>
      </c>
      <c r="M843" s="21" t="str">
        <f aca="false">IF(A843="","",IF(COUNTIF($A$9:A843,A843)=1,MAX($M$8:M842)+1,""))</f>
        <v/>
      </c>
    </row>
    <row r="844" customFormat="false" ht="15" hidden="false" customHeight="false" outlineLevel="0" collapsed="false">
      <c r="A844" s="8"/>
      <c r="B844" s="17"/>
      <c r="C844" s="19"/>
      <c r="D844" s="8"/>
      <c r="E844" s="18"/>
      <c r="F844" s="18"/>
      <c r="G844" s="8"/>
      <c r="H844" s="8"/>
      <c r="I844" s="8"/>
      <c r="J844" s="8"/>
      <c r="K844" s="10" t="str">
        <f aca="false">IF(A844="","",IF(ABS(SUMIFS($E$9:$E$2008,$A$9:$A$2008,A844)-SUMIFS($F$9:$F$2008,$A$9:$A$2008,A844))&lt;0.5,"Yes","No"))</f>
        <v/>
      </c>
      <c r="L844" s="10" t="str">
        <f aca="false">IF(A844="","",IF(IF(K844="No","Does not balance | ","")&amp;IF(I844="","Not approved | ",IF(UPPER(TRIM(H844))=UPPER(TRIM(I844)),"Self-approved | ",""))&amp;IF(J844="","No support | ","")&amp;IF(WEEKDAY(B844,2)&gt;5,"Weekend posting | ","")&amp;IF(COUNTIF(Settings!$A$14:$A$43,B844)&gt;0,"Holiday posting | ","")&amp;IF(B844&gt;Settings!$C$8,"Posted after close | ","")&amp;IF(OR(B844&lt;Settings!$C$6,B844&gt;Settings!$C$7),"Outside period | ","")&amp;IF(COUNTIF(Settings!$E$14:$E$43,C844&amp;"")&gt;0,"Sensitive account | ","")&amp;IF(AND(MAX(N(E844),N(F844))&gt;=Settings!$C$9,MOD(MAX(N(E844),N(F844)),Settings!$C$10)=0),"Round amount | ","")="","",LEFT(IF(K844="No","Does not balance | ","")&amp;IF(I844="","Not approved | ",IF(UPPER(TRIM(H844))=UPPER(TRIM(I844)),"Self-approved | ",""))&amp;IF(J844="","No support | ","")&amp;IF(WEEKDAY(B844,2)&gt;5,"Weekend posting | ","")&amp;IF(COUNTIF(Settings!$A$14:$A$43,B844)&gt;0,"Holiday posting | ","")&amp;IF(B844&gt;Settings!$C$8,"Posted after close | ","")&amp;IF(OR(B844&lt;Settings!$C$6,B844&gt;Settings!$C$7),"Outside period | ","")&amp;IF(COUNTIF(Settings!$E$14:$E$43,C844&amp;"")&gt;0,"Sensitive account | ","")&amp;IF(AND(MAX(N(E844),N(F844))&gt;=Settings!$C$9,MOD(MAX(N(E844),N(F844)),Settings!$C$10)=0),"Round amount | ",""),LEN(IF(K844="No","Does not balance | ","")&amp;IF(I844="","Not approved | ",IF(UPPER(TRIM(H844))=UPPER(TRIM(I844)),"Self-approved | ",""))&amp;IF(J844="","No support | ","")&amp;IF(WEEKDAY(B844,2)&gt;5,"Weekend posting | ","")&amp;IF(COUNTIF(Settings!$A$14:$A$43,B844)&gt;0,"Holiday posting | ","")&amp;IF(B844&gt;Settings!$C$8,"Posted after close | ","")&amp;IF(OR(B844&lt;Settings!$C$6,B844&gt;Settings!$C$7),"Outside period | ","")&amp;IF(COUNTIF(Settings!$E$14:$E$43,C844&amp;"")&gt;0,"Sensitive account | ","")&amp;IF(AND(MAX(N(E844),N(F844))&gt;=Settings!$C$9,MOD(MAX(N(E844),N(F844)),Settings!$C$10)=0),"Round amount | ",""))-3)))</f>
        <v/>
      </c>
      <c r="M844" s="21" t="str">
        <f aca="false">IF(A844="","",IF(COUNTIF($A$9:A844,A844)=1,MAX($M$8:M843)+1,""))</f>
        <v/>
      </c>
    </row>
    <row r="845" customFormat="false" ht="15" hidden="false" customHeight="false" outlineLevel="0" collapsed="false">
      <c r="A845" s="8"/>
      <c r="B845" s="17"/>
      <c r="C845" s="19"/>
      <c r="D845" s="8"/>
      <c r="E845" s="18"/>
      <c r="F845" s="18"/>
      <c r="G845" s="8"/>
      <c r="H845" s="8"/>
      <c r="I845" s="8"/>
      <c r="J845" s="8"/>
      <c r="K845" s="10" t="str">
        <f aca="false">IF(A845="","",IF(ABS(SUMIFS($E$9:$E$2008,$A$9:$A$2008,A845)-SUMIFS($F$9:$F$2008,$A$9:$A$2008,A845))&lt;0.5,"Yes","No"))</f>
        <v/>
      </c>
      <c r="L845" s="10" t="str">
        <f aca="false">IF(A845="","",IF(IF(K845="No","Does not balance | ","")&amp;IF(I845="","Not approved | ",IF(UPPER(TRIM(H845))=UPPER(TRIM(I845)),"Self-approved | ",""))&amp;IF(J845="","No support | ","")&amp;IF(WEEKDAY(B845,2)&gt;5,"Weekend posting | ","")&amp;IF(COUNTIF(Settings!$A$14:$A$43,B845)&gt;0,"Holiday posting | ","")&amp;IF(B845&gt;Settings!$C$8,"Posted after close | ","")&amp;IF(OR(B845&lt;Settings!$C$6,B845&gt;Settings!$C$7),"Outside period | ","")&amp;IF(COUNTIF(Settings!$E$14:$E$43,C845&amp;"")&gt;0,"Sensitive account | ","")&amp;IF(AND(MAX(N(E845),N(F845))&gt;=Settings!$C$9,MOD(MAX(N(E845),N(F845)),Settings!$C$10)=0),"Round amount | ","")="","",LEFT(IF(K845="No","Does not balance | ","")&amp;IF(I845="","Not approved | ",IF(UPPER(TRIM(H845))=UPPER(TRIM(I845)),"Self-approved | ",""))&amp;IF(J845="","No support | ","")&amp;IF(WEEKDAY(B845,2)&gt;5,"Weekend posting | ","")&amp;IF(COUNTIF(Settings!$A$14:$A$43,B845)&gt;0,"Holiday posting | ","")&amp;IF(B845&gt;Settings!$C$8,"Posted after close | ","")&amp;IF(OR(B845&lt;Settings!$C$6,B845&gt;Settings!$C$7),"Outside period | ","")&amp;IF(COUNTIF(Settings!$E$14:$E$43,C845&amp;"")&gt;0,"Sensitive account | ","")&amp;IF(AND(MAX(N(E845),N(F845))&gt;=Settings!$C$9,MOD(MAX(N(E845),N(F845)),Settings!$C$10)=0),"Round amount | ",""),LEN(IF(K845="No","Does not balance | ","")&amp;IF(I845="","Not approved | ",IF(UPPER(TRIM(H845))=UPPER(TRIM(I845)),"Self-approved | ",""))&amp;IF(J845="","No support | ","")&amp;IF(WEEKDAY(B845,2)&gt;5,"Weekend posting | ","")&amp;IF(COUNTIF(Settings!$A$14:$A$43,B845)&gt;0,"Holiday posting | ","")&amp;IF(B845&gt;Settings!$C$8,"Posted after close | ","")&amp;IF(OR(B845&lt;Settings!$C$6,B845&gt;Settings!$C$7),"Outside period | ","")&amp;IF(COUNTIF(Settings!$E$14:$E$43,C845&amp;"")&gt;0,"Sensitive account | ","")&amp;IF(AND(MAX(N(E845),N(F845))&gt;=Settings!$C$9,MOD(MAX(N(E845),N(F845)),Settings!$C$10)=0),"Round amount | ",""))-3)))</f>
        <v/>
      </c>
      <c r="M845" s="21" t="str">
        <f aca="false">IF(A845="","",IF(COUNTIF($A$9:A845,A845)=1,MAX($M$8:M844)+1,""))</f>
        <v/>
      </c>
    </row>
    <row r="846" customFormat="false" ht="15" hidden="false" customHeight="false" outlineLevel="0" collapsed="false">
      <c r="A846" s="8"/>
      <c r="B846" s="17"/>
      <c r="C846" s="19"/>
      <c r="D846" s="8"/>
      <c r="E846" s="18"/>
      <c r="F846" s="18"/>
      <c r="G846" s="8"/>
      <c r="H846" s="8"/>
      <c r="I846" s="8"/>
      <c r="J846" s="8"/>
      <c r="K846" s="10" t="str">
        <f aca="false">IF(A846="","",IF(ABS(SUMIFS($E$9:$E$2008,$A$9:$A$2008,A846)-SUMIFS($F$9:$F$2008,$A$9:$A$2008,A846))&lt;0.5,"Yes","No"))</f>
        <v/>
      </c>
      <c r="L846" s="10" t="str">
        <f aca="false">IF(A846="","",IF(IF(K846="No","Does not balance | ","")&amp;IF(I846="","Not approved | ",IF(UPPER(TRIM(H846))=UPPER(TRIM(I846)),"Self-approved | ",""))&amp;IF(J846="","No support | ","")&amp;IF(WEEKDAY(B846,2)&gt;5,"Weekend posting | ","")&amp;IF(COUNTIF(Settings!$A$14:$A$43,B846)&gt;0,"Holiday posting | ","")&amp;IF(B846&gt;Settings!$C$8,"Posted after close | ","")&amp;IF(OR(B846&lt;Settings!$C$6,B846&gt;Settings!$C$7),"Outside period | ","")&amp;IF(COUNTIF(Settings!$E$14:$E$43,C846&amp;"")&gt;0,"Sensitive account | ","")&amp;IF(AND(MAX(N(E846),N(F846))&gt;=Settings!$C$9,MOD(MAX(N(E846),N(F846)),Settings!$C$10)=0),"Round amount | ","")="","",LEFT(IF(K846="No","Does not balance | ","")&amp;IF(I846="","Not approved | ",IF(UPPER(TRIM(H846))=UPPER(TRIM(I846)),"Self-approved | ",""))&amp;IF(J846="","No support | ","")&amp;IF(WEEKDAY(B846,2)&gt;5,"Weekend posting | ","")&amp;IF(COUNTIF(Settings!$A$14:$A$43,B846)&gt;0,"Holiday posting | ","")&amp;IF(B846&gt;Settings!$C$8,"Posted after close | ","")&amp;IF(OR(B846&lt;Settings!$C$6,B846&gt;Settings!$C$7),"Outside period | ","")&amp;IF(COUNTIF(Settings!$E$14:$E$43,C846&amp;"")&gt;0,"Sensitive account | ","")&amp;IF(AND(MAX(N(E846),N(F846))&gt;=Settings!$C$9,MOD(MAX(N(E846),N(F846)),Settings!$C$10)=0),"Round amount | ",""),LEN(IF(K846="No","Does not balance | ","")&amp;IF(I846="","Not approved | ",IF(UPPER(TRIM(H846))=UPPER(TRIM(I846)),"Self-approved | ",""))&amp;IF(J846="","No support | ","")&amp;IF(WEEKDAY(B846,2)&gt;5,"Weekend posting | ","")&amp;IF(COUNTIF(Settings!$A$14:$A$43,B846)&gt;0,"Holiday posting | ","")&amp;IF(B846&gt;Settings!$C$8,"Posted after close | ","")&amp;IF(OR(B846&lt;Settings!$C$6,B846&gt;Settings!$C$7),"Outside period | ","")&amp;IF(COUNTIF(Settings!$E$14:$E$43,C846&amp;"")&gt;0,"Sensitive account | ","")&amp;IF(AND(MAX(N(E846),N(F846))&gt;=Settings!$C$9,MOD(MAX(N(E846),N(F846)),Settings!$C$10)=0),"Round amount | ",""))-3)))</f>
        <v/>
      </c>
      <c r="M846" s="21" t="str">
        <f aca="false">IF(A846="","",IF(COUNTIF($A$9:A846,A846)=1,MAX($M$8:M845)+1,""))</f>
        <v/>
      </c>
    </row>
    <row r="847" customFormat="false" ht="15" hidden="false" customHeight="false" outlineLevel="0" collapsed="false">
      <c r="A847" s="8"/>
      <c r="B847" s="17"/>
      <c r="C847" s="19"/>
      <c r="D847" s="8"/>
      <c r="E847" s="18"/>
      <c r="F847" s="18"/>
      <c r="G847" s="8"/>
      <c r="H847" s="8"/>
      <c r="I847" s="8"/>
      <c r="J847" s="8"/>
      <c r="K847" s="10" t="str">
        <f aca="false">IF(A847="","",IF(ABS(SUMIFS($E$9:$E$2008,$A$9:$A$2008,A847)-SUMIFS($F$9:$F$2008,$A$9:$A$2008,A847))&lt;0.5,"Yes","No"))</f>
        <v/>
      </c>
      <c r="L847" s="10" t="str">
        <f aca="false">IF(A847="","",IF(IF(K847="No","Does not balance | ","")&amp;IF(I847="","Not approved | ",IF(UPPER(TRIM(H847))=UPPER(TRIM(I847)),"Self-approved | ",""))&amp;IF(J847="","No support | ","")&amp;IF(WEEKDAY(B847,2)&gt;5,"Weekend posting | ","")&amp;IF(COUNTIF(Settings!$A$14:$A$43,B847)&gt;0,"Holiday posting | ","")&amp;IF(B847&gt;Settings!$C$8,"Posted after close | ","")&amp;IF(OR(B847&lt;Settings!$C$6,B847&gt;Settings!$C$7),"Outside period | ","")&amp;IF(COUNTIF(Settings!$E$14:$E$43,C847&amp;"")&gt;0,"Sensitive account | ","")&amp;IF(AND(MAX(N(E847),N(F847))&gt;=Settings!$C$9,MOD(MAX(N(E847),N(F847)),Settings!$C$10)=0),"Round amount | ","")="","",LEFT(IF(K847="No","Does not balance | ","")&amp;IF(I847="","Not approved | ",IF(UPPER(TRIM(H847))=UPPER(TRIM(I847)),"Self-approved | ",""))&amp;IF(J847="","No support | ","")&amp;IF(WEEKDAY(B847,2)&gt;5,"Weekend posting | ","")&amp;IF(COUNTIF(Settings!$A$14:$A$43,B847)&gt;0,"Holiday posting | ","")&amp;IF(B847&gt;Settings!$C$8,"Posted after close | ","")&amp;IF(OR(B847&lt;Settings!$C$6,B847&gt;Settings!$C$7),"Outside period | ","")&amp;IF(COUNTIF(Settings!$E$14:$E$43,C847&amp;"")&gt;0,"Sensitive account | ","")&amp;IF(AND(MAX(N(E847),N(F847))&gt;=Settings!$C$9,MOD(MAX(N(E847),N(F847)),Settings!$C$10)=0),"Round amount | ",""),LEN(IF(K847="No","Does not balance | ","")&amp;IF(I847="","Not approved | ",IF(UPPER(TRIM(H847))=UPPER(TRIM(I847)),"Self-approved | ",""))&amp;IF(J847="","No support | ","")&amp;IF(WEEKDAY(B847,2)&gt;5,"Weekend posting | ","")&amp;IF(COUNTIF(Settings!$A$14:$A$43,B847)&gt;0,"Holiday posting | ","")&amp;IF(B847&gt;Settings!$C$8,"Posted after close | ","")&amp;IF(OR(B847&lt;Settings!$C$6,B847&gt;Settings!$C$7),"Outside period | ","")&amp;IF(COUNTIF(Settings!$E$14:$E$43,C847&amp;"")&gt;0,"Sensitive account | ","")&amp;IF(AND(MAX(N(E847),N(F847))&gt;=Settings!$C$9,MOD(MAX(N(E847),N(F847)),Settings!$C$10)=0),"Round amount | ",""))-3)))</f>
        <v/>
      </c>
      <c r="M847" s="21" t="str">
        <f aca="false">IF(A847="","",IF(COUNTIF($A$9:A847,A847)=1,MAX($M$8:M846)+1,""))</f>
        <v/>
      </c>
    </row>
    <row r="848" customFormat="false" ht="15" hidden="false" customHeight="false" outlineLevel="0" collapsed="false">
      <c r="A848" s="8"/>
      <c r="B848" s="17"/>
      <c r="C848" s="19"/>
      <c r="D848" s="8"/>
      <c r="E848" s="18"/>
      <c r="F848" s="18"/>
      <c r="G848" s="8"/>
      <c r="H848" s="8"/>
      <c r="I848" s="8"/>
      <c r="J848" s="8"/>
      <c r="K848" s="10" t="str">
        <f aca="false">IF(A848="","",IF(ABS(SUMIFS($E$9:$E$2008,$A$9:$A$2008,A848)-SUMIFS($F$9:$F$2008,$A$9:$A$2008,A848))&lt;0.5,"Yes","No"))</f>
        <v/>
      </c>
      <c r="L848" s="10" t="str">
        <f aca="false">IF(A848="","",IF(IF(K848="No","Does not balance | ","")&amp;IF(I848="","Not approved | ",IF(UPPER(TRIM(H848))=UPPER(TRIM(I848)),"Self-approved | ",""))&amp;IF(J848="","No support | ","")&amp;IF(WEEKDAY(B848,2)&gt;5,"Weekend posting | ","")&amp;IF(COUNTIF(Settings!$A$14:$A$43,B848)&gt;0,"Holiday posting | ","")&amp;IF(B848&gt;Settings!$C$8,"Posted after close | ","")&amp;IF(OR(B848&lt;Settings!$C$6,B848&gt;Settings!$C$7),"Outside period | ","")&amp;IF(COUNTIF(Settings!$E$14:$E$43,C848&amp;"")&gt;0,"Sensitive account | ","")&amp;IF(AND(MAX(N(E848),N(F848))&gt;=Settings!$C$9,MOD(MAX(N(E848),N(F848)),Settings!$C$10)=0),"Round amount | ","")="","",LEFT(IF(K848="No","Does not balance | ","")&amp;IF(I848="","Not approved | ",IF(UPPER(TRIM(H848))=UPPER(TRIM(I848)),"Self-approved | ",""))&amp;IF(J848="","No support | ","")&amp;IF(WEEKDAY(B848,2)&gt;5,"Weekend posting | ","")&amp;IF(COUNTIF(Settings!$A$14:$A$43,B848)&gt;0,"Holiday posting | ","")&amp;IF(B848&gt;Settings!$C$8,"Posted after close | ","")&amp;IF(OR(B848&lt;Settings!$C$6,B848&gt;Settings!$C$7),"Outside period | ","")&amp;IF(COUNTIF(Settings!$E$14:$E$43,C848&amp;"")&gt;0,"Sensitive account | ","")&amp;IF(AND(MAX(N(E848),N(F848))&gt;=Settings!$C$9,MOD(MAX(N(E848),N(F848)),Settings!$C$10)=0),"Round amount | ",""),LEN(IF(K848="No","Does not balance | ","")&amp;IF(I848="","Not approved | ",IF(UPPER(TRIM(H848))=UPPER(TRIM(I848)),"Self-approved | ",""))&amp;IF(J848="","No support | ","")&amp;IF(WEEKDAY(B848,2)&gt;5,"Weekend posting | ","")&amp;IF(COUNTIF(Settings!$A$14:$A$43,B848)&gt;0,"Holiday posting | ","")&amp;IF(B848&gt;Settings!$C$8,"Posted after close | ","")&amp;IF(OR(B848&lt;Settings!$C$6,B848&gt;Settings!$C$7),"Outside period | ","")&amp;IF(COUNTIF(Settings!$E$14:$E$43,C848&amp;"")&gt;0,"Sensitive account | ","")&amp;IF(AND(MAX(N(E848),N(F848))&gt;=Settings!$C$9,MOD(MAX(N(E848),N(F848)),Settings!$C$10)=0),"Round amount | ",""))-3)))</f>
        <v/>
      </c>
      <c r="M848" s="21" t="str">
        <f aca="false">IF(A848="","",IF(COUNTIF($A$9:A848,A848)=1,MAX($M$8:M847)+1,""))</f>
        <v/>
      </c>
    </row>
    <row r="849" customFormat="false" ht="15" hidden="false" customHeight="false" outlineLevel="0" collapsed="false">
      <c r="A849" s="8"/>
      <c r="B849" s="17"/>
      <c r="C849" s="19"/>
      <c r="D849" s="8"/>
      <c r="E849" s="18"/>
      <c r="F849" s="18"/>
      <c r="G849" s="8"/>
      <c r="H849" s="8"/>
      <c r="I849" s="8"/>
      <c r="J849" s="8"/>
      <c r="K849" s="10" t="str">
        <f aca="false">IF(A849="","",IF(ABS(SUMIFS($E$9:$E$2008,$A$9:$A$2008,A849)-SUMIFS($F$9:$F$2008,$A$9:$A$2008,A849))&lt;0.5,"Yes","No"))</f>
        <v/>
      </c>
      <c r="L849" s="10" t="str">
        <f aca="false">IF(A849="","",IF(IF(K849="No","Does not balance | ","")&amp;IF(I849="","Not approved | ",IF(UPPER(TRIM(H849))=UPPER(TRIM(I849)),"Self-approved | ",""))&amp;IF(J849="","No support | ","")&amp;IF(WEEKDAY(B849,2)&gt;5,"Weekend posting | ","")&amp;IF(COUNTIF(Settings!$A$14:$A$43,B849)&gt;0,"Holiday posting | ","")&amp;IF(B849&gt;Settings!$C$8,"Posted after close | ","")&amp;IF(OR(B849&lt;Settings!$C$6,B849&gt;Settings!$C$7),"Outside period | ","")&amp;IF(COUNTIF(Settings!$E$14:$E$43,C849&amp;"")&gt;0,"Sensitive account | ","")&amp;IF(AND(MAX(N(E849),N(F849))&gt;=Settings!$C$9,MOD(MAX(N(E849),N(F849)),Settings!$C$10)=0),"Round amount | ","")="","",LEFT(IF(K849="No","Does not balance | ","")&amp;IF(I849="","Not approved | ",IF(UPPER(TRIM(H849))=UPPER(TRIM(I849)),"Self-approved | ",""))&amp;IF(J849="","No support | ","")&amp;IF(WEEKDAY(B849,2)&gt;5,"Weekend posting | ","")&amp;IF(COUNTIF(Settings!$A$14:$A$43,B849)&gt;0,"Holiday posting | ","")&amp;IF(B849&gt;Settings!$C$8,"Posted after close | ","")&amp;IF(OR(B849&lt;Settings!$C$6,B849&gt;Settings!$C$7),"Outside period | ","")&amp;IF(COUNTIF(Settings!$E$14:$E$43,C849&amp;"")&gt;0,"Sensitive account | ","")&amp;IF(AND(MAX(N(E849),N(F849))&gt;=Settings!$C$9,MOD(MAX(N(E849),N(F849)),Settings!$C$10)=0),"Round amount | ",""),LEN(IF(K849="No","Does not balance | ","")&amp;IF(I849="","Not approved | ",IF(UPPER(TRIM(H849))=UPPER(TRIM(I849)),"Self-approved | ",""))&amp;IF(J849="","No support | ","")&amp;IF(WEEKDAY(B849,2)&gt;5,"Weekend posting | ","")&amp;IF(COUNTIF(Settings!$A$14:$A$43,B849)&gt;0,"Holiday posting | ","")&amp;IF(B849&gt;Settings!$C$8,"Posted after close | ","")&amp;IF(OR(B849&lt;Settings!$C$6,B849&gt;Settings!$C$7),"Outside period | ","")&amp;IF(COUNTIF(Settings!$E$14:$E$43,C849&amp;"")&gt;0,"Sensitive account | ","")&amp;IF(AND(MAX(N(E849),N(F849))&gt;=Settings!$C$9,MOD(MAX(N(E849),N(F849)),Settings!$C$10)=0),"Round amount | ",""))-3)))</f>
        <v/>
      </c>
      <c r="M849" s="21" t="str">
        <f aca="false">IF(A849="","",IF(COUNTIF($A$9:A849,A849)=1,MAX($M$8:M848)+1,""))</f>
        <v/>
      </c>
    </row>
    <row r="850" customFormat="false" ht="15" hidden="false" customHeight="false" outlineLevel="0" collapsed="false">
      <c r="A850" s="8"/>
      <c r="B850" s="17"/>
      <c r="C850" s="19"/>
      <c r="D850" s="8"/>
      <c r="E850" s="18"/>
      <c r="F850" s="18"/>
      <c r="G850" s="8"/>
      <c r="H850" s="8"/>
      <c r="I850" s="8"/>
      <c r="J850" s="8"/>
      <c r="K850" s="10" t="str">
        <f aca="false">IF(A850="","",IF(ABS(SUMIFS($E$9:$E$2008,$A$9:$A$2008,A850)-SUMIFS($F$9:$F$2008,$A$9:$A$2008,A850))&lt;0.5,"Yes","No"))</f>
        <v/>
      </c>
      <c r="L850" s="10" t="str">
        <f aca="false">IF(A850="","",IF(IF(K850="No","Does not balance | ","")&amp;IF(I850="","Not approved | ",IF(UPPER(TRIM(H850))=UPPER(TRIM(I850)),"Self-approved | ",""))&amp;IF(J850="","No support | ","")&amp;IF(WEEKDAY(B850,2)&gt;5,"Weekend posting | ","")&amp;IF(COUNTIF(Settings!$A$14:$A$43,B850)&gt;0,"Holiday posting | ","")&amp;IF(B850&gt;Settings!$C$8,"Posted after close | ","")&amp;IF(OR(B850&lt;Settings!$C$6,B850&gt;Settings!$C$7),"Outside period | ","")&amp;IF(COUNTIF(Settings!$E$14:$E$43,C850&amp;"")&gt;0,"Sensitive account | ","")&amp;IF(AND(MAX(N(E850),N(F850))&gt;=Settings!$C$9,MOD(MAX(N(E850),N(F850)),Settings!$C$10)=0),"Round amount | ","")="","",LEFT(IF(K850="No","Does not balance | ","")&amp;IF(I850="","Not approved | ",IF(UPPER(TRIM(H850))=UPPER(TRIM(I850)),"Self-approved | ",""))&amp;IF(J850="","No support | ","")&amp;IF(WEEKDAY(B850,2)&gt;5,"Weekend posting | ","")&amp;IF(COUNTIF(Settings!$A$14:$A$43,B850)&gt;0,"Holiday posting | ","")&amp;IF(B850&gt;Settings!$C$8,"Posted after close | ","")&amp;IF(OR(B850&lt;Settings!$C$6,B850&gt;Settings!$C$7),"Outside period | ","")&amp;IF(COUNTIF(Settings!$E$14:$E$43,C850&amp;"")&gt;0,"Sensitive account | ","")&amp;IF(AND(MAX(N(E850),N(F850))&gt;=Settings!$C$9,MOD(MAX(N(E850),N(F850)),Settings!$C$10)=0),"Round amount | ",""),LEN(IF(K850="No","Does not balance | ","")&amp;IF(I850="","Not approved | ",IF(UPPER(TRIM(H850))=UPPER(TRIM(I850)),"Self-approved | ",""))&amp;IF(J850="","No support | ","")&amp;IF(WEEKDAY(B850,2)&gt;5,"Weekend posting | ","")&amp;IF(COUNTIF(Settings!$A$14:$A$43,B850)&gt;0,"Holiday posting | ","")&amp;IF(B850&gt;Settings!$C$8,"Posted after close | ","")&amp;IF(OR(B850&lt;Settings!$C$6,B850&gt;Settings!$C$7),"Outside period | ","")&amp;IF(COUNTIF(Settings!$E$14:$E$43,C850&amp;"")&gt;0,"Sensitive account | ","")&amp;IF(AND(MAX(N(E850),N(F850))&gt;=Settings!$C$9,MOD(MAX(N(E850),N(F850)),Settings!$C$10)=0),"Round amount | ",""))-3)))</f>
        <v/>
      </c>
      <c r="M850" s="21" t="str">
        <f aca="false">IF(A850="","",IF(COUNTIF($A$9:A850,A850)=1,MAX($M$8:M849)+1,""))</f>
        <v/>
      </c>
    </row>
    <row r="851" customFormat="false" ht="15" hidden="false" customHeight="false" outlineLevel="0" collapsed="false">
      <c r="A851" s="8"/>
      <c r="B851" s="17"/>
      <c r="C851" s="19"/>
      <c r="D851" s="8"/>
      <c r="E851" s="18"/>
      <c r="F851" s="18"/>
      <c r="G851" s="8"/>
      <c r="H851" s="8"/>
      <c r="I851" s="8"/>
      <c r="J851" s="8"/>
      <c r="K851" s="10" t="str">
        <f aca="false">IF(A851="","",IF(ABS(SUMIFS($E$9:$E$2008,$A$9:$A$2008,A851)-SUMIFS($F$9:$F$2008,$A$9:$A$2008,A851))&lt;0.5,"Yes","No"))</f>
        <v/>
      </c>
      <c r="L851" s="10" t="str">
        <f aca="false">IF(A851="","",IF(IF(K851="No","Does not balance | ","")&amp;IF(I851="","Not approved | ",IF(UPPER(TRIM(H851))=UPPER(TRIM(I851)),"Self-approved | ",""))&amp;IF(J851="","No support | ","")&amp;IF(WEEKDAY(B851,2)&gt;5,"Weekend posting | ","")&amp;IF(COUNTIF(Settings!$A$14:$A$43,B851)&gt;0,"Holiday posting | ","")&amp;IF(B851&gt;Settings!$C$8,"Posted after close | ","")&amp;IF(OR(B851&lt;Settings!$C$6,B851&gt;Settings!$C$7),"Outside period | ","")&amp;IF(COUNTIF(Settings!$E$14:$E$43,C851&amp;"")&gt;0,"Sensitive account | ","")&amp;IF(AND(MAX(N(E851),N(F851))&gt;=Settings!$C$9,MOD(MAX(N(E851),N(F851)),Settings!$C$10)=0),"Round amount | ","")="","",LEFT(IF(K851="No","Does not balance | ","")&amp;IF(I851="","Not approved | ",IF(UPPER(TRIM(H851))=UPPER(TRIM(I851)),"Self-approved | ",""))&amp;IF(J851="","No support | ","")&amp;IF(WEEKDAY(B851,2)&gt;5,"Weekend posting | ","")&amp;IF(COUNTIF(Settings!$A$14:$A$43,B851)&gt;0,"Holiday posting | ","")&amp;IF(B851&gt;Settings!$C$8,"Posted after close | ","")&amp;IF(OR(B851&lt;Settings!$C$6,B851&gt;Settings!$C$7),"Outside period | ","")&amp;IF(COUNTIF(Settings!$E$14:$E$43,C851&amp;"")&gt;0,"Sensitive account | ","")&amp;IF(AND(MAX(N(E851),N(F851))&gt;=Settings!$C$9,MOD(MAX(N(E851),N(F851)),Settings!$C$10)=0),"Round amount | ",""),LEN(IF(K851="No","Does not balance | ","")&amp;IF(I851="","Not approved | ",IF(UPPER(TRIM(H851))=UPPER(TRIM(I851)),"Self-approved | ",""))&amp;IF(J851="","No support | ","")&amp;IF(WEEKDAY(B851,2)&gt;5,"Weekend posting | ","")&amp;IF(COUNTIF(Settings!$A$14:$A$43,B851)&gt;0,"Holiday posting | ","")&amp;IF(B851&gt;Settings!$C$8,"Posted after close | ","")&amp;IF(OR(B851&lt;Settings!$C$6,B851&gt;Settings!$C$7),"Outside period | ","")&amp;IF(COUNTIF(Settings!$E$14:$E$43,C851&amp;"")&gt;0,"Sensitive account | ","")&amp;IF(AND(MAX(N(E851),N(F851))&gt;=Settings!$C$9,MOD(MAX(N(E851),N(F851)),Settings!$C$10)=0),"Round amount | ",""))-3)))</f>
        <v/>
      </c>
      <c r="M851" s="21" t="str">
        <f aca="false">IF(A851="","",IF(COUNTIF($A$9:A851,A851)=1,MAX($M$8:M850)+1,""))</f>
        <v/>
      </c>
    </row>
    <row r="852" customFormat="false" ht="15" hidden="false" customHeight="false" outlineLevel="0" collapsed="false">
      <c r="A852" s="8"/>
      <c r="B852" s="17"/>
      <c r="C852" s="19"/>
      <c r="D852" s="8"/>
      <c r="E852" s="18"/>
      <c r="F852" s="18"/>
      <c r="G852" s="8"/>
      <c r="H852" s="8"/>
      <c r="I852" s="8"/>
      <c r="J852" s="8"/>
      <c r="K852" s="10" t="str">
        <f aca="false">IF(A852="","",IF(ABS(SUMIFS($E$9:$E$2008,$A$9:$A$2008,A852)-SUMIFS($F$9:$F$2008,$A$9:$A$2008,A852))&lt;0.5,"Yes","No"))</f>
        <v/>
      </c>
      <c r="L852" s="10" t="str">
        <f aca="false">IF(A852="","",IF(IF(K852="No","Does not balance | ","")&amp;IF(I852="","Not approved | ",IF(UPPER(TRIM(H852))=UPPER(TRIM(I852)),"Self-approved | ",""))&amp;IF(J852="","No support | ","")&amp;IF(WEEKDAY(B852,2)&gt;5,"Weekend posting | ","")&amp;IF(COUNTIF(Settings!$A$14:$A$43,B852)&gt;0,"Holiday posting | ","")&amp;IF(B852&gt;Settings!$C$8,"Posted after close | ","")&amp;IF(OR(B852&lt;Settings!$C$6,B852&gt;Settings!$C$7),"Outside period | ","")&amp;IF(COUNTIF(Settings!$E$14:$E$43,C852&amp;"")&gt;0,"Sensitive account | ","")&amp;IF(AND(MAX(N(E852),N(F852))&gt;=Settings!$C$9,MOD(MAX(N(E852),N(F852)),Settings!$C$10)=0),"Round amount | ","")="","",LEFT(IF(K852="No","Does not balance | ","")&amp;IF(I852="","Not approved | ",IF(UPPER(TRIM(H852))=UPPER(TRIM(I852)),"Self-approved | ",""))&amp;IF(J852="","No support | ","")&amp;IF(WEEKDAY(B852,2)&gt;5,"Weekend posting | ","")&amp;IF(COUNTIF(Settings!$A$14:$A$43,B852)&gt;0,"Holiday posting | ","")&amp;IF(B852&gt;Settings!$C$8,"Posted after close | ","")&amp;IF(OR(B852&lt;Settings!$C$6,B852&gt;Settings!$C$7),"Outside period | ","")&amp;IF(COUNTIF(Settings!$E$14:$E$43,C852&amp;"")&gt;0,"Sensitive account | ","")&amp;IF(AND(MAX(N(E852),N(F852))&gt;=Settings!$C$9,MOD(MAX(N(E852),N(F852)),Settings!$C$10)=0),"Round amount | ",""),LEN(IF(K852="No","Does not balance | ","")&amp;IF(I852="","Not approved | ",IF(UPPER(TRIM(H852))=UPPER(TRIM(I852)),"Self-approved | ",""))&amp;IF(J852="","No support | ","")&amp;IF(WEEKDAY(B852,2)&gt;5,"Weekend posting | ","")&amp;IF(COUNTIF(Settings!$A$14:$A$43,B852)&gt;0,"Holiday posting | ","")&amp;IF(B852&gt;Settings!$C$8,"Posted after close | ","")&amp;IF(OR(B852&lt;Settings!$C$6,B852&gt;Settings!$C$7),"Outside period | ","")&amp;IF(COUNTIF(Settings!$E$14:$E$43,C852&amp;"")&gt;0,"Sensitive account | ","")&amp;IF(AND(MAX(N(E852),N(F852))&gt;=Settings!$C$9,MOD(MAX(N(E852),N(F852)),Settings!$C$10)=0),"Round amount | ",""))-3)))</f>
        <v/>
      </c>
      <c r="M852" s="21" t="str">
        <f aca="false">IF(A852="","",IF(COUNTIF($A$9:A852,A852)=1,MAX($M$8:M851)+1,""))</f>
        <v/>
      </c>
    </row>
    <row r="853" customFormat="false" ht="15" hidden="false" customHeight="false" outlineLevel="0" collapsed="false">
      <c r="A853" s="8"/>
      <c r="B853" s="17"/>
      <c r="C853" s="19"/>
      <c r="D853" s="8"/>
      <c r="E853" s="18"/>
      <c r="F853" s="18"/>
      <c r="G853" s="8"/>
      <c r="H853" s="8"/>
      <c r="I853" s="8"/>
      <c r="J853" s="8"/>
      <c r="K853" s="10" t="str">
        <f aca="false">IF(A853="","",IF(ABS(SUMIFS($E$9:$E$2008,$A$9:$A$2008,A853)-SUMIFS($F$9:$F$2008,$A$9:$A$2008,A853))&lt;0.5,"Yes","No"))</f>
        <v/>
      </c>
      <c r="L853" s="10" t="str">
        <f aca="false">IF(A853="","",IF(IF(K853="No","Does not balance | ","")&amp;IF(I853="","Not approved | ",IF(UPPER(TRIM(H853))=UPPER(TRIM(I853)),"Self-approved | ",""))&amp;IF(J853="","No support | ","")&amp;IF(WEEKDAY(B853,2)&gt;5,"Weekend posting | ","")&amp;IF(COUNTIF(Settings!$A$14:$A$43,B853)&gt;0,"Holiday posting | ","")&amp;IF(B853&gt;Settings!$C$8,"Posted after close | ","")&amp;IF(OR(B853&lt;Settings!$C$6,B853&gt;Settings!$C$7),"Outside period | ","")&amp;IF(COUNTIF(Settings!$E$14:$E$43,C853&amp;"")&gt;0,"Sensitive account | ","")&amp;IF(AND(MAX(N(E853),N(F853))&gt;=Settings!$C$9,MOD(MAX(N(E853),N(F853)),Settings!$C$10)=0),"Round amount | ","")="","",LEFT(IF(K853="No","Does not balance | ","")&amp;IF(I853="","Not approved | ",IF(UPPER(TRIM(H853))=UPPER(TRIM(I853)),"Self-approved | ",""))&amp;IF(J853="","No support | ","")&amp;IF(WEEKDAY(B853,2)&gt;5,"Weekend posting | ","")&amp;IF(COUNTIF(Settings!$A$14:$A$43,B853)&gt;0,"Holiday posting | ","")&amp;IF(B853&gt;Settings!$C$8,"Posted after close | ","")&amp;IF(OR(B853&lt;Settings!$C$6,B853&gt;Settings!$C$7),"Outside period | ","")&amp;IF(COUNTIF(Settings!$E$14:$E$43,C853&amp;"")&gt;0,"Sensitive account | ","")&amp;IF(AND(MAX(N(E853),N(F853))&gt;=Settings!$C$9,MOD(MAX(N(E853),N(F853)),Settings!$C$10)=0),"Round amount | ",""),LEN(IF(K853="No","Does not balance | ","")&amp;IF(I853="","Not approved | ",IF(UPPER(TRIM(H853))=UPPER(TRIM(I853)),"Self-approved | ",""))&amp;IF(J853="","No support | ","")&amp;IF(WEEKDAY(B853,2)&gt;5,"Weekend posting | ","")&amp;IF(COUNTIF(Settings!$A$14:$A$43,B853)&gt;0,"Holiday posting | ","")&amp;IF(B853&gt;Settings!$C$8,"Posted after close | ","")&amp;IF(OR(B853&lt;Settings!$C$6,B853&gt;Settings!$C$7),"Outside period | ","")&amp;IF(COUNTIF(Settings!$E$14:$E$43,C853&amp;"")&gt;0,"Sensitive account | ","")&amp;IF(AND(MAX(N(E853),N(F853))&gt;=Settings!$C$9,MOD(MAX(N(E853),N(F853)),Settings!$C$10)=0),"Round amount | ",""))-3)))</f>
        <v/>
      </c>
      <c r="M853" s="21" t="str">
        <f aca="false">IF(A853="","",IF(COUNTIF($A$9:A853,A853)=1,MAX($M$8:M852)+1,""))</f>
        <v/>
      </c>
    </row>
    <row r="854" customFormat="false" ht="15" hidden="false" customHeight="false" outlineLevel="0" collapsed="false">
      <c r="A854" s="8"/>
      <c r="B854" s="17"/>
      <c r="C854" s="19"/>
      <c r="D854" s="8"/>
      <c r="E854" s="18"/>
      <c r="F854" s="18"/>
      <c r="G854" s="8"/>
      <c r="H854" s="8"/>
      <c r="I854" s="8"/>
      <c r="J854" s="8"/>
      <c r="K854" s="10" t="str">
        <f aca="false">IF(A854="","",IF(ABS(SUMIFS($E$9:$E$2008,$A$9:$A$2008,A854)-SUMIFS($F$9:$F$2008,$A$9:$A$2008,A854))&lt;0.5,"Yes","No"))</f>
        <v/>
      </c>
      <c r="L854" s="10" t="str">
        <f aca="false">IF(A854="","",IF(IF(K854="No","Does not balance | ","")&amp;IF(I854="","Not approved | ",IF(UPPER(TRIM(H854))=UPPER(TRIM(I854)),"Self-approved | ",""))&amp;IF(J854="","No support | ","")&amp;IF(WEEKDAY(B854,2)&gt;5,"Weekend posting | ","")&amp;IF(COUNTIF(Settings!$A$14:$A$43,B854)&gt;0,"Holiday posting | ","")&amp;IF(B854&gt;Settings!$C$8,"Posted after close | ","")&amp;IF(OR(B854&lt;Settings!$C$6,B854&gt;Settings!$C$7),"Outside period | ","")&amp;IF(COUNTIF(Settings!$E$14:$E$43,C854&amp;"")&gt;0,"Sensitive account | ","")&amp;IF(AND(MAX(N(E854),N(F854))&gt;=Settings!$C$9,MOD(MAX(N(E854),N(F854)),Settings!$C$10)=0),"Round amount | ","")="","",LEFT(IF(K854="No","Does not balance | ","")&amp;IF(I854="","Not approved | ",IF(UPPER(TRIM(H854))=UPPER(TRIM(I854)),"Self-approved | ",""))&amp;IF(J854="","No support | ","")&amp;IF(WEEKDAY(B854,2)&gt;5,"Weekend posting | ","")&amp;IF(COUNTIF(Settings!$A$14:$A$43,B854)&gt;0,"Holiday posting | ","")&amp;IF(B854&gt;Settings!$C$8,"Posted after close | ","")&amp;IF(OR(B854&lt;Settings!$C$6,B854&gt;Settings!$C$7),"Outside period | ","")&amp;IF(COUNTIF(Settings!$E$14:$E$43,C854&amp;"")&gt;0,"Sensitive account | ","")&amp;IF(AND(MAX(N(E854),N(F854))&gt;=Settings!$C$9,MOD(MAX(N(E854),N(F854)),Settings!$C$10)=0),"Round amount | ",""),LEN(IF(K854="No","Does not balance | ","")&amp;IF(I854="","Not approved | ",IF(UPPER(TRIM(H854))=UPPER(TRIM(I854)),"Self-approved | ",""))&amp;IF(J854="","No support | ","")&amp;IF(WEEKDAY(B854,2)&gt;5,"Weekend posting | ","")&amp;IF(COUNTIF(Settings!$A$14:$A$43,B854)&gt;0,"Holiday posting | ","")&amp;IF(B854&gt;Settings!$C$8,"Posted after close | ","")&amp;IF(OR(B854&lt;Settings!$C$6,B854&gt;Settings!$C$7),"Outside period | ","")&amp;IF(COUNTIF(Settings!$E$14:$E$43,C854&amp;"")&gt;0,"Sensitive account | ","")&amp;IF(AND(MAX(N(E854),N(F854))&gt;=Settings!$C$9,MOD(MAX(N(E854),N(F854)),Settings!$C$10)=0),"Round amount | ",""))-3)))</f>
        <v/>
      </c>
      <c r="M854" s="21" t="str">
        <f aca="false">IF(A854="","",IF(COUNTIF($A$9:A854,A854)=1,MAX($M$8:M853)+1,""))</f>
        <v/>
      </c>
    </row>
    <row r="855" customFormat="false" ht="15" hidden="false" customHeight="false" outlineLevel="0" collapsed="false">
      <c r="A855" s="8"/>
      <c r="B855" s="17"/>
      <c r="C855" s="19"/>
      <c r="D855" s="8"/>
      <c r="E855" s="18"/>
      <c r="F855" s="18"/>
      <c r="G855" s="8"/>
      <c r="H855" s="8"/>
      <c r="I855" s="8"/>
      <c r="J855" s="8"/>
      <c r="K855" s="10" t="str">
        <f aca="false">IF(A855="","",IF(ABS(SUMIFS($E$9:$E$2008,$A$9:$A$2008,A855)-SUMIFS($F$9:$F$2008,$A$9:$A$2008,A855))&lt;0.5,"Yes","No"))</f>
        <v/>
      </c>
      <c r="L855" s="10" t="str">
        <f aca="false">IF(A855="","",IF(IF(K855="No","Does not balance | ","")&amp;IF(I855="","Not approved | ",IF(UPPER(TRIM(H855))=UPPER(TRIM(I855)),"Self-approved | ",""))&amp;IF(J855="","No support | ","")&amp;IF(WEEKDAY(B855,2)&gt;5,"Weekend posting | ","")&amp;IF(COUNTIF(Settings!$A$14:$A$43,B855)&gt;0,"Holiday posting | ","")&amp;IF(B855&gt;Settings!$C$8,"Posted after close | ","")&amp;IF(OR(B855&lt;Settings!$C$6,B855&gt;Settings!$C$7),"Outside period | ","")&amp;IF(COUNTIF(Settings!$E$14:$E$43,C855&amp;"")&gt;0,"Sensitive account | ","")&amp;IF(AND(MAX(N(E855),N(F855))&gt;=Settings!$C$9,MOD(MAX(N(E855),N(F855)),Settings!$C$10)=0),"Round amount | ","")="","",LEFT(IF(K855="No","Does not balance | ","")&amp;IF(I855="","Not approved | ",IF(UPPER(TRIM(H855))=UPPER(TRIM(I855)),"Self-approved | ",""))&amp;IF(J855="","No support | ","")&amp;IF(WEEKDAY(B855,2)&gt;5,"Weekend posting | ","")&amp;IF(COUNTIF(Settings!$A$14:$A$43,B855)&gt;0,"Holiday posting | ","")&amp;IF(B855&gt;Settings!$C$8,"Posted after close | ","")&amp;IF(OR(B855&lt;Settings!$C$6,B855&gt;Settings!$C$7),"Outside period | ","")&amp;IF(COUNTIF(Settings!$E$14:$E$43,C855&amp;"")&gt;0,"Sensitive account | ","")&amp;IF(AND(MAX(N(E855),N(F855))&gt;=Settings!$C$9,MOD(MAX(N(E855),N(F855)),Settings!$C$10)=0),"Round amount | ",""),LEN(IF(K855="No","Does not balance | ","")&amp;IF(I855="","Not approved | ",IF(UPPER(TRIM(H855))=UPPER(TRIM(I855)),"Self-approved | ",""))&amp;IF(J855="","No support | ","")&amp;IF(WEEKDAY(B855,2)&gt;5,"Weekend posting | ","")&amp;IF(COUNTIF(Settings!$A$14:$A$43,B855)&gt;0,"Holiday posting | ","")&amp;IF(B855&gt;Settings!$C$8,"Posted after close | ","")&amp;IF(OR(B855&lt;Settings!$C$6,B855&gt;Settings!$C$7),"Outside period | ","")&amp;IF(COUNTIF(Settings!$E$14:$E$43,C855&amp;"")&gt;0,"Sensitive account | ","")&amp;IF(AND(MAX(N(E855),N(F855))&gt;=Settings!$C$9,MOD(MAX(N(E855),N(F855)),Settings!$C$10)=0),"Round amount | ",""))-3)))</f>
        <v/>
      </c>
      <c r="M855" s="21" t="str">
        <f aca="false">IF(A855="","",IF(COUNTIF($A$9:A855,A855)=1,MAX($M$8:M854)+1,""))</f>
        <v/>
      </c>
    </row>
    <row r="856" customFormat="false" ht="15" hidden="false" customHeight="false" outlineLevel="0" collapsed="false">
      <c r="A856" s="8"/>
      <c r="B856" s="17"/>
      <c r="C856" s="19"/>
      <c r="D856" s="8"/>
      <c r="E856" s="18"/>
      <c r="F856" s="18"/>
      <c r="G856" s="8"/>
      <c r="H856" s="8"/>
      <c r="I856" s="8"/>
      <c r="J856" s="8"/>
      <c r="K856" s="10" t="str">
        <f aca="false">IF(A856="","",IF(ABS(SUMIFS($E$9:$E$2008,$A$9:$A$2008,A856)-SUMIFS($F$9:$F$2008,$A$9:$A$2008,A856))&lt;0.5,"Yes","No"))</f>
        <v/>
      </c>
      <c r="L856" s="10" t="str">
        <f aca="false">IF(A856="","",IF(IF(K856="No","Does not balance | ","")&amp;IF(I856="","Not approved | ",IF(UPPER(TRIM(H856))=UPPER(TRIM(I856)),"Self-approved | ",""))&amp;IF(J856="","No support | ","")&amp;IF(WEEKDAY(B856,2)&gt;5,"Weekend posting | ","")&amp;IF(COUNTIF(Settings!$A$14:$A$43,B856)&gt;0,"Holiday posting | ","")&amp;IF(B856&gt;Settings!$C$8,"Posted after close | ","")&amp;IF(OR(B856&lt;Settings!$C$6,B856&gt;Settings!$C$7),"Outside period | ","")&amp;IF(COUNTIF(Settings!$E$14:$E$43,C856&amp;"")&gt;0,"Sensitive account | ","")&amp;IF(AND(MAX(N(E856),N(F856))&gt;=Settings!$C$9,MOD(MAX(N(E856),N(F856)),Settings!$C$10)=0),"Round amount | ","")="","",LEFT(IF(K856="No","Does not balance | ","")&amp;IF(I856="","Not approved | ",IF(UPPER(TRIM(H856))=UPPER(TRIM(I856)),"Self-approved | ",""))&amp;IF(J856="","No support | ","")&amp;IF(WEEKDAY(B856,2)&gt;5,"Weekend posting | ","")&amp;IF(COUNTIF(Settings!$A$14:$A$43,B856)&gt;0,"Holiday posting | ","")&amp;IF(B856&gt;Settings!$C$8,"Posted after close | ","")&amp;IF(OR(B856&lt;Settings!$C$6,B856&gt;Settings!$C$7),"Outside period | ","")&amp;IF(COUNTIF(Settings!$E$14:$E$43,C856&amp;"")&gt;0,"Sensitive account | ","")&amp;IF(AND(MAX(N(E856),N(F856))&gt;=Settings!$C$9,MOD(MAX(N(E856),N(F856)),Settings!$C$10)=0),"Round amount | ",""),LEN(IF(K856="No","Does not balance | ","")&amp;IF(I856="","Not approved | ",IF(UPPER(TRIM(H856))=UPPER(TRIM(I856)),"Self-approved | ",""))&amp;IF(J856="","No support | ","")&amp;IF(WEEKDAY(B856,2)&gt;5,"Weekend posting | ","")&amp;IF(COUNTIF(Settings!$A$14:$A$43,B856)&gt;0,"Holiday posting | ","")&amp;IF(B856&gt;Settings!$C$8,"Posted after close | ","")&amp;IF(OR(B856&lt;Settings!$C$6,B856&gt;Settings!$C$7),"Outside period | ","")&amp;IF(COUNTIF(Settings!$E$14:$E$43,C856&amp;"")&gt;0,"Sensitive account | ","")&amp;IF(AND(MAX(N(E856),N(F856))&gt;=Settings!$C$9,MOD(MAX(N(E856),N(F856)),Settings!$C$10)=0),"Round amount | ",""))-3)))</f>
        <v/>
      </c>
      <c r="M856" s="21" t="str">
        <f aca="false">IF(A856="","",IF(COUNTIF($A$9:A856,A856)=1,MAX($M$8:M855)+1,""))</f>
        <v/>
      </c>
    </row>
    <row r="857" customFormat="false" ht="15" hidden="false" customHeight="false" outlineLevel="0" collapsed="false">
      <c r="A857" s="8"/>
      <c r="B857" s="17"/>
      <c r="C857" s="19"/>
      <c r="D857" s="8"/>
      <c r="E857" s="18"/>
      <c r="F857" s="18"/>
      <c r="G857" s="8"/>
      <c r="H857" s="8"/>
      <c r="I857" s="8"/>
      <c r="J857" s="8"/>
      <c r="K857" s="10" t="str">
        <f aca="false">IF(A857="","",IF(ABS(SUMIFS($E$9:$E$2008,$A$9:$A$2008,A857)-SUMIFS($F$9:$F$2008,$A$9:$A$2008,A857))&lt;0.5,"Yes","No"))</f>
        <v/>
      </c>
      <c r="L857" s="10" t="str">
        <f aca="false">IF(A857="","",IF(IF(K857="No","Does not balance | ","")&amp;IF(I857="","Not approved | ",IF(UPPER(TRIM(H857))=UPPER(TRIM(I857)),"Self-approved | ",""))&amp;IF(J857="","No support | ","")&amp;IF(WEEKDAY(B857,2)&gt;5,"Weekend posting | ","")&amp;IF(COUNTIF(Settings!$A$14:$A$43,B857)&gt;0,"Holiday posting | ","")&amp;IF(B857&gt;Settings!$C$8,"Posted after close | ","")&amp;IF(OR(B857&lt;Settings!$C$6,B857&gt;Settings!$C$7),"Outside period | ","")&amp;IF(COUNTIF(Settings!$E$14:$E$43,C857&amp;"")&gt;0,"Sensitive account | ","")&amp;IF(AND(MAX(N(E857),N(F857))&gt;=Settings!$C$9,MOD(MAX(N(E857),N(F857)),Settings!$C$10)=0),"Round amount | ","")="","",LEFT(IF(K857="No","Does not balance | ","")&amp;IF(I857="","Not approved | ",IF(UPPER(TRIM(H857))=UPPER(TRIM(I857)),"Self-approved | ",""))&amp;IF(J857="","No support | ","")&amp;IF(WEEKDAY(B857,2)&gt;5,"Weekend posting | ","")&amp;IF(COUNTIF(Settings!$A$14:$A$43,B857)&gt;0,"Holiday posting | ","")&amp;IF(B857&gt;Settings!$C$8,"Posted after close | ","")&amp;IF(OR(B857&lt;Settings!$C$6,B857&gt;Settings!$C$7),"Outside period | ","")&amp;IF(COUNTIF(Settings!$E$14:$E$43,C857&amp;"")&gt;0,"Sensitive account | ","")&amp;IF(AND(MAX(N(E857),N(F857))&gt;=Settings!$C$9,MOD(MAX(N(E857),N(F857)),Settings!$C$10)=0),"Round amount | ",""),LEN(IF(K857="No","Does not balance | ","")&amp;IF(I857="","Not approved | ",IF(UPPER(TRIM(H857))=UPPER(TRIM(I857)),"Self-approved | ",""))&amp;IF(J857="","No support | ","")&amp;IF(WEEKDAY(B857,2)&gt;5,"Weekend posting | ","")&amp;IF(COUNTIF(Settings!$A$14:$A$43,B857)&gt;0,"Holiday posting | ","")&amp;IF(B857&gt;Settings!$C$8,"Posted after close | ","")&amp;IF(OR(B857&lt;Settings!$C$6,B857&gt;Settings!$C$7),"Outside period | ","")&amp;IF(COUNTIF(Settings!$E$14:$E$43,C857&amp;"")&gt;0,"Sensitive account | ","")&amp;IF(AND(MAX(N(E857),N(F857))&gt;=Settings!$C$9,MOD(MAX(N(E857),N(F857)),Settings!$C$10)=0),"Round amount | ",""))-3)))</f>
        <v/>
      </c>
      <c r="M857" s="21" t="str">
        <f aca="false">IF(A857="","",IF(COUNTIF($A$9:A857,A857)=1,MAX($M$8:M856)+1,""))</f>
        <v/>
      </c>
    </row>
    <row r="858" customFormat="false" ht="15" hidden="false" customHeight="false" outlineLevel="0" collapsed="false">
      <c r="A858" s="8"/>
      <c r="B858" s="17"/>
      <c r="C858" s="19"/>
      <c r="D858" s="8"/>
      <c r="E858" s="18"/>
      <c r="F858" s="18"/>
      <c r="G858" s="8"/>
      <c r="H858" s="8"/>
      <c r="I858" s="8"/>
      <c r="J858" s="8"/>
      <c r="K858" s="10" t="str">
        <f aca="false">IF(A858="","",IF(ABS(SUMIFS($E$9:$E$2008,$A$9:$A$2008,A858)-SUMIFS($F$9:$F$2008,$A$9:$A$2008,A858))&lt;0.5,"Yes","No"))</f>
        <v/>
      </c>
      <c r="L858" s="10" t="str">
        <f aca="false">IF(A858="","",IF(IF(K858="No","Does not balance | ","")&amp;IF(I858="","Not approved | ",IF(UPPER(TRIM(H858))=UPPER(TRIM(I858)),"Self-approved | ",""))&amp;IF(J858="","No support | ","")&amp;IF(WEEKDAY(B858,2)&gt;5,"Weekend posting | ","")&amp;IF(COUNTIF(Settings!$A$14:$A$43,B858)&gt;0,"Holiday posting | ","")&amp;IF(B858&gt;Settings!$C$8,"Posted after close | ","")&amp;IF(OR(B858&lt;Settings!$C$6,B858&gt;Settings!$C$7),"Outside period | ","")&amp;IF(COUNTIF(Settings!$E$14:$E$43,C858&amp;"")&gt;0,"Sensitive account | ","")&amp;IF(AND(MAX(N(E858),N(F858))&gt;=Settings!$C$9,MOD(MAX(N(E858),N(F858)),Settings!$C$10)=0),"Round amount | ","")="","",LEFT(IF(K858="No","Does not balance | ","")&amp;IF(I858="","Not approved | ",IF(UPPER(TRIM(H858))=UPPER(TRIM(I858)),"Self-approved | ",""))&amp;IF(J858="","No support | ","")&amp;IF(WEEKDAY(B858,2)&gt;5,"Weekend posting | ","")&amp;IF(COUNTIF(Settings!$A$14:$A$43,B858)&gt;0,"Holiday posting | ","")&amp;IF(B858&gt;Settings!$C$8,"Posted after close | ","")&amp;IF(OR(B858&lt;Settings!$C$6,B858&gt;Settings!$C$7),"Outside period | ","")&amp;IF(COUNTIF(Settings!$E$14:$E$43,C858&amp;"")&gt;0,"Sensitive account | ","")&amp;IF(AND(MAX(N(E858),N(F858))&gt;=Settings!$C$9,MOD(MAX(N(E858),N(F858)),Settings!$C$10)=0),"Round amount | ",""),LEN(IF(K858="No","Does not balance | ","")&amp;IF(I858="","Not approved | ",IF(UPPER(TRIM(H858))=UPPER(TRIM(I858)),"Self-approved | ",""))&amp;IF(J858="","No support | ","")&amp;IF(WEEKDAY(B858,2)&gt;5,"Weekend posting | ","")&amp;IF(COUNTIF(Settings!$A$14:$A$43,B858)&gt;0,"Holiday posting | ","")&amp;IF(B858&gt;Settings!$C$8,"Posted after close | ","")&amp;IF(OR(B858&lt;Settings!$C$6,B858&gt;Settings!$C$7),"Outside period | ","")&amp;IF(COUNTIF(Settings!$E$14:$E$43,C858&amp;"")&gt;0,"Sensitive account | ","")&amp;IF(AND(MAX(N(E858),N(F858))&gt;=Settings!$C$9,MOD(MAX(N(E858),N(F858)),Settings!$C$10)=0),"Round amount | ",""))-3)))</f>
        <v/>
      </c>
      <c r="M858" s="21" t="str">
        <f aca="false">IF(A858="","",IF(COUNTIF($A$9:A858,A858)=1,MAX($M$8:M857)+1,""))</f>
        <v/>
      </c>
    </row>
    <row r="859" customFormat="false" ht="15" hidden="false" customHeight="false" outlineLevel="0" collapsed="false">
      <c r="A859" s="8"/>
      <c r="B859" s="17"/>
      <c r="C859" s="19"/>
      <c r="D859" s="8"/>
      <c r="E859" s="18"/>
      <c r="F859" s="18"/>
      <c r="G859" s="8"/>
      <c r="H859" s="8"/>
      <c r="I859" s="8"/>
      <c r="J859" s="8"/>
      <c r="K859" s="10" t="str">
        <f aca="false">IF(A859="","",IF(ABS(SUMIFS($E$9:$E$2008,$A$9:$A$2008,A859)-SUMIFS($F$9:$F$2008,$A$9:$A$2008,A859))&lt;0.5,"Yes","No"))</f>
        <v/>
      </c>
      <c r="L859" s="10" t="str">
        <f aca="false">IF(A859="","",IF(IF(K859="No","Does not balance | ","")&amp;IF(I859="","Not approved | ",IF(UPPER(TRIM(H859))=UPPER(TRIM(I859)),"Self-approved | ",""))&amp;IF(J859="","No support | ","")&amp;IF(WEEKDAY(B859,2)&gt;5,"Weekend posting | ","")&amp;IF(COUNTIF(Settings!$A$14:$A$43,B859)&gt;0,"Holiday posting | ","")&amp;IF(B859&gt;Settings!$C$8,"Posted after close | ","")&amp;IF(OR(B859&lt;Settings!$C$6,B859&gt;Settings!$C$7),"Outside period | ","")&amp;IF(COUNTIF(Settings!$E$14:$E$43,C859&amp;"")&gt;0,"Sensitive account | ","")&amp;IF(AND(MAX(N(E859),N(F859))&gt;=Settings!$C$9,MOD(MAX(N(E859),N(F859)),Settings!$C$10)=0),"Round amount | ","")="","",LEFT(IF(K859="No","Does not balance | ","")&amp;IF(I859="","Not approved | ",IF(UPPER(TRIM(H859))=UPPER(TRIM(I859)),"Self-approved | ",""))&amp;IF(J859="","No support | ","")&amp;IF(WEEKDAY(B859,2)&gt;5,"Weekend posting | ","")&amp;IF(COUNTIF(Settings!$A$14:$A$43,B859)&gt;0,"Holiday posting | ","")&amp;IF(B859&gt;Settings!$C$8,"Posted after close | ","")&amp;IF(OR(B859&lt;Settings!$C$6,B859&gt;Settings!$C$7),"Outside period | ","")&amp;IF(COUNTIF(Settings!$E$14:$E$43,C859&amp;"")&gt;0,"Sensitive account | ","")&amp;IF(AND(MAX(N(E859),N(F859))&gt;=Settings!$C$9,MOD(MAX(N(E859),N(F859)),Settings!$C$10)=0),"Round amount | ",""),LEN(IF(K859="No","Does not balance | ","")&amp;IF(I859="","Not approved | ",IF(UPPER(TRIM(H859))=UPPER(TRIM(I859)),"Self-approved | ",""))&amp;IF(J859="","No support | ","")&amp;IF(WEEKDAY(B859,2)&gt;5,"Weekend posting | ","")&amp;IF(COUNTIF(Settings!$A$14:$A$43,B859)&gt;0,"Holiday posting | ","")&amp;IF(B859&gt;Settings!$C$8,"Posted after close | ","")&amp;IF(OR(B859&lt;Settings!$C$6,B859&gt;Settings!$C$7),"Outside period | ","")&amp;IF(COUNTIF(Settings!$E$14:$E$43,C859&amp;"")&gt;0,"Sensitive account | ","")&amp;IF(AND(MAX(N(E859),N(F859))&gt;=Settings!$C$9,MOD(MAX(N(E859),N(F859)),Settings!$C$10)=0),"Round amount | ",""))-3)))</f>
        <v/>
      </c>
      <c r="M859" s="21" t="str">
        <f aca="false">IF(A859="","",IF(COUNTIF($A$9:A859,A859)=1,MAX($M$8:M858)+1,""))</f>
        <v/>
      </c>
    </row>
    <row r="860" customFormat="false" ht="15" hidden="false" customHeight="false" outlineLevel="0" collapsed="false">
      <c r="A860" s="8"/>
      <c r="B860" s="17"/>
      <c r="C860" s="19"/>
      <c r="D860" s="8"/>
      <c r="E860" s="18"/>
      <c r="F860" s="18"/>
      <c r="G860" s="8"/>
      <c r="H860" s="8"/>
      <c r="I860" s="8"/>
      <c r="J860" s="8"/>
      <c r="K860" s="10" t="str">
        <f aca="false">IF(A860="","",IF(ABS(SUMIFS($E$9:$E$2008,$A$9:$A$2008,A860)-SUMIFS($F$9:$F$2008,$A$9:$A$2008,A860))&lt;0.5,"Yes","No"))</f>
        <v/>
      </c>
      <c r="L860" s="10" t="str">
        <f aca="false">IF(A860="","",IF(IF(K860="No","Does not balance | ","")&amp;IF(I860="","Not approved | ",IF(UPPER(TRIM(H860))=UPPER(TRIM(I860)),"Self-approved | ",""))&amp;IF(J860="","No support | ","")&amp;IF(WEEKDAY(B860,2)&gt;5,"Weekend posting | ","")&amp;IF(COUNTIF(Settings!$A$14:$A$43,B860)&gt;0,"Holiday posting | ","")&amp;IF(B860&gt;Settings!$C$8,"Posted after close | ","")&amp;IF(OR(B860&lt;Settings!$C$6,B860&gt;Settings!$C$7),"Outside period | ","")&amp;IF(COUNTIF(Settings!$E$14:$E$43,C860&amp;"")&gt;0,"Sensitive account | ","")&amp;IF(AND(MAX(N(E860),N(F860))&gt;=Settings!$C$9,MOD(MAX(N(E860),N(F860)),Settings!$C$10)=0),"Round amount | ","")="","",LEFT(IF(K860="No","Does not balance | ","")&amp;IF(I860="","Not approved | ",IF(UPPER(TRIM(H860))=UPPER(TRIM(I860)),"Self-approved | ",""))&amp;IF(J860="","No support | ","")&amp;IF(WEEKDAY(B860,2)&gt;5,"Weekend posting | ","")&amp;IF(COUNTIF(Settings!$A$14:$A$43,B860)&gt;0,"Holiday posting | ","")&amp;IF(B860&gt;Settings!$C$8,"Posted after close | ","")&amp;IF(OR(B860&lt;Settings!$C$6,B860&gt;Settings!$C$7),"Outside period | ","")&amp;IF(COUNTIF(Settings!$E$14:$E$43,C860&amp;"")&gt;0,"Sensitive account | ","")&amp;IF(AND(MAX(N(E860),N(F860))&gt;=Settings!$C$9,MOD(MAX(N(E860),N(F860)),Settings!$C$10)=0),"Round amount | ",""),LEN(IF(K860="No","Does not balance | ","")&amp;IF(I860="","Not approved | ",IF(UPPER(TRIM(H860))=UPPER(TRIM(I860)),"Self-approved | ",""))&amp;IF(J860="","No support | ","")&amp;IF(WEEKDAY(B860,2)&gt;5,"Weekend posting | ","")&amp;IF(COUNTIF(Settings!$A$14:$A$43,B860)&gt;0,"Holiday posting | ","")&amp;IF(B860&gt;Settings!$C$8,"Posted after close | ","")&amp;IF(OR(B860&lt;Settings!$C$6,B860&gt;Settings!$C$7),"Outside period | ","")&amp;IF(COUNTIF(Settings!$E$14:$E$43,C860&amp;"")&gt;0,"Sensitive account | ","")&amp;IF(AND(MAX(N(E860),N(F860))&gt;=Settings!$C$9,MOD(MAX(N(E860),N(F860)),Settings!$C$10)=0),"Round amount | ",""))-3)))</f>
        <v/>
      </c>
      <c r="M860" s="21" t="str">
        <f aca="false">IF(A860="","",IF(COUNTIF($A$9:A860,A860)=1,MAX($M$8:M859)+1,""))</f>
        <v/>
      </c>
    </row>
    <row r="861" customFormat="false" ht="15" hidden="false" customHeight="false" outlineLevel="0" collapsed="false">
      <c r="A861" s="8"/>
      <c r="B861" s="17"/>
      <c r="C861" s="19"/>
      <c r="D861" s="8"/>
      <c r="E861" s="18"/>
      <c r="F861" s="18"/>
      <c r="G861" s="8"/>
      <c r="H861" s="8"/>
      <c r="I861" s="8"/>
      <c r="J861" s="8"/>
      <c r="K861" s="10" t="str">
        <f aca="false">IF(A861="","",IF(ABS(SUMIFS($E$9:$E$2008,$A$9:$A$2008,A861)-SUMIFS($F$9:$F$2008,$A$9:$A$2008,A861))&lt;0.5,"Yes","No"))</f>
        <v/>
      </c>
      <c r="L861" s="10" t="str">
        <f aca="false">IF(A861="","",IF(IF(K861="No","Does not balance | ","")&amp;IF(I861="","Not approved | ",IF(UPPER(TRIM(H861))=UPPER(TRIM(I861)),"Self-approved | ",""))&amp;IF(J861="","No support | ","")&amp;IF(WEEKDAY(B861,2)&gt;5,"Weekend posting | ","")&amp;IF(COUNTIF(Settings!$A$14:$A$43,B861)&gt;0,"Holiday posting | ","")&amp;IF(B861&gt;Settings!$C$8,"Posted after close | ","")&amp;IF(OR(B861&lt;Settings!$C$6,B861&gt;Settings!$C$7),"Outside period | ","")&amp;IF(COUNTIF(Settings!$E$14:$E$43,C861&amp;"")&gt;0,"Sensitive account | ","")&amp;IF(AND(MAX(N(E861),N(F861))&gt;=Settings!$C$9,MOD(MAX(N(E861),N(F861)),Settings!$C$10)=0),"Round amount | ","")="","",LEFT(IF(K861="No","Does not balance | ","")&amp;IF(I861="","Not approved | ",IF(UPPER(TRIM(H861))=UPPER(TRIM(I861)),"Self-approved | ",""))&amp;IF(J861="","No support | ","")&amp;IF(WEEKDAY(B861,2)&gt;5,"Weekend posting | ","")&amp;IF(COUNTIF(Settings!$A$14:$A$43,B861)&gt;0,"Holiday posting | ","")&amp;IF(B861&gt;Settings!$C$8,"Posted after close | ","")&amp;IF(OR(B861&lt;Settings!$C$6,B861&gt;Settings!$C$7),"Outside period | ","")&amp;IF(COUNTIF(Settings!$E$14:$E$43,C861&amp;"")&gt;0,"Sensitive account | ","")&amp;IF(AND(MAX(N(E861),N(F861))&gt;=Settings!$C$9,MOD(MAX(N(E861),N(F861)),Settings!$C$10)=0),"Round amount | ",""),LEN(IF(K861="No","Does not balance | ","")&amp;IF(I861="","Not approved | ",IF(UPPER(TRIM(H861))=UPPER(TRIM(I861)),"Self-approved | ",""))&amp;IF(J861="","No support | ","")&amp;IF(WEEKDAY(B861,2)&gt;5,"Weekend posting | ","")&amp;IF(COUNTIF(Settings!$A$14:$A$43,B861)&gt;0,"Holiday posting | ","")&amp;IF(B861&gt;Settings!$C$8,"Posted after close | ","")&amp;IF(OR(B861&lt;Settings!$C$6,B861&gt;Settings!$C$7),"Outside period | ","")&amp;IF(COUNTIF(Settings!$E$14:$E$43,C861&amp;"")&gt;0,"Sensitive account | ","")&amp;IF(AND(MAX(N(E861),N(F861))&gt;=Settings!$C$9,MOD(MAX(N(E861),N(F861)),Settings!$C$10)=0),"Round amount | ",""))-3)))</f>
        <v/>
      </c>
      <c r="M861" s="21" t="str">
        <f aca="false">IF(A861="","",IF(COUNTIF($A$9:A861,A861)=1,MAX($M$8:M860)+1,""))</f>
        <v/>
      </c>
    </row>
    <row r="862" customFormat="false" ht="15" hidden="false" customHeight="false" outlineLevel="0" collapsed="false">
      <c r="A862" s="8"/>
      <c r="B862" s="17"/>
      <c r="C862" s="19"/>
      <c r="D862" s="8"/>
      <c r="E862" s="18"/>
      <c r="F862" s="18"/>
      <c r="G862" s="8"/>
      <c r="H862" s="8"/>
      <c r="I862" s="8"/>
      <c r="J862" s="8"/>
      <c r="K862" s="10" t="str">
        <f aca="false">IF(A862="","",IF(ABS(SUMIFS($E$9:$E$2008,$A$9:$A$2008,A862)-SUMIFS($F$9:$F$2008,$A$9:$A$2008,A862))&lt;0.5,"Yes","No"))</f>
        <v/>
      </c>
      <c r="L862" s="10" t="str">
        <f aca="false">IF(A862="","",IF(IF(K862="No","Does not balance | ","")&amp;IF(I862="","Not approved | ",IF(UPPER(TRIM(H862))=UPPER(TRIM(I862)),"Self-approved | ",""))&amp;IF(J862="","No support | ","")&amp;IF(WEEKDAY(B862,2)&gt;5,"Weekend posting | ","")&amp;IF(COUNTIF(Settings!$A$14:$A$43,B862)&gt;0,"Holiday posting | ","")&amp;IF(B862&gt;Settings!$C$8,"Posted after close | ","")&amp;IF(OR(B862&lt;Settings!$C$6,B862&gt;Settings!$C$7),"Outside period | ","")&amp;IF(COUNTIF(Settings!$E$14:$E$43,C862&amp;"")&gt;0,"Sensitive account | ","")&amp;IF(AND(MAX(N(E862),N(F862))&gt;=Settings!$C$9,MOD(MAX(N(E862),N(F862)),Settings!$C$10)=0),"Round amount | ","")="","",LEFT(IF(K862="No","Does not balance | ","")&amp;IF(I862="","Not approved | ",IF(UPPER(TRIM(H862))=UPPER(TRIM(I862)),"Self-approved | ",""))&amp;IF(J862="","No support | ","")&amp;IF(WEEKDAY(B862,2)&gt;5,"Weekend posting | ","")&amp;IF(COUNTIF(Settings!$A$14:$A$43,B862)&gt;0,"Holiday posting | ","")&amp;IF(B862&gt;Settings!$C$8,"Posted after close | ","")&amp;IF(OR(B862&lt;Settings!$C$6,B862&gt;Settings!$C$7),"Outside period | ","")&amp;IF(COUNTIF(Settings!$E$14:$E$43,C862&amp;"")&gt;0,"Sensitive account | ","")&amp;IF(AND(MAX(N(E862),N(F862))&gt;=Settings!$C$9,MOD(MAX(N(E862),N(F862)),Settings!$C$10)=0),"Round amount | ",""),LEN(IF(K862="No","Does not balance | ","")&amp;IF(I862="","Not approved | ",IF(UPPER(TRIM(H862))=UPPER(TRIM(I862)),"Self-approved | ",""))&amp;IF(J862="","No support | ","")&amp;IF(WEEKDAY(B862,2)&gt;5,"Weekend posting | ","")&amp;IF(COUNTIF(Settings!$A$14:$A$43,B862)&gt;0,"Holiday posting | ","")&amp;IF(B862&gt;Settings!$C$8,"Posted after close | ","")&amp;IF(OR(B862&lt;Settings!$C$6,B862&gt;Settings!$C$7),"Outside period | ","")&amp;IF(COUNTIF(Settings!$E$14:$E$43,C862&amp;"")&gt;0,"Sensitive account | ","")&amp;IF(AND(MAX(N(E862),N(F862))&gt;=Settings!$C$9,MOD(MAX(N(E862),N(F862)),Settings!$C$10)=0),"Round amount | ",""))-3)))</f>
        <v/>
      </c>
      <c r="M862" s="21" t="str">
        <f aca="false">IF(A862="","",IF(COUNTIF($A$9:A862,A862)=1,MAX($M$8:M861)+1,""))</f>
        <v/>
      </c>
    </row>
    <row r="863" customFormat="false" ht="15" hidden="false" customHeight="false" outlineLevel="0" collapsed="false">
      <c r="A863" s="8"/>
      <c r="B863" s="17"/>
      <c r="C863" s="19"/>
      <c r="D863" s="8"/>
      <c r="E863" s="18"/>
      <c r="F863" s="18"/>
      <c r="G863" s="8"/>
      <c r="H863" s="8"/>
      <c r="I863" s="8"/>
      <c r="J863" s="8"/>
      <c r="K863" s="10" t="str">
        <f aca="false">IF(A863="","",IF(ABS(SUMIFS($E$9:$E$2008,$A$9:$A$2008,A863)-SUMIFS($F$9:$F$2008,$A$9:$A$2008,A863))&lt;0.5,"Yes","No"))</f>
        <v/>
      </c>
      <c r="L863" s="10" t="str">
        <f aca="false">IF(A863="","",IF(IF(K863="No","Does not balance | ","")&amp;IF(I863="","Not approved | ",IF(UPPER(TRIM(H863))=UPPER(TRIM(I863)),"Self-approved | ",""))&amp;IF(J863="","No support | ","")&amp;IF(WEEKDAY(B863,2)&gt;5,"Weekend posting | ","")&amp;IF(COUNTIF(Settings!$A$14:$A$43,B863)&gt;0,"Holiday posting | ","")&amp;IF(B863&gt;Settings!$C$8,"Posted after close | ","")&amp;IF(OR(B863&lt;Settings!$C$6,B863&gt;Settings!$C$7),"Outside period | ","")&amp;IF(COUNTIF(Settings!$E$14:$E$43,C863&amp;"")&gt;0,"Sensitive account | ","")&amp;IF(AND(MAX(N(E863),N(F863))&gt;=Settings!$C$9,MOD(MAX(N(E863),N(F863)),Settings!$C$10)=0),"Round amount | ","")="","",LEFT(IF(K863="No","Does not balance | ","")&amp;IF(I863="","Not approved | ",IF(UPPER(TRIM(H863))=UPPER(TRIM(I863)),"Self-approved | ",""))&amp;IF(J863="","No support | ","")&amp;IF(WEEKDAY(B863,2)&gt;5,"Weekend posting | ","")&amp;IF(COUNTIF(Settings!$A$14:$A$43,B863)&gt;0,"Holiday posting | ","")&amp;IF(B863&gt;Settings!$C$8,"Posted after close | ","")&amp;IF(OR(B863&lt;Settings!$C$6,B863&gt;Settings!$C$7),"Outside period | ","")&amp;IF(COUNTIF(Settings!$E$14:$E$43,C863&amp;"")&gt;0,"Sensitive account | ","")&amp;IF(AND(MAX(N(E863),N(F863))&gt;=Settings!$C$9,MOD(MAX(N(E863),N(F863)),Settings!$C$10)=0),"Round amount | ",""),LEN(IF(K863="No","Does not balance | ","")&amp;IF(I863="","Not approved | ",IF(UPPER(TRIM(H863))=UPPER(TRIM(I863)),"Self-approved | ",""))&amp;IF(J863="","No support | ","")&amp;IF(WEEKDAY(B863,2)&gt;5,"Weekend posting | ","")&amp;IF(COUNTIF(Settings!$A$14:$A$43,B863)&gt;0,"Holiday posting | ","")&amp;IF(B863&gt;Settings!$C$8,"Posted after close | ","")&amp;IF(OR(B863&lt;Settings!$C$6,B863&gt;Settings!$C$7),"Outside period | ","")&amp;IF(COUNTIF(Settings!$E$14:$E$43,C863&amp;"")&gt;0,"Sensitive account | ","")&amp;IF(AND(MAX(N(E863),N(F863))&gt;=Settings!$C$9,MOD(MAX(N(E863),N(F863)),Settings!$C$10)=0),"Round amount | ",""))-3)))</f>
        <v/>
      </c>
      <c r="M863" s="21" t="str">
        <f aca="false">IF(A863="","",IF(COUNTIF($A$9:A863,A863)=1,MAX($M$8:M862)+1,""))</f>
        <v/>
      </c>
    </row>
    <row r="864" customFormat="false" ht="15" hidden="false" customHeight="false" outlineLevel="0" collapsed="false">
      <c r="A864" s="8"/>
      <c r="B864" s="17"/>
      <c r="C864" s="19"/>
      <c r="D864" s="8"/>
      <c r="E864" s="18"/>
      <c r="F864" s="18"/>
      <c r="G864" s="8"/>
      <c r="H864" s="8"/>
      <c r="I864" s="8"/>
      <c r="J864" s="8"/>
      <c r="K864" s="10" t="str">
        <f aca="false">IF(A864="","",IF(ABS(SUMIFS($E$9:$E$2008,$A$9:$A$2008,A864)-SUMIFS($F$9:$F$2008,$A$9:$A$2008,A864))&lt;0.5,"Yes","No"))</f>
        <v/>
      </c>
      <c r="L864" s="10" t="str">
        <f aca="false">IF(A864="","",IF(IF(K864="No","Does not balance | ","")&amp;IF(I864="","Not approved | ",IF(UPPER(TRIM(H864))=UPPER(TRIM(I864)),"Self-approved | ",""))&amp;IF(J864="","No support | ","")&amp;IF(WEEKDAY(B864,2)&gt;5,"Weekend posting | ","")&amp;IF(COUNTIF(Settings!$A$14:$A$43,B864)&gt;0,"Holiday posting | ","")&amp;IF(B864&gt;Settings!$C$8,"Posted after close | ","")&amp;IF(OR(B864&lt;Settings!$C$6,B864&gt;Settings!$C$7),"Outside period | ","")&amp;IF(COUNTIF(Settings!$E$14:$E$43,C864&amp;"")&gt;0,"Sensitive account | ","")&amp;IF(AND(MAX(N(E864),N(F864))&gt;=Settings!$C$9,MOD(MAX(N(E864),N(F864)),Settings!$C$10)=0),"Round amount | ","")="","",LEFT(IF(K864="No","Does not balance | ","")&amp;IF(I864="","Not approved | ",IF(UPPER(TRIM(H864))=UPPER(TRIM(I864)),"Self-approved | ",""))&amp;IF(J864="","No support | ","")&amp;IF(WEEKDAY(B864,2)&gt;5,"Weekend posting | ","")&amp;IF(COUNTIF(Settings!$A$14:$A$43,B864)&gt;0,"Holiday posting | ","")&amp;IF(B864&gt;Settings!$C$8,"Posted after close | ","")&amp;IF(OR(B864&lt;Settings!$C$6,B864&gt;Settings!$C$7),"Outside period | ","")&amp;IF(COUNTIF(Settings!$E$14:$E$43,C864&amp;"")&gt;0,"Sensitive account | ","")&amp;IF(AND(MAX(N(E864),N(F864))&gt;=Settings!$C$9,MOD(MAX(N(E864),N(F864)),Settings!$C$10)=0),"Round amount | ",""),LEN(IF(K864="No","Does not balance | ","")&amp;IF(I864="","Not approved | ",IF(UPPER(TRIM(H864))=UPPER(TRIM(I864)),"Self-approved | ",""))&amp;IF(J864="","No support | ","")&amp;IF(WEEKDAY(B864,2)&gt;5,"Weekend posting | ","")&amp;IF(COUNTIF(Settings!$A$14:$A$43,B864)&gt;0,"Holiday posting | ","")&amp;IF(B864&gt;Settings!$C$8,"Posted after close | ","")&amp;IF(OR(B864&lt;Settings!$C$6,B864&gt;Settings!$C$7),"Outside period | ","")&amp;IF(COUNTIF(Settings!$E$14:$E$43,C864&amp;"")&gt;0,"Sensitive account | ","")&amp;IF(AND(MAX(N(E864),N(F864))&gt;=Settings!$C$9,MOD(MAX(N(E864),N(F864)),Settings!$C$10)=0),"Round amount | ",""))-3)))</f>
        <v/>
      </c>
      <c r="M864" s="21" t="str">
        <f aca="false">IF(A864="","",IF(COUNTIF($A$9:A864,A864)=1,MAX($M$8:M863)+1,""))</f>
        <v/>
      </c>
    </row>
    <row r="865" customFormat="false" ht="15" hidden="false" customHeight="false" outlineLevel="0" collapsed="false">
      <c r="A865" s="8"/>
      <c r="B865" s="17"/>
      <c r="C865" s="19"/>
      <c r="D865" s="8"/>
      <c r="E865" s="18"/>
      <c r="F865" s="18"/>
      <c r="G865" s="8"/>
      <c r="H865" s="8"/>
      <c r="I865" s="8"/>
      <c r="J865" s="8"/>
      <c r="K865" s="10" t="str">
        <f aca="false">IF(A865="","",IF(ABS(SUMIFS($E$9:$E$2008,$A$9:$A$2008,A865)-SUMIFS($F$9:$F$2008,$A$9:$A$2008,A865))&lt;0.5,"Yes","No"))</f>
        <v/>
      </c>
      <c r="L865" s="10" t="str">
        <f aca="false">IF(A865="","",IF(IF(K865="No","Does not balance | ","")&amp;IF(I865="","Not approved | ",IF(UPPER(TRIM(H865))=UPPER(TRIM(I865)),"Self-approved | ",""))&amp;IF(J865="","No support | ","")&amp;IF(WEEKDAY(B865,2)&gt;5,"Weekend posting | ","")&amp;IF(COUNTIF(Settings!$A$14:$A$43,B865)&gt;0,"Holiday posting | ","")&amp;IF(B865&gt;Settings!$C$8,"Posted after close | ","")&amp;IF(OR(B865&lt;Settings!$C$6,B865&gt;Settings!$C$7),"Outside period | ","")&amp;IF(COUNTIF(Settings!$E$14:$E$43,C865&amp;"")&gt;0,"Sensitive account | ","")&amp;IF(AND(MAX(N(E865),N(F865))&gt;=Settings!$C$9,MOD(MAX(N(E865),N(F865)),Settings!$C$10)=0),"Round amount | ","")="","",LEFT(IF(K865="No","Does not balance | ","")&amp;IF(I865="","Not approved | ",IF(UPPER(TRIM(H865))=UPPER(TRIM(I865)),"Self-approved | ",""))&amp;IF(J865="","No support | ","")&amp;IF(WEEKDAY(B865,2)&gt;5,"Weekend posting | ","")&amp;IF(COUNTIF(Settings!$A$14:$A$43,B865)&gt;0,"Holiday posting | ","")&amp;IF(B865&gt;Settings!$C$8,"Posted after close | ","")&amp;IF(OR(B865&lt;Settings!$C$6,B865&gt;Settings!$C$7),"Outside period | ","")&amp;IF(COUNTIF(Settings!$E$14:$E$43,C865&amp;"")&gt;0,"Sensitive account | ","")&amp;IF(AND(MAX(N(E865),N(F865))&gt;=Settings!$C$9,MOD(MAX(N(E865),N(F865)),Settings!$C$10)=0),"Round amount | ",""),LEN(IF(K865="No","Does not balance | ","")&amp;IF(I865="","Not approved | ",IF(UPPER(TRIM(H865))=UPPER(TRIM(I865)),"Self-approved | ",""))&amp;IF(J865="","No support | ","")&amp;IF(WEEKDAY(B865,2)&gt;5,"Weekend posting | ","")&amp;IF(COUNTIF(Settings!$A$14:$A$43,B865)&gt;0,"Holiday posting | ","")&amp;IF(B865&gt;Settings!$C$8,"Posted after close | ","")&amp;IF(OR(B865&lt;Settings!$C$6,B865&gt;Settings!$C$7),"Outside period | ","")&amp;IF(COUNTIF(Settings!$E$14:$E$43,C865&amp;"")&gt;0,"Sensitive account | ","")&amp;IF(AND(MAX(N(E865),N(F865))&gt;=Settings!$C$9,MOD(MAX(N(E865),N(F865)),Settings!$C$10)=0),"Round amount | ",""))-3)))</f>
        <v/>
      </c>
      <c r="M865" s="21" t="str">
        <f aca="false">IF(A865="","",IF(COUNTIF($A$9:A865,A865)=1,MAX($M$8:M864)+1,""))</f>
        <v/>
      </c>
    </row>
    <row r="866" customFormat="false" ht="15" hidden="false" customHeight="false" outlineLevel="0" collapsed="false">
      <c r="A866" s="8"/>
      <c r="B866" s="17"/>
      <c r="C866" s="19"/>
      <c r="D866" s="8"/>
      <c r="E866" s="18"/>
      <c r="F866" s="18"/>
      <c r="G866" s="8"/>
      <c r="H866" s="8"/>
      <c r="I866" s="8"/>
      <c r="J866" s="8"/>
      <c r="K866" s="10" t="str">
        <f aca="false">IF(A866="","",IF(ABS(SUMIFS($E$9:$E$2008,$A$9:$A$2008,A866)-SUMIFS($F$9:$F$2008,$A$9:$A$2008,A866))&lt;0.5,"Yes","No"))</f>
        <v/>
      </c>
      <c r="L866" s="10" t="str">
        <f aca="false">IF(A866="","",IF(IF(K866="No","Does not balance | ","")&amp;IF(I866="","Not approved | ",IF(UPPER(TRIM(H866))=UPPER(TRIM(I866)),"Self-approved | ",""))&amp;IF(J866="","No support | ","")&amp;IF(WEEKDAY(B866,2)&gt;5,"Weekend posting | ","")&amp;IF(COUNTIF(Settings!$A$14:$A$43,B866)&gt;0,"Holiday posting | ","")&amp;IF(B866&gt;Settings!$C$8,"Posted after close | ","")&amp;IF(OR(B866&lt;Settings!$C$6,B866&gt;Settings!$C$7),"Outside period | ","")&amp;IF(COUNTIF(Settings!$E$14:$E$43,C866&amp;"")&gt;0,"Sensitive account | ","")&amp;IF(AND(MAX(N(E866),N(F866))&gt;=Settings!$C$9,MOD(MAX(N(E866),N(F866)),Settings!$C$10)=0),"Round amount | ","")="","",LEFT(IF(K866="No","Does not balance | ","")&amp;IF(I866="","Not approved | ",IF(UPPER(TRIM(H866))=UPPER(TRIM(I866)),"Self-approved | ",""))&amp;IF(J866="","No support | ","")&amp;IF(WEEKDAY(B866,2)&gt;5,"Weekend posting | ","")&amp;IF(COUNTIF(Settings!$A$14:$A$43,B866)&gt;0,"Holiday posting | ","")&amp;IF(B866&gt;Settings!$C$8,"Posted after close | ","")&amp;IF(OR(B866&lt;Settings!$C$6,B866&gt;Settings!$C$7),"Outside period | ","")&amp;IF(COUNTIF(Settings!$E$14:$E$43,C866&amp;"")&gt;0,"Sensitive account | ","")&amp;IF(AND(MAX(N(E866),N(F866))&gt;=Settings!$C$9,MOD(MAX(N(E866),N(F866)),Settings!$C$10)=0),"Round amount | ",""),LEN(IF(K866="No","Does not balance | ","")&amp;IF(I866="","Not approved | ",IF(UPPER(TRIM(H866))=UPPER(TRIM(I866)),"Self-approved | ",""))&amp;IF(J866="","No support | ","")&amp;IF(WEEKDAY(B866,2)&gt;5,"Weekend posting | ","")&amp;IF(COUNTIF(Settings!$A$14:$A$43,B866)&gt;0,"Holiday posting | ","")&amp;IF(B866&gt;Settings!$C$8,"Posted after close | ","")&amp;IF(OR(B866&lt;Settings!$C$6,B866&gt;Settings!$C$7),"Outside period | ","")&amp;IF(COUNTIF(Settings!$E$14:$E$43,C866&amp;"")&gt;0,"Sensitive account | ","")&amp;IF(AND(MAX(N(E866),N(F866))&gt;=Settings!$C$9,MOD(MAX(N(E866),N(F866)),Settings!$C$10)=0),"Round amount | ",""))-3)))</f>
        <v/>
      </c>
      <c r="M866" s="21" t="str">
        <f aca="false">IF(A866="","",IF(COUNTIF($A$9:A866,A866)=1,MAX($M$8:M865)+1,""))</f>
        <v/>
      </c>
    </row>
    <row r="867" customFormat="false" ht="15" hidden="false" customHeight="false" outlineLevel="0" collapsed="false">
      <c r="A867" s="8"/>
      <c r="B867" s="17"/>
      <c r="C867" s="19"/>
      <c r="D867" s="8"/>
      <c r="E867" s="18"/>
      <c r="F867" s="18"/>
      <c r="G867" s="8"/>
      <c r="H867" s="8"/>
      <c r="I867" s="8"/>
      <c r="J867" s="8"/>
      <c r="K867" s="10" t="str">
        <f aca="false">IF(A867="","",IF(ABS(SUMIFS($E$9:$E$2008,$A$9:$A$2008,A867)-SUMIFS($F$9:$F$2008,$A$9:$A$2008,A867))&lt;0.5,"Yes","No"))</f>
        <v/>
      </c>
      <c r="L867" s="10" t="str">
        <f aca="false">IF(A867="","",IF(IF(K867="No","Does not balance | ","")&amp;IF(I867="","Not approved | ",IF(UPPER(TRIM(H867))=UPPER(TRIM(I867)),"Self-approved | ",""))&amp;IF(J867="","No support | ","")&amp;IF(WEEKDAY(B867,2)&gt;5,"Weekend posting | ","")&amp;IF(COUNTIF(Settings!$A$14:$A$43,B867)&gt;0,"Holiday posting | ","")&amp;IF(B867&gt;Settings!$C$8,"Posted after close | ","")&amp;IF(OR(B867&lt;Settings!$C$6,B867&gt;Settings!$C$7),"Outside period | ","")&amp;IF(COUNTIF(Settings!$E$14:$E$43,C867&amp;"")&gt;0,"Sensitive account | ","")&amp;IF(AND(MAX(N(E867),N(F867))&gt;=Settings!$C$9,MOD(MAX(N(E867),N(F867)),Settings!$C$10)=0),"Round amount | ","")="","",LEFT(IF(K867="No","Does not balance | ","")&amp;IF(I867="","Not approved | ",IF(UPPER(TRIM(H867))=UPPER(TRIM(I867)),"Self-approved | ",""))&amp;IF(J867="","No support | ","")&amp;IF(WEEKDAY(B867,2)&gt;5,"Weekend posting | ","")&amp;IF(COUNTIF(Settings!$A$14:$A$43,B867)&gt;0,"Holiday posting | ","")&amp;IF(B867&gt;Settings!$C$8,"Posted after close | ","")&amp;IF(OR(B867&lt;Settings!$C$6,B867&gt;Settings!$C$7),"Outside period | ","")&amp;IF(COUNTIF(Settings!$E$14:$E$43,C867&amp;"")&gt;0,"Sensitive account | ","")&amp;IF(AND(MAX(N(E867),N(F867))&gt;=Settings!$C$9,MOD(MAX(N(E867),N(F867)),Settings!$C$10)=0),"Round amount | ",""),LEN(IF(K867="No","Does not balance | ","")&amp;IF(I867="","Not approved | ",IF(UPPER(TRIM(H867))=UPPER(TRIM(I867)),"Self-approved | ",""))&amp;IF(J867="","No support | ","")&amp;IF(WEEKDAY(B867,2)&gt;5,"Weekend posting | ","")&amp;IF(COUNTIF(Settings!$A$14:$A$43,B867)&gt;0,"Holiday posting | ","")&amp;IF(B867&gt;Settings!$C$8,"Posted after close | ","")&amp;IF(OR(B867&lt;Settings!$C$6,B867&gt;Settings!$C$7),"Outside period | ","")&amp;IF(COUNTIF(Settings!$E$14:$E$43,C867&amp;"")&gt;0,"Sensitive account | ","")&amp;IF(AND(MAX(N(E867),N(F867))&gt;=Settings!$C$9,MOD(MAX(N(E867),N(F867)),Settings!$C$10)=0),"Round amount | ",""))-3)))</f>
        <v/>
      </c>
      <c r="M867" s="21" t="str">
        <f aca="false">IF(A867="","",IF(COUNTIF($A$9:A867,A867)=1,MAX($M$8:M866)+1,""))</f>
        <v/>
      </c>
    </row>
    <row r="868" customFormat="false" ht="15" hidden="false" customHeight="false" outlineLevel="0" collapsed="false">
      <c r="A868" s="8"/>
      <c r="B868" s="17"/>
      <c r="C868" s="19"/>
      <c r="D868" s="8"/>
      <c r="E868" s="18"/>
      <c r="F868" s="18"/>
      <c r="G868" s="8"/>
      <c r="H868" s="8"/>
      <c r="I868" s="8"/>
      <c r="J868" s="8"/>
      <c r="K868" s="10" t="str">
        <f aca="false">IF(A868="","",IF(ABS(SUMIFS($E$9:$E$2008,$A$9:$A$2008,A868)-SUMIFS($F$9:$F$2008,$A$9:$A$2008,A868))&lt;0.5,"Yes","No"))</f>
        <v/>
      </c>
      <c r="L868" s="10" t="str">
        <f aca="false">IF(A868="","",IF(IF(K868="No","Does not balance | ","")&amp;IF(I868="","Not approved | ",IF(UPPER(TRIM(H868))=UPPER(TRIM(I868)),"Self-approved | ",""))&amp;IF(J868="","No support | ","")&amp;IF(WEEKDAY(B868,2)&gt;5,"Weekend posting | ","")&amp;IF(COUNTIF(Settings!$A$14:$A$43,B868)&gt;0,"Holiday posting | ","")&amp;IF(B868&gt;Settings!$C$8,"Posted after close | ","")&amp;IF(OR(B868&lt;Settings!$C$6,B868&gt;Settings!$C$7),"Outside period | ","")&amp;IF(COUNTIF(Settings!$E$14:$E$43,C868&amp;"")&gt;0,"Sensitive account | ","")&amp;IF(AND(MAX(N(E868),N(F868))&gt;=Settings!$C$9,MOD(MAX(N(E868),N(F868)),Settings!$C$10)=0),"Round amount | ","")="","",LEFT(IF(K868="No","Does not balance | ","")&amp;IF(I868="","Not approved | ",IF(UPPER(TRIM(H868))=UPPER(TRIM(I868)),"Self-approved | ",""))&amp;IF(J868="","No support | ","")&amp;IF(WEEKDAY(B868,2)&gt;5,"Weekend posting | ","")&amp;IF(COUNTIF(Settings!$A$14:$A$43,B868)&gt;0,"Holiday posting | ","")&amp;IF(B868&gt;Settings!$C$8,"Posted after close | ","")&amp;IF(OR(B868&lt;Settings!$C$6,B868&gt;Settings!$C$7),"Outside period | ","")&amp;IF(COUNTIF(Settings!$E$14:$E$43,C868&amp;"")&gt;0,"Sensitive account | ","")&amp;IF(AND(MAX(N(E868),N(F868))&gt;=Settings!$C$9,MOD(MAX(N(E868),N(F868)),Settings!$C$10)=0),"Round amount | ",""),LEN(IF(K868="No","Does not balance | ","")&amp;IF(I868="","Not approved | ",IF(UPPER(TRIM(H868))=UPPER(TRIM(I868)),"Self-approved | ",""))&amp;IF(J868="","No support | ","")&amp;IF(WEEKDAY(B868,2)&gt;5,"Weekend posting | ","")&amp;IF(COUNTIF(Settings!$A$14:$A$43,B868)&gt;0,"Holiday posting | ","")&amp;IF(B868&gt;Settings!$C$8,"Posted after close | ","")&amp;IF(OR(B868&lt;Settings!$C$6,B868&gt;Settings!$C$7),"Outside period | ","")&amp;IF(COUNTIF(Settings!$E$14:$E$43,C868&amp;"")&gt;0,"Sensitive account | ","")&amp;IF(AND(MAX(N(E868),N(F868))&gt;=Settings!$C$9,MOD(MAX(N(E868),N(F868)),Settings!$C$10)=0),"Round amount | ",""))-3)))</f>
        <v/>
      </c>
      <c r="M868" s="21" t="str">
        <f aca="false">IF(A868="","",IF(COUNTIF($A$9:A868,A868)=1,MAX($M$8:M867)+1,""))</f>
        <v/>
      </c>
    </row>
    <row r="869" customFormat="false" ht="15" hidden="false" customHeight="false" outlineLevel="0" collapsed="false">
      <c r="A869" s="8"/>
      <c r="B869" s="17"/>
      <c r="C869" s="19"/>
      <c r="D869" s="8"/>
      <c r="E869" s="18"/>
      <c r="F869" s="18"/>
      <c r="G869" s="8"/>
      <c r="H869" s="8"/>
      <c r="I869" s="8"/>
      <c r="J869" s="8"/>
      <c r="K869" s="10" t="str">
        <f aca="false">IF(A869="","",IF(ABS(SUMIFS($E$9:$E$2008,$A$9:$A$2008,A869)-SUMIFS($F$9:$F$2008,$A$9:$A$2008,A869))&lt;0.5,"Yes","No"))</f>
        <v/>
      </c>
      <c r="L869" s="10" t="str">
        <f aca="false">IF(A869="","",IF(IF(K869="No","Does not balance | ","")&amp;IF(I869="","Not approved | ",IF(UPPER(TRIM(H869))=UPPER(TRIM(I869)),"Self-approved | ",""))&amp;IF(J869="","No support | ","")&amp;IF(WEEKDAY(B869,2)&gt;5,"Weekend posting | ","")&amp;IF(COUNTIF(Settings!$A$14:$A$43,B869)&gt;0,"Holiday posting | ","")&amp;IF(B869&gt;Settings!$C$8,"Posted after close | ","")&amp;IF(OR(B869&lt;Settings!$C$6,B869&gt;Settings!$C$7),"Outside period | ","")&amp;IF(COUNTIF(Settings!$E$14:$E$43,C869&amp;"")&gt;0,"Sensitive account | ","")&amp;IF(AND(MAX(N(E869),N(F869))&gt;=Settings!$C$9,MOD(MAX(N(E869),N(F869)),Settings!$C$10)=0),"Round amount | ","")="","",LEFT(IF(K869="No","Does not balance | ","")&amp;IF(I869="","Not approved | ",IF(UPPER(TRIM(H869))=UPPER(TRIM(I869)),"Self-approved | ",""))&amp;IF(J869="","No support | ","")&amp;IF(WEEKDAY(B869,2)&gt;5,"Weekend posting | ","")&amp;IF(COUNTIF(Settings!$A$14:$A$43,B869)&gt;0,"Holiday posting | ","")&amp;IF(B869&gt;Settings!$C$8,"Posted after close | ","")&amp;IF(OR(B869&lt;Settings!$C$6,B869&gt;Settings!$C$7),"Outside period | ","")&amp;IF(COUNTIF(Settings!$E$14:$E$43,C869&amp;"")&gt;0,"Sensitive account | ","")&amp;IF(AND(MAX(N(E869),N(F869))&gt;=Settings!$C$9,MOD(MAX(N(E869),N(F869)),Settings!$C$10)=0),"Round amount | ",""),LEN(IF(K869="No","Does not balance | ","")&amp;IF(I869="","Not approved | ",IF(UPPER(TRIM(H869))=UPPER(TRIM(I869)),"Self-approved | ",""))&amp;IF(J869="","No support | ","")&amp;IF(WEEKDAY(B869,2)&gt;5,"Weekend posting | ","")&amp;IF(COUNTIF(Settings!$A$14:$A$43,B869)&gt;0,"Holiday posting | ","")&amp;IF(B869&gt;Settings!$C$8,"Posted after close | ","")&amp;IF(OR(B869&lt;Settings!$C$6,B869&gt;Settings!$C$7),"Outside period | ","")&amp;IF(COUNTIF(Settings!$E$14:$E$43,C869&amp;"")&gt;0,"Sensitive account | ","")&amp;IF(AND(MAX(N(E869),N(F869))&gt;=Settings!$C$9,MOD(MAX(N(E869),N(F869)),Settings!$C$10)=0),"Round amount | ",""))-3)))</f>
        <v/>
      </c>
      <c r="M869" s="21" t="str">
        <f aca="false">IF(A869="","",IF(COUNTIF($A$9:A869,A869)=1,MAX($M$8:M868)+1,""))</f>
        <v/>
      </c>
    </row>
    <row r="870" customFormat="false" ht="15" hidden="false" customHeight="false" outlineLevel="0" collapsed="false">
      <c r="A870" s="8"/>
      <c r="B870" s="17"/>
      <c r="C870" s="19"/>
      <c r="D870" s="8"/>
      <c r="E870" s="18"/>
      <c r="F870" s="18"/>
      <c r="G870" s="8"/>
      <c r="H870" s="8"/>
      <c r="I870" s="8"/>
      <c r="J870" s="8"/>
      <c r="K870" s="10" t="str">
        <f aca="false">IF(A870="","",IF(ABS(SUMIFS($E$9:$E$2008,$A$9:$A$2008,A870)-SUMIFS($F$9:$F$2008,$A$9:$A$2008,A870))&lt;0.5,"Yes","No"))</f>
        <v/>
      </c>
      <c r="L870" s="10" t="str">
        <f aca="false">IF(A870="","",IF(IF(K870="No","Does not balance | ","")&amp;IF(I870="","Not approved | ",IF(UPPER(TRIM(H870))=UPPER(TRIM(I870)),"Self-approved | ",""))&amp;IF(J870="","No support | ","")&amp;IF(WEEKDAY(B870,2)&gt;5,"Weekend posting | ","")&amp;IF(COUNTIF(Settings!$A$14:$A$43,B870)&gt;0,"Holiday posting | ","")&amp;IF(B870&gt;Settings!$C$8,"Posted after close | ","")&amp;IF(OR(B870&lt;Settings!$C$6,B870&gt;Settings!$C$7),"Outside period | ","")&amp;IF(COUNTIF(Settings!$E$14:$E$43,C870&amp;"")&gt;0,"Sensitive account | ","")&amp;IF(AND(MAX(N(E870),N(F870))&gt;=Settings!$C$9,MOD(MAX(N(E870),N(F870)),Settings!$C$10)=0),"Round amount | ","")="","",LEFT(IF(K870="No","Does not balance | ","")&amp;IF(I870="","Not approved | ",IF(UPPER(TRIM(H870))=UPPER(TRIM(I870)),"Self-approved | ",""))&amp;IF(J870="","No support | ","")&amp;IF(WEEKDAY(B870,2)&gt;5,"Weekend posting | ","")&amp;IF(COUNTIF(Settings!$A$14:$A$43,B870)&gt;0,"Holiday posting | ","")&amp;IF(B870&gt;Settings!$C$8,"Posted after close | ","")&amp;IF(OR(B870&lt;Settings!$C$6,B870&gt;Settings!$C$7),"Outside period | ","")&amp;IF(COUNTIF(Settings!$E$14:$E$43,C870&amp;"")&gt;0,"Sensitive account | ","")&amp;IF(AND(MAX(N(E870),N(F870))&gt;=Settings!$C$9,MOD(MAX(N(E870),N(F870)),Settings!$C$10)=0),"Round amount | ",""),LEN(IF(K870="No","Does not balance | ","")&amp;IF(I870="","Not approved | ",IF(UPPER(TRIM(H870))=UPPER(TRIM(I870)),"Self-approved | ",""))&amp;IF(J870="","No support | ","")&amp;IF(WEEKDAY(B870,2)&gt;5,"Weekend posting | ","")&amp;IF(COUNTIF(Settings!$A$14:$A$43,B870)&gt;0,"Holiday posting | ","")&amp;IF(B870&gt;Settings!$C$8,"Posted after close | ","")&amp;IF(OR(B870&lt;Settings!$C$6,B870&gt;Settings!$C$7),"Outside period | ","")&amp;IF(COUNTIF(Settings!$E$14:$E$43,C870&amp;"")&gt;0,"Sensitive account | ","")&amp;IF(AND(MAX(N(E870),N(F870))&gt;=Settings!$C$9,MOD(MAX(N(E870),N(F870)),Settings!$C$10)=0),"Round amount | ",""))-3)))</f>
        <v/>
      </c>
      <c r="M870" s="21" t="str">
        <f aca="false">IF(A870="","",IF(COUNTIF($A$9:A870,A870)=1,MAX($M$8:M869)+1,""))</f>
        <v/>
      </c>
    </row>
    <row r="871" customFormat="false" ht="15" hidden="false" customHeight="false" outlineLevel="0" collapsed="false">
      <c r="A871" s="8"/>
      <c r="B871" s="17"/>
      <c r="C871" s="19"/>
      <c r="D871" s="8"/>
      <c r="E871" s="18"/>
      <c r="F871" s="18"/>
      <c r="G871" s="8"/>
      <c r="H871" s="8"/>
      <c r="I871" s="8"/>
      <c r="J871" s="8"/>
      <c r="K871" s="10" t="str">
        <f aca="false">IF(A871="","",IF(ABS(SUMIFS($E$9:$E$2008,$A$9:$A$2008,A871)-SUMIFS($F$9:$F$2008,$A$9:$A$2008,A871))&lt;0.5,"Yes","No"))</f>
        <v/>
      </c>
      <c r="L871" s="10" t="str">
        <f aca="false">IF(A871="","",IF(IF(K871="No","Does not balance | ","")&amp;IF(I871="","Not approved | ",IF(UPPER(TRIM(H871))=UPPER(TRIM(I871)),"Self-approved | ",""))&amp;IF(J871="","No support | ","")&amp;IF(WEEKDAY(B871,2)&gt;5,"Weekend posting | ","")&amp;IF(COUNTIF(Settings!$A$14:$A$43,B871)&gt;0,"Holiday posting | ","")&amp;IF(B871&gt;Settings!$C$8,"Posted after close | ","")&amp;IF(OR(B871&lt;Settings!$C$6,B871&gt;Settings!$C$7),"Outside period | ","")&amp;IF(COUNTIF(Settings!$E$14:$E$43,C871&amp;"")&gt;0,"Sensitive account | ","")&amp;IF(AND(MAX(N(E871),N(F871))&gt;=Settings!$C$9,MOD(MAX(N(E871),N(F871)),Settings!$C$10)=0),"Round amount | ","")="","",LEFT(IF(K871="No","Does not balance | ","")&amp;IF(I871="","Not approved | ",IF(UPPER(TRIM(H871))=UPPER(TRIM(I871)),"Self-approved | ",""))&amp;IF(J871="","No support | ","")&amp;IF(WEEKDAY(B871,2)&gt;5,"Weekend posting | ","")&amp;IF(COUNTIF(Settings!$A$14:$A$43,B871)&gt;0,"Holiday posting | ","")&amp;IF(B871&gt;Settings!$C$8,"Posted after close | ","")&amp;IF(OR(B871&lt;Settings!$C$6,B871&gt;Settings!$C$7),"Outside period | ","")&amp;IF(COUNTIF(Settings!$E$14:$E$43,C871&amp;"")&gt;0,"Sensitive account | ","")&amp;IF(AND(MAX(N(E871),N(F871))&gt;=Settings!$C$9,MOD(MAX(N(E871),N(F871)),Settings!$C$10)=0),"Round amount | ",""),LEN(IF(K871="No","Does not balance | ","")&amp;IF(I871="","Not approved | ",IF(UPPER(TRIM(H871))=UPPER(TRIM(I871)),"Self-approved | ",""))&amp;IF(J871="","No support | ","")&amp;IF(WEEKDAY(B871,2)&gt;5,"Weekend posting | ","")&amp;IF(COUNTIF(Settings!$A$14:$A$43,B871)&gt;0,"Holiday posting | ","")&amp;IF(B871&gt;Settings!$C$8,"Posted after close | ","")&amp;IF(OR(B871&lt;Settings!$C$6,B871&gt;Settings!$C$7),"Outside period | ","")&amp;IF(COUNTIF(Settings!$E$14:$E$43,C871&amp;"")&gt;0,"Sensitive account | ","")&amp;IF(AND(MAX(N(E871),N(F871))&gt;=Settings!$C$9,MOD(MAX(N(E871),N(F871)),Settings!$C$10)=0),"Round amount | ",""))-3)))</f>
        <v/>
      </c>
      <c r="M871" s="21" t="str">
        <f aca="false">IF(A871="","",IF(COUNTIF($A$9:A871,A871)=1,MAX($M$8:M870)+1,""))</f>
        <v/>
      </c>
    </row>
    <row r="872" customFormat="false" ht="15" hidden="false" customHeight="false" outlineLevel="0" collapsed="false">
      <c r="A872" s="8"/>
      <c r="B872" s="17"/>
      <c r="C872" s="19"/>
      <c r="D872" s="8"/>
      <c r="E872" s="18"/>
      <c r="F872" s="18"/>
      <c r="G872" s="8"/>
      <c r="H872" s="8"/>
      <c r="I872" s="8"/>
      <c r="J872" s="8"/>
      <c r="K872" s="10" t="str">
        <f aca="false">IF(A872="","",IF(ABS(SUMIFS($E$9:$E$2008,$A$9:$A$2008,A872)-SUMIFS($F$9:$F$2008,$A$9:$A$2008,A872))&lt;0.5,"Yes","No"))</f>
        <v/>
      </c>
      <c r="L872" s="10" t="str">
        <f aca="false">IF(A872="","",IF(IF(K872="No","Does not balance | ","")&amp;IF(I872="","Not approved | ",IF(UPPER(TRIM(H872))=UPPER(TRIM(I872)),"Self-approved | ",""))&amp;IF(J872="","No support | ","")&amp;IF(WEEKDAY(B872,2)&gt;5,"Weekend posting | ","")&amp;IF(COUNTIF(Settings!$A$14:$A$43,B872)&gt;0,"Holiday posting | ","")&amp;IF(B872&gt;Settings!$C$8,"Posted after close | ","")&amp;IF(OR(B872&lt;Settings!$C$6,B872&gt;Settings!$C$7),"Outside period | ","")&amp;IF(COUNTIF(Settings!$E$14:$E$43,C872&amp;"")&gt;0,"Sensitive account | ","")&amp;IF(AND(MAX(N(E872),N(F872))&gt;=Settings!$C$9,MOD(MAX(N(E872),N(F872)),Settings!$C$10)=0),"Round amount | ","")="","",LEFT(IF(K872="No","Does not balance | ","")&amp;IF(I872="","Not approved | ",IF(UPPER(TRIM(H872))=UPPER(TRIM(I872)),"Self-approved | ",""))&amp;IF(J872="","No support | ","")&amp;IF(WEEKDAY(B872,2)&gt;5,"Weekend posting | ","")&amp;IF(COUNTIF(Settings!$A$14:$A$43,B872)&gt;0,"Holiday posting | ","")&amp;IF(B872&gt;Settings!$C$8,"Posted after close | ","")&amp;IF(OR(B872&lt;Settings!$C$6,B872&gt;Settings!$C$7),"Outside period | ","")&amp;IF(COUNTIF(Settings!$E$14:$E$43,C872&amp;"")&gt;0,"Sensitive account | ","")&amp;IF(AND(MAX(N(E872),N(F872))&gt;=Settings!$C$9,MOD(MAX(N(E872),N(F872)),Settings!$C$10)=0),"Round amount | ",""),LEN(IF(K872="No","Does not balance | ","")&amp;IF(I872="","Not approved | ",IF(UPPER(TRIM(H872))=UPPER(TRIM(I872)),"Self-approved | ",""))&amp;IF(J872="","No support | ","")&amp;IF(WEEKDAY(B872,2)&gt;5,"Weekend posting | ","")&amp;IF(COUNTIF(Settings!$A$14:$A$43,B872)&gt;0,"Holiday posting | ","")&amp;IF(B872&gt;Settings!$C$8,"Posted after close | ","")&amp;IF(OR(B872&lt;Settings!$C$6,B872&gt;Settings!$C$7),"Outside period | ","")&amp;IF(COUNTIF(Settings!$E$14:$E$43,C872&amp;"")&gt;0,"Sensitive account | ","")&amp;IF(AND(MAX(N(E872),N(F872))&gt;=Settings!$C$9,MOD(MAX(N(E872),N(F872)),Settings!$C$10)=0),"Round amount | ",""))-3)))</f>
        <v/>
      </c>
      <c r="M872" s="21" t="str">
        <f aca="false">IF(A872="","",IF(COUNTIF($A$9:A872,A872)=1,MAX($M$8:M871)+1,""))</f>
        <v/>
      </c>
    </row>
    <row r="873" customFormat="false" ht="15" hidden="false" customHeight="false" outlineLevel="0" collapsed="false">
      <c r="A873" s="8"/>
      <c r="B873" s="17"/>
      <c r="C873" s="19"/>
      <c r="D873" s="8"/>
      <c r="E873" s="18"/>
      <c r="F873" s="18"/>
      <c r="G873" s="8"/>
      <c r="H873" s="8"/>
      <c r="I873" s="8"/>
      <c r="J873" s="8"/>
      <c r="K873" s="10" t="str">
        <f aca="false">IF(A873="","",IF(ABS(SUMIFS($E$9:$E$2008,$A$9:$A$2008,A873)-SUMIFS($F$9:$F$2008,$A$9:$A$2008,A873))&lt;0.5,"Yes","No"))</f>
        <v/>
      </c>
      <c r="L873" s="10" t="str">
        <f aca="false">IF(A873="","",IF(IF(K873="No","Does not balance | ","")&amp;IF(I873="","Not approved | ",IF(UPPER(TRIM(H873))=UPPER(TRIM(I873)),"Self-approved | ",""))&amp;IF(J873="","No support | ","")&amp;IF(WEEKDAY(B873,2)&gt;5,"Weekend posting | ","")&amp;IF(COUNTIF(Settings!$A$14:$A$43,B873)&gt;0,"Holiday posting | ","")&amp;IF(B873&gt;Settings!$C$8,"Posted after close | ","")&amp;IF(OR(B873&lt;Settings!$C$6,B873&gt;Settings!$C$7),"Outside period | ","")&amp;IF(COUNTIF(Settings!$E$14:$E$43,C873&amp;"")&gt;0,"Sensitive account | ","")&amp;IF(AND(MAX(N(E873),N(F873))&gt;=Settings!$C$9,MOD(MAX(N(E873),N(F873)),Settings!$C$10)=0),"Round amount | ","")="","",LEFT(IF(K873="No","Does not balance | ","")&amp;IF(I873="","Not approved | ",IF(UPPER(TRIM(H873))=UPPER(TRIM(I873)),"Self-approved | ",""))&amp;IF(J873="","No support | ","")&amp;IF(WEEKDAY(B873,2)&gt;5,"Weekend posting | ","")&amp;IF(COUNTIF(Settings!$A$14:$A$43,B873)&gt;0,"Holiday posting | ","")&amp;IF(B873&gt;Settings!$C$8,"Posted after close | ","")&amp;IF(OR(B873&lt;Settings!$C$6,B873&gt;Settings!$C$7),"Outside period | ","")&amp;IF(COUNTIF(Settings!$E$14:$E$43,C873&amp;"")&gt;0,"Sensitive account | ","")&amp;IF(AND(MAX(N(E873),N(F873))&gt;=Settings!$C$9,MOD(MAX(N(E873),N(F873)),Settings!$C$10)=0),"Round amount | ",""),LEN(IF(K873="No","Does not balance | ","")&amp;IF(I873="","Not approved | ",IF(UPPER(TRIM(H873))=UPPER(TRIM(I873)),"Self-approved | ",""))&amp;IF(J873="","No support | ","")&amp;IF(WEEKDAY(B873,2)&gt;5,"Weekend posting | ","")&amp;IF(COUNTIF(Settings!$A$14:$A$43,B873)&gt;0,"Holiday posting | ","")&amp;IF(B873&gt;Settings!$C$8,"Posted after close | ","")&amp;IF(OR(B873&lt;Settings!$C$6,B873&gt;Settings!$C$7),"Outside period | ","")&amp;IF(COUNTIF(Settings!$E$14:$E$43,C873&amp;"")&gt;0,"Sensitive account | ","")&amp;IF(AND(MAX(N(E873),N(F873))&gt;=Settings!$C$9,MOD(MAX(N(E873),N(F873)),Settings!$C$10)=0),"Round amount | ",""))-3)))</f>
        <v/>
      </c>
      <c r="M873" s="21" t="str">
        <f aca="false">IF(A873="","",IF(COUNTIF($A$9:A873,A873)=1,MAX($M$8:M872)+1,""))</f>
        <v/>
      </c>
    </row>
    <row r="874" customFormat="false" ht="15" hidden="false" customHeight="false" outlineLevel="0" collapsed="false">
      <c r="A874" s="8"/>
      <c r="B874" s="17"/>
      <c r="C874" s="19"/>
      <c r="D874" s="8"/>
      <c r="E874" s="18"/>
      <c r="F874" s="18"/>
      <c r="G874" s="8"/>
      <c r="H874" s="8"/>
      <c r="I874" s="8"/>
      <c r="J874" s="8"/>
      <c r="K874" s="10" t="str">
        <f aca="false">IF(A874="","",IF(ABS(SUMIFS($E$9:$E$2008,$A$9:$A$2008,A874)-SUMIFS($F$9:$F$2008,$A$9:$A$2008,A874))&lt;0.5,"Yes","No"))</f>
        <v/>
      </c>
      <c r="L874" s="10" t="str">
        <f aca="false">IF(A874="","",IF(IF(K874="No","Does not balance | ","")&amp;IF(I874="","Not approved | ",IF(UPPER(TRIM(H874))=UPPER(TRIM(I874)),"Self-approved | ",""))&amp;IF(J874="","No support | ","")&amp;IF(WEEKDAY(B874,2)&gt;5,"Weekend posting | ","")&amp;IF(COUNTIF(Settings!$A$14:$A$43,B874)&gt;0,"Holiday posting | ","")&amp;IF(B874&gt;Settings!$C$8,"Posted after close | ","")&amp;IF(OR(B874&lt;Settings!$C$6,B874&gt;Settings!$C$7),"Outside period | ","")&amp;IF(COUNTIF(Settings!$E$14:$E$43,C874&amp;"")&gt;0,"Sensitive account | ","")&amp;IF(AND(MAX(N(E874),N(F874))&gt;=Settings!$C$9,MOD(MAX(N(E874),N(F874)),Settings!$C$10)=0),"Round amount | ","")="","",LEFT(IF(K874="No","Does not balance | ","")&amp;IF(I874="","Not approved | ",IF(UPPER(TRIM(H874))=UPPER(TRIM(I874)),"Self-approved | ",""))&amp;IF(J874="","No support | ","")&amp;IF(WEEKDAY(B874,2)&gt;5,"Weekend posting | ","")&amp;IF(COUNTIF(Settings!$A$14:$A$43,B874)&gt;0,"Holiday posting | ","")&amp;IF(B874&gt;Settings!$C$8,"Posted after close | ","")&amp;IF(OR(B874&lt;Settings!$C$6,B874&gt;Settings!$C$7),"Outside period | ","")&amp;IF(COUNTIF(Settings!$E$14:$E$43,C874&amp;"")&gt;0,"Sensitive account | ","")&amp;IF(AND(MAX(N(E874),N(F874))&gt;=Settings!$C$9,MOD(MAX(N(E874),N(F874)),Settings!$C$10)=0),"Round amount | ",""),LEN(IF(K874="No","Does not balance | ","")&amp;IF(I874="","Not approved | ",IF(UPPER(TRIM(H874))=UPPER(TRIM(I874)),"Self-approved | ",""))&amp;IF(J874="","No support | ","")&amp;IF(WEEKDAY(B874,2)&gt;5,"Weekend posting | ","")&amp;IF(COUNTIF(Settings!$A$14:$A$43,B874)&gt;0,"Holiday posting | ","")&amp;IF(B874&gt;Settings!$C$8,"Posted after close | ","")&amp;IF(OR(B874&lt;Settings!$C$6,B874&gt;Settings!$C$7),"Outside period | ","")&amp;IF(COUNTIF(Settings!$E$14:$E$43,C874&amp;"")&gt;0,"Sensitive account | ","")&amp;IF(AND(MAX(N(E874),N(F874))&gt;=Settings!$C$9,MOD(MAX(N(E874),N(F874)),Settings!$C$10)=0),"Round amount | ",""))-3)))</f>
        <v/>
      </c>
      <c r="M874" s="21" t="str">
        <f aca="false">IF(A874="","",IF(COUNTIF($A$9:A874,A874)=1,MAX($M$8:M873)+1,""))</f>
        <v/>
      </c>
    </row>
    <row r="875" customFormat="false" ht="15" hidden="false" customHeight="false" outlineLevel="0" collapsed="false">
      <c r="A875" s="8"/>
      <c r="B875" s="17"/>
      <c r="C875" s="19"/>
      <c r="D875" s="8"/>
      <c r="E875" s="18"/>
      <c r="F875" s="18"/>
      <c r="G875" s="8"/>
      <c r="H875" s="8"/>
      <c r="I875" s="8"/>
      <c r="J875" s="8"/>
      <c r="K875" s="10" t="str">
        <f aca="false">IF(A875="","",IF(ABS(SUMIFS($E$9:$E$2008,$A$9:$A$2008,A875)-SUMIFS($F$9:$F$2008,$A$9:$A$2008,A875))&lt;0.5,"Yes","No"))</f>
        <v/>
      </c>
      <c r="L875" s="10" t="str">
        <f aca="false">IF(A875="","",IF(IF(K875="No","Does not balance | ","")&amp;IF(I875="","Not approved | ",IF(UPPER(TRIM(H875))=UPPER(TRIM(I875)),"Self-approved | ",""))&amp;IF(J875="","No support | ","")&amp;IF(WEEKDAY(B875,2)&gt;5,"Weekend posting | ","")&amp;IF(COUNTIF(Settings!$A$14:$A$43,B875)&gt;0,"Holiday posting | ","")&amp;IF(B875&gt;Settings!$C$8,"Posted after close | ","")&amp;IF(OR(B875&lt;Settings!$C$6,B875&gt;Settings!$C$7),"Outside period | ","")&amp;IF(COUNTIF(Settings!$E$14:$E$43,C875&amp;"")&gt;0,"Sensitive account | ","")&amp;IF(AND(MAX(N(E875),N(F875))&gt;=Settings!$C$9,MOD(MAX(N(E875),N(F875)),Settings!$C$10)=0),"Round amount | ","")="","",LEFT(IF(K875="No","Does not balance | ","")&amp;IF(I875="","Not approved | ",IF(UPPER(TRIM(H875))=UPPER(TRIM(I875)),"Self-approved | ",""))&amp;IF(J875="","No support | ","")&amp;IF(WEEKDAY(B875,2)&gt;5,"Weekend posting | ","")&amp;IF(COUNTIF(Settings!$A$14:$A$43,B875)&gt;0,"Holiday posting | ","")&amp;IF(B875&gt;Settings!$C$8,"Posted after close | ","")&amp;IF(OR(B875&lt;Settings!$C$6,B875&gt;Settings!$C$7),"Outside period | ","")&amp;IF(COUNTIF(Settings!$E$14:$E$43,C875&amp;"")&gt;0,"Sensitive account | ","")&amp;IF(AND(MAX(N(E875),N(F875))&gt;=Settings!$C$9,MOD(MAX(N(E875),N(F875)),Settings!$C$10)=0),"Round amount | ",""),LEN(IF(K875="No","Does not balance | ","")&amp;IF(I875="","Not approved | ",IF(UPPER(TRIM(H875))=UPPER(TRIM(I875)),"Self-approved | ",""))&amp;IF(J875="","No support | ","")&amp;IF(WEEKDAY(B875,2)&gt;5,"Weekend posting | ","")&amp;IF(COUNTIF(Settings!$A$14:$A$43,B875)&gt;0,"Holiday posting | ","")&amp;IF(B875&gt;Settings!$C$8,"Posted after close | ","")&amp;IF(OR(B875&lt;Settings!$C$6,B875&gt;Settings!$C$7),"Outside period | ","")&amp;IF(COUNTIF(Settings!$E$14:$E$43,C875&amp;"")&gt;0,"Sensitive account | ","")&amp;IF(AND(MAX(N(E875),N(F875))&gt;=Settings!$C$9,MOD(MAX(N(E875),N(F875)),Settings!$C$10)=0),"Round amount | ",""))-3)))</f>
        <v/>
      </c>
      <c r="M875" s="21" t="str">
        <f aca="false">IF(A875="","",IF(COUNTIF($A$9:A875,A875)=1,MAX($M$8:M874)+1,""))</f>
        <v/>
      </c>
    </row>
    <row r="876" customFormat="false" ht="15" hidden="false" customHeight="false" outlineLevel="0" collapsed="false">
      <c r="A876" s="8"/>
      <c r="B876" s="17"/>
      <c r="C876" s="19"/>
      <c r="D876" s="8"/>
      <c r="E876" s="18"/>
      <c r="F876" s="18"/>
      <c r="G876" s="8"/>
      <c r="H876" s="8"/>
      <c r="I876" s="8"/>
      <c r="J876" s="8"/>
      <c r="K876" s="10" t="str">
        <f aca="false">IF(A876="","",IF(ABS(SUMIFS($E$9:$E$2008,$A$9:$A$2008,A876)-SUMIFS($F$9:$F$2008,$A$9:$A$2008,A876))&lt;0.5,"Yes","No"))</f>
        <v/>
      </c>
      <c r="L876" s="10" t="str">
        <f aca="false">IF(A876="","",IF(IF(K876="No","Does not balance | ","")&amp;IF(I876="","Not approved | ",IF(UPPER(TRIM(H876))=UPPER(TRIM(I876)),"Self-approved | ",""))&amp;IF(J876="","No support | ","")&amp;IF(WEEKDAY(B876,2)&gt;5,"Weekend posting | ","")&amp;IF(COUNTIF(Settings!$A$14:$A$43,B876)&gt;0,"Holiday posting | ","")&amp;IF(B876&gt;Settings!$C$8,"Posted after close | ","")&amp;IF(OR(B876&lt;Settings!$C$6,B876&gt;Settings!$C$7),"Outside period | ","")&amp;IF(COUNTIF(Settings!$E$14:$E$43,C876&amp;"")&gt;0,"Sensitive account | ","")&amp;IF(AND(MAX(N(E876),N(F876))&gt;=Settings!$C$9,MOD(MAX(N(E876),N(F876)),Settings!$C$10)=0),"Round amount | ","")="","",LEFT(IF(K876="No","Does not balance | ","")&amp;IF(I876="","Not approved | ",IF(UPPER(TRIM(H876))=UPPER(TRIM(I876)),"Self-approved | ",""))&amp;IF(J876="","No support | ","")&amp;IF(WEEKDAY(B876,2)&gt;5,"Weekend posting | ","")&amp;IF(COUNTIF(Settings!$A$14:$A$43,B876)&gt;0,"Holiday posting | ","")&amp;IF(B876&gt;Settings!$C$8,"Posted after close | ","")&amp;IF(OR(B876&lt;Settings!$C$6,B876&gt;Settings!$C$7),"Outside period | ","")&amp;IF(COUNTIF(Settings!$E$14:$E$43,C876&amp;"")&gt;0,"Sensitive account | ","")&amp;IF(AND(MAX(N(E876),N(F876))&gt;=Settings!$C$9,MOD(MAX(N(E876),N(F876)),Settings!$C$10)=0),"Round amount | ",""),LEN(IF(K876="No","Does not balance | ","")&amp;IF(I876="","Not approved | ",IF(UPPER(TRIM(H876))=UPPER(TRIM(I876)),"Self-approved | ",""))&amp;IF(J876="","No support | ","")&amp;IF(WEEKDAY(B876,2)&gt;5,"Weekend posting | ","")&amp;IF(COUNTIF(Settings!$A$14:$A$43,B876)&gt;0,"Holiday posting | ","")&amp;IF(B876&gt;Settings!$C$8,"Posted after close | ","")&amp;IF(OR(B876&lt;Settings!$C$6,B876&gt;Settings!$C$7),"Outside period | ","")&amp;IF(COUNTIF(Settings!$E$14:$E$43,C876&amp;"")&gt;0,"Sensitive account | ","")&amp;IF(AND(MAX(N(E876),N(F876))&gt;=Settings!$C$9,MOD(MAX(N(E876),N(F876)),Settings!$C$10)=0),"Round amount | ",""))-3)))</f>
        <v/>
      </c>
      <c r="M876" s="21" t="str">
        <f aca="false">IF(A876="","",IF(COUNTIF($A$9:A876,A876)=1,MAX($M$8:M875)+1,""))</f>
        <v/>
      </c>
    </row>
    <row r="877" customFormat="false" ht="15" hidden="false" customHeight="false" outlineLevel="0" collapsed="false">
      <c r="A877" s="8"/>
      <c r="B877" s="17"/>
      <c r="C877" s="19"/>
      <c r="D877" s="8"/>
      <c r="E877" s="18"/>
      <c r="F877" s="18"/>
      <c r="G877" s="8"/>
      <c r="H877" s="8"/>
      <c r="I877" s="8"/>
      <c r="J877" s="8"/>
      <c r="K877" s="10" t="str">
        <f aca="false">IF(A877="","",IF(ABS(SUMIFS($E$9:$E$2008,$A$9:$A$2008,A877)-SUMIFS($F$9:$F$2008,$A$9:$A$2008,A877))&lt;0.5,"Yes","No"))</f>
        <v/>
      </c>
      <c r="L877" s="10" t="str">
        <f aca="false">IF(A877="","",IF(IF(K877="No","Does not balance | ","")&amp;IF(I877="","Not approved | ",IF(UPPER(TRIM(H877))=UPPER(TRIM(I877)),"Self-approved | ",""))&amp;IF(J877="","No support | ","")&amp;IF(WEEKDAY(B877,2)&gt;5,"Weekend posting | ","")&amp;IF(COUNTIF(Settings!$A$14:$A$43,B877)&gt;0,"Holiday posting | ","")&amp;IF(B877&gt;Settings!$C$8,"Posted after close | ","")&amp;IF(OR(B877&lt;Settings!$C$6,B877&gt;Settings!$C$7),"Outside period | ","")&amp;IF(COUNTIF(Settings!$E$14:$E$43,C877&amp;"")&gt;0,"Sensitive account | ","")&amp;IF(AND(MAX(N(E877),N(F877))&gt;=Settings!$C$9,MOD(MAX(N(E877),N(F877)),Settings!$C$10)=0),"Round amount | ","")="","",LEFT(IF(K877="No","Does not balance | ","")&amp;IF(I877="","Not approved | ",IF(UPPER(TRIM(H877))=UPPER(TRIM(I877)),"Self-approved | ",""))&amp;IF(J877="","No support | ","")&amp;IF(WEEKDAY(B877,2)&gt;5,"Weekend posting | ","")&amp;IF(COUNTIF(Settings!$A$14:$A$43,B877)&gt;0,"Holiday posting | ","")&amp;IF(B877&gt;Settings!$C$8,"Posted after close | ","")&amp;IF(OR(B877&lt;Settings!$C$6,B877&gt;Settings!$C$7),"Outside period | ","")&amp;IF(COUNTIF(Settings!$E$14:$E$43,C877&amp;"")&gt;0,"Sensitive account | ","")&amp;IF(AND(MAX(N(E877),N(F877))&gt;=Settings!$C$9,MOD(MAX(N(E877),N(F877)),Settings!$C$10)=0),"Round amount | ",""),LEN(IF(K877="No","Does not balance | ","")&amp;IF(I877="","Not approved | ",IF(UPPER(TRIM(H877))=UPPER(TRIM(I877)),"Self-approved | ",""))&amp;IF(J877="","No support | ","")&amp;IF(WEEKDAY(B877,2)&gt;5,"Weekend posting | ","")&amp;IF(COUNTIF(Settings!$A$14:$A$43,B877)&gt;0,"Holiday posting | ","")&amp;IF(B877&gt;Settings!$C$8,"Posted after close | ","")&amp;IF(OR(B877&lt;Settings!$C$6,B877&gt;Settings!$C$7),"Outside period | ","")&amp;IF(COUNTIF(Settings!$E$14:$E$43,C877&amp;"")&gt;0,"Sensitive account | ","")&amp;IF(AND(MAX(N(E877),N(F877))&gt;=Settings!$C$9,MOD(MAX(N(E877),N(F877)),Settings!$C$10)=0),"Round amount | ",""))-3)))</f>
        <v/>
      </c>
      <c r="M877" s="21" t="str">
        <f aca="false">IF(A877="","",IF(COUNTIF($A$9:A877,A877)=1,MAX($M$8:M876)+1,""))</f>
        <v/>
      </c>
    </row>
    <row r="878" customFormat="false" ht="15" hidden="false" customHeight="false" outlineLevel="0" collapsed="false">
      <c r="A878" s="8"/>
      <c r="B878" s="17"/>
      <c r="C878" s="19"/>
      <c r="D878" s="8"/>
      <c r="E878" s="18"/>
      <c r="F878" s="18"/>
      <c r="G878" s="8"/>
      <c r="H878" s="8"/>
      <c r="I878" s="8"/>
      <c r="J878" s="8"/>
      <c r="K878" s="10" t="str">
        <f aca="false">IF(A878="","",IF(ABS(SUMIFS($E$9:$E$2008,$A$9:$A$2008,A878)-SUMIFS($F$9:$F$2008,$A$9:$A$2008,A878))&lt;0.5,"Yes","No"))</f>
        <v/>
      </c>
      <c r="L878" s="10" t="str">
        <f aca="false">IF(A878="","",IF(IF(K878="No","Does not balance | ","")&amp;IF(I878="","Not approved | ",IF(UPPER(TRIM(H878))=UPPER(TRIM(I878)),"Self-approved | ",""))&amp;IF(J878="","No support | ","")&amp;IF(WEEKDAY(B878,2)&gt;5,"Weekend posting | ","")&amp;IF(COUNTIF(Settings!$A$14:$A$43,B878)&gt;0,"Holiday posting | ","")&amp;IF(B878&gt;Settings!$C$8,"Posted after close | ","")&amp;IF(OR(B878&lt;Settings!$C$6,B878&gt;Settings!$C$7),"Outside period | ","")&amp;IF(COUNTIF(Settings!$E$14:$E$43,C878&amp;"")&gt;0,"Sensitive account | ","")&amp;IF(AND(MAX(N(E878),N(F878))&gt;=Settings!$C$9,MOD(MAX(N(E878),N(F878)),Settings!$C$10)=0),"Round amount | ","")="","",LEFT(IF(K878="No","Does not balance | ","")&amp;IF(I878="","Not approved | ",IF(UPPER(TRIM(H878))=UPPER(TRIM(I878)),"Self-approved | ",""))&amp;IF(J878="","No support | ","")&amp;IF(WEEKDAY(B878,2)&gt;5,"Weekend posting | ","")&amp;IF(COUNTIF(Settings!$A$14:$A$43,B878)&gt;0,"Holiday posting | ","")&amp;IF(B878&gt;Settings!$C$8,"Posted after close | ","")&amp;IF(OR(B878&lt;Settings!$C$6,B878&gt;Settings!$C$7),"Outside period | ","")&amp;IF(COUNTIF(Settings!$E$14:$E$43,C878&amp;"")&gt;0,"Sensitive account | ","")&amp;IF(AND(MAX(N(E878),N(F878))&gt;=Settings!$C$9,MOD(MAX(N(E878),N(F878)),Settings!$C$10)=0),"Round amount | ",""),LEN(IF(K878="No","Does not balance | ","")&amp;IF(I878="","Not approved | ",IF(UPPER(TRIM(H878))=UPPER(TRIM(I878)),"Self-approved | ",""))&amp;IF(J878="","No support | ","")&amp;IF(WEEKDAY(B878,2)&gt;5,"Weekend posting | ","")&amp;IF(COUNTIF(Settings!$A$14:$A$43,B878)&gt;0,"Holiday posting | ","")&amp;IF(B878&gt;Settings!$C$8,"Posted after close | ","")&amp;IF(OR(B878&lt;Settings!$C$6,B878&gt;Settings!$C$7),"Outside period | ","")&amp;IF(COUNTIF(Settings!$E$14:$E$43,C878&amp;"")&gt;0,"Sensitive account | ","")&amp;IF(AND(MAX(N(E878),N(F878))&gt;=Settings!$C$9,MOD(MAX(N(E878),N(F878)),Settings!$C$10)=0),"Round amount | ",""))-3)))</f>
        <v/>
      </c>
      <c r="M878" s="21" t="str">
        <f aca="false">IF(A878="","",IF(COUNTIF($A$9:A878,A878)=1,MAX($M$8:M877)+1,""))</f>
        <v/>
      </c>
    </row>
    <row r="879" customFormat="false" ht="15" hidden="false" customHeight="false" outlineLevel="0" collapsed="false">
      <c r="A879" s="8"/>
      <c r="B879" s="17"/>
      <c r="C879" s="19"/>
      <c r="D879" s="8"/>
      <c r="E879" s="18"/>
      <c r="F879" s="18"/>
      <c r="G879" s="8"/>
      <c r="H879" s="8"/>
      <c r="I879" s="8"/>
      <c r="J879" s="8"/>
      <c r="K879" s="10" t="str">
        <f aca="false">IF(A879="","",IF(ABS(SUMIFS($E$9:$E$2008,$A$9:$A$2008,A879)-SUMIFS($F$9:$F$2008,$A$9:$A$2008,A879))&lt;0.5,"Yes","No"))</f>
        <v/>
      </c>
      <c r="L879" s="10" t="str">
        <f aca="false">IF(A879="","",IF(IF(K879="No","Does not balance | ","")&amp;IF(I879="","Not approved | ",IF(UPPER(TRIM(H879))=UPPER(TRIM(I879)),"Self-approved | ",""))&amp;IF(J879="","No support | ","")&amp;IF(WEEKDAY(B879,2)&gt;5,"Weekend posting | ","")&amp;IF(COUNTIF(Settings!$A$14:$A$43,B879)&gt;0,"Holiday posting | ","")&amp;IF(B879&gt;Settings!$C$8,"Posted after close | ","")&amp;IF(OR(B879&lt;Settings!$C$6,B879&gt;Settings!$C$7),"Outside period | ","")&amp;IF(COUNTIF(Settings!$E$14:$E$43,C879&amp;"")&gt;0,"Sensitive account | ","")&amp;IF(AND(MAX(N(E879),N(F879))&gt;=Settings!$C$9,MOD(MAX(N(E879),N(F879)),Settings!$C$10)=0),"Round amount | ","")="","",LEFT(IF(K879="No","Does not balance | ","")&amp;IF(I879="","Not approved | ",IF(UPPER(TRIM(H879))=UPPER(TRIM(I879)),"Self-approved | ",""))&amp;IF(J879="","No support | ","")&amp;IF(WEEKDAY(B879,2)&gt;5,"Weekend posting | ","")&amp;IF(COUNTIF(Settings!$A$14:$A$43,B879)&gt;0,"Holiday posting | ","")&amp;IF(B879&gt;Settings!$C$8,"Posted after close | ","")&amp;IF(OR(B879&lt;Settings!$C$6,B879&gt;Settings!$C$7),"Outside period | ","")&amp;IF(COUNTIF(Settings!$E$14:$E$43,C879&amp;"")&gt;0,"Sensitive account | ","")&amp;IF(AND(MAX(N(E879),N(F879))&gt;=Settings!$C$9,MOD(MAX(N(E879),N(F879)),Settings!$C$10)=0),"Round amount | ",""),LEN(IF(K879="No","Does not balance | ","")&amp;IF(I879="","Not approved | ",IF(UPPER(TRIM(H879))=UPPER(TRIM(I879)),"Self-approved | ",""))&amp;IF(J879="","No support | ","")&amp;IF(WEEKDAY(B879,2)&gt;5,"Weekend posting | ","")&amp;IF(COUNTIF(Settings!$A$14:$A$43,B879)&gt;0,"Holiday posting | ","")&amp;IF(B879&gt;Settings!$C$8,"Posted after close | ","")&amp;IF(OR(B879&lt;Settings!$C$6,B879&gt;Settings!$C$7),"Outside period | ","")&amp;IF(COUNTIF(Settings!$E$14:$E$43,C879&amp;"")&gt;0,"Sensitive account | ","")&amp;IF(AND(MAX(N(E879),N(F879))&gt;=Settings!$C$9,MOD(MAX(N(E879),N(F879)),Settings!$C$10)=0),"Round amount | ",""))-3)))</f>
        <v/>
      </c>
      <c r="M879" s="21" t="str">
        <f aca="false">IF(A879="","",IF(COUNTIF($A$9:A879,A879)=1,MAX($M$8:M878)+1,""))</f>
        <v/>
      </c>
    </row>
    <row r="880" customFormat="false" ht="15" hidden="false" customHeight="false" outlineLevel="0" collapsed="false">
      <c r="A880" s="8"/>
      <c r="B880" s="17"/>
      <c r="C880" s="19"/>
      <c r="D880" s="8"/>
      <c r="E880" s="18"/>
      <c r="F880" s="18"/>
      <c r="G880" s="8"/>
      <c r="H880" s="8"/>
      <c r="I880" s="8"/>
      <c r="J880" s="8"/>
      <c r="K880" s="10" t="str">
        <f aca="false">IF(A880="","",IF(ABS(SUMIFS($E$9:$E$2008,$A$9:$A$2008,A880)-SUMIFS($F$9:$F$2008,$A$9:$A$2008,A880))&lt;0.5,"Yes","No"))</f>
        <v/>
      </c>
      <c r="L880" s="10" t="str">
        <f aca="false">IF(A880="","",IF(IF(K880="No","Does not balance | ","")&amp;IF(I880="","Not approved | ",IF(UPPER(TRIM(H880))=UPPER(TRIM(I880)),"Self-approved | ",""))&amp;IF(J880="","No support | ","")&amp;IF(WEEKDAY(B880,2)&gt;5,"Weekend posting | ","")&amp;IF(COUNTIF(Settings!$A$14:$A$43,B880)&gt;0,"Holiday posting | ","")&amp;IF(B880&gt;Settings!$C$8,"Posted after close | ","")&amp;IF(OR(B880&lt;Settings!$C$6,B880&gt;Settings!$C$7),"Outside period | ","")&amp;IF(COUNTIF(Settings!$E$14:$E$43,C880&amp;"")&gt;0,"Sensitive account | ","")&amp;IF(AND(MAX(N(E880),N(F880))&gt;=Settings!$C$9,MOD(MAX(N(E880),N(F880)),Settings!$C$10)=0),"Round amount | ","")="","",LEFT(IF(K880="No","Does not balance | ","")&amp;IF(I880="","Not approved | ",IF(UPPER(TRIM(H880))=UPPER(TRIM(I880)),"Self-approved | ",""))&amp;IF(J880="","No support | ","")&amp;IF(WEEKDAY(B880,2)&gt;5,"Weekend posting | ","")&amp;IF(COUNTIF(Settings!$A$14:$A$43,B880)&gt;0,"Holiday posting | ","")&amp;IF(B880&gt;Settings!$C$8,"Posted after close | ","")&amp;IF(OR(B880&lt;Settings!$C$6,B880&gt;Settings!$C$7),"Outside period | ","")&amp;IF(COUNTIF(Settings!$E$14:$E$43,C880&amp;"")&gt;0,"Sensitive account | ","")&amp;IF(AND(MAX(N(E880),N(F880))&gt;=Settings!$C$9,MOD(MAX(N(E880),N(F880)),Settings!$C$10)=0),"Round amount | ",""),LEN(IF(K880="No","Does not balance | ","")&amp;IF(I880="","Not approved | ",IF(UPPER(TRIM(H880))=UPPER(TRIM(I880)),"Self-approved | ",""))&amp;IF(J880="","No support | ","")&amp;IF(WEEKDAY(B880,2)&gt;5,"Weekend posting | ","")&amp;IF(COUNTIF(Settings!$A$14:$A$43,B880)&gt;0,"Holiday posting | ","")&amp;IF(B880&gt;Settings!$C$8,"Posted after close | ","")&amp;IF(OR(B880&lt;Settings!$C$6,B880&gt;Settings!$C$7),"Outside period | ","")&amp;IF(COUNTIF(Settings!$E$14:$E$43,C880&amp;"")&gt;0,"Sensitive account | ","")&amp;IF(AND(MAX(N(E880),N(F880))&gt;=Settings!$C$9,MOD(MAX(N(E880),N(F880)),Settings!$C$10)=0),"Round amount | ",""))-3)))</f>
        <v/>
      </c>
      <c r="M880" s="21" t="str">
        <f aca="false">IF(A880="","",IF(COUNTIF($A$9:A880,A880)=1,MAX($M$8:M879)+1,""))</f>
        <v/>
      </c>
    </row>
    <row r="881" customFormat="false" ht="15" hidden="false" customHeight="false" outlineLevel="0" collapsed="false">
      <c r="A881" s="8"/>
      <c r="B881" s="17"/>
      <c r="C881" s="19"/>
      <c r="D881" s="8"/>
      <c r="E881" s="18"/>
      <c r="F881" s="18"/>
      <c r="G881" s="8"/>
      <c r="H881" s="8"/>
      <c r="I881" s="8"/>
      <c r="J881" s="8"/>
      <c r="K881" s="10" t="str">
        <f aca="false">IF(A881="","",IF(ABS(SUMIFS($E$9:$E$2008,$A$9:$A$2008,A881)-SUMIFS($F$9:$F$2008,$A$9:$A$2008,A881))&lt;0.5,"Yes","No"))</f>
        <v/>
      </c>
      <c r="L881" s="10" t="str">
        <f aca="false">IF(A881="","",IF(IF(K881="No","Does not balance | ","")&amp;IF(I881="","Not approved | ",IF(UPPER(TRIM(H881))=UPPER(TRIM(I881)),"Self-approved | ",""))&amp;IF(J881="","No support | ","")&amp;IF(WEEKDAY(B881,2)&gt;5,"Weekend posting | ","")&amp;IF(COUNTIF(Settings!$A$14:$A$43,B881)&gt;0,"Holiday posting | ","")&amp;IF(B881&gt;Settings!$C$8,"Posted after close | ","")&amp;IF(OR(B881&lt;Settings!$C$6,B881&gt;Settings!$C$7),"Outside period | ","")&amp;IF(COUNTIF(Settings!$E$14:$E$43,C881&amp;"")&gt;0,"Sensitive account | ","")&amp;IF(AND(MAX(N(E881),N(F881))&gt;=Settings!$C$9,MOD(MAX(N(E881),N(F881)),Settings!$C$10)=0),"Round amount | ","")="","",LEFT(IF(K881="No","Does not balance | ","")&amp;IF(I881="","Not approved | ",IF(UPPER(TRIM(H881))=UPPER(TRIM(I881)),"Self-approved | ",""))&amp;IF(J881="","No support | ","")&amp;IF(WEEKDAY(B881,2)&gt;5,"Weekend posting | ","")&amp;IF(COUNTIF(Settings!$A$14:$A$43,B881)&gt;0,"Holiday posting | ","")&amp;IF(B881&gt;Settings!$C$8,"Posted after close | ","")&amp;IF(OR(B881&lt;Settings!$C$6,B881&gt;Settings!$C$7),"Outside period | ","")&amp;IF(COUNTIF(Settings!$E$14:$E$43,C881&amp;"")&gt;0,"Sensitive account | ","")&amp;IF(AND(MAX(N(E881),N(F881))&gt;=Settings!$C$9,MOD(MAX(N(E881),N(F881)),Settings!$C$10)=0),"Round amount | ",""),LEN(IF(K881="No","Does not balance | ","")&amp;IF(I881="","Not approved | ",IF(UPPER(TRIM(H881))=UPPER(TRIM(I881)),"Self-approved | ",""))&amp;IF(J881="","No support | ","")&amp;IF(WEEKDAY(B881,2)&gt;5,"Weekend posting | ","")&amp;IF(COUNTIF(Settings!$A$14:$A$43,B881)&gt;0,"Holiday posting | ","")&amp;IF(B881&gt;Settings!$C$8,"Posted after close | ","")&amp;IF(OR(B881&lt;Settings!$C$6,B881&gt;Settings!$C$7),"Outside period | ","")&amp;IF(COUNTIF(Settings!$E$14:$E$43,C881&amp;"")&gt;0,"Sensitive account | ","")&amp;IF(AND(MAX(N(E881),N(F881))&gt;=Settings!$C$9,MOD(MAX(N(E881),N(F881)),Settings!$C$10)=0),"Round amount | ",""))-3)))</f>
        <v/>
      </c>
      <c r="M881" s="21" t="str">
        <f aca="false">IF(A881="","",IF(COUNTIF($A$9:A881,A881)=1,MAX($M$8:M880)+1,""))</f>
        <v/>
      </c>
    </row>
    <row r="882" customFormat="false" ht="15" hidden="false" customHeight="false" outlineLevel="0" collapsed="false">
      <c r="A882" s="8"/>
      <c r="B882" s="17"/>
      <c r="C882" s="19"/>
      <c r="D882" s="8"/>
      <c r="E882" s="18"/>
      <c r="F882" s="18"/>
      <c r="G882" s="8"/>
      <c r="H882" s="8"/>
      <c r="I882" s="8"/>
      <c r="J882" s="8"/>
      <c r="K882" s="10" t="str">
        <f aca="false">IF(A882="","",IF(ABS(SUMIFS($E$9:$E$2008,$A$9:$A$2008,A882)-SUMIFS($F$9:$F$2008,$A$9:$A$2008,A882))&lt;0.5,"Yes","No"))</f>
        <v/>
      </c>
      <c r="L882" s="10" t="str">
        <f aca="false">IF(A882="","",IF(IF(K882="No","Does not balance | ","")&amp;IF(I882="","Not approved | ",IF(UPPER(TRIM(H882))=UPPER(TRIM(I882)),"Self-approved | ",""))&amp;IF(J882="","No support | ","")&amp;IF(WEEKDAY(B882,2)&gt;5,"Weekend posting | ","")&amp;IF(COUNTIF(Settings!$A$14:$A$43,B882)&gt;0,"Holiday posting | ","")&amp;IF(B882&gt;Settings!$C$8,"Posted after close | ","")&amp;IF(OR(B882&lt;Settings!$C$6,B882&gt;Settings!$C$7),"Outside period | ","")&amp;IF(COUNTIF(Settings!$E$14:$E$43,C882&amp;"")&gt;0,"Sensitive account | ","")&amp;IF(AND(MAX(N(E882),N(F882))&gt;=Settings!$C$9,MOD(MAX(N(E882),N(F882)),Settings!$C$10)=0),"Round amount | ","")="","",LEFT(IF(K882="No","Does not balance | ","")&amp;IF(I882="","Not approved | ",IF(UPPER(TRIM(H882))=UPPER(TRIM(I882)),"Self-approved | ",""))&amp;IF(J882="","No support | ","")&amp;IF(WEEKDAY(B882,2)&gt;5,"Weekend posting | ","")&amp;IF(COUNTIF(Settings!$A$14:$A$43,B882)&gt;0,"Holiday posting | ","")&amp;IF(B882&gt;Settings!$C$8,"Posted after close | ","")&amp;IF(OR(B882&lt;Settings!$C$6,B882&gt;Settings!$C$7),"Outside period | ","")&amp;IF(COUNTIF(Settings!$E$14:$E$43,C882&amp;"")&gt;0,"Sensitive account | ","")&amp;IF(AND(MAX(N(E882),N(F882))&gt;=Settings!$C$9,MOD(MAX(N(E882),N(F882)),Settings!$C$10)=0),"Round amount | ",""),LEN(IF(K882="No","Does not balance | ","")&amp;IF(I882="","Not approved | ",IF(UPPER(TRIM(H882))=UPPER(TRIM(I882)),"Self-approved | ",""))&amp;IF(J882="","No support | ","")&amp;IF(WEEKDAY(B882,2)&gt;5,"Weekend posting | ","")&amp;IF(COUNTIF(Settings!$A$14:$A$43,B882)&gt;0,"Holiday posting | ","")&amp;IF(B882&gt;Settings!$C$8,"Posted after close | ","")&amp;IF(OR(B882&lt;Settings!$C$6,B882&gt;Settings!$C$7),"Outside period | ","")&amp;IF(COUNTIF(Settings!$E$14:$E$43,C882&amp;"")&gt;0,"Sensitive account | ","")&amp;IF(AND(MAX(N(E882),N(F882))&gt;=Settings!$C$9,MOD(MAX(N(E882),N(F882)),Settings!$C$10)=0),"Round amount | ",""))-3)))</f>
        <v/>
      </c>
      <c r="M882" s="21" t="str">
        <f aca="false">IF(A882="","",IF(COUNTIF($A$9:A882,A882)=1,MAX($M$8:M881)+1,""))</f>
        <v/>
      </c>
    </row>
    <row r="883" customFormat="false" ht="15" hidden="false" customHeight="false" outlineLevel="0" collapsed="false">
      <c r="A883" s="8"/>
      <c r="B883" s="17"/>
      <c r="C883" s="19"/>
      <c r="D883" s="8"/>
      <c r="E883" s="18"/>
      <c r="F883" s="18"/>
      <c r="G883" s="8"/>
      <c r="H883" s="8"/>
      <c r="I883" s="8"/>
      <c r="J883" s="8"/>
      <c r="K883" s="10" t="str">
        <f aca="false">IF(A883="","",IF(ABS(SUMIFS($E$9:$E$2008,$A$9:$A$2008,A883)-SUMIFS($F$9:$F$2008,$A$9:$A$2008,A883))&lt;0.5,"Yes","No"))</f>
        <v/>
      </c>
      <c r="L883" s="10" t="str">
        <f aca="false">IF(A883="","",IF(IF(K883="No","Does not balance | ","")&amp;IF(I883="","Not approved | ",IF(UPPER(TRIM(H883))=UPPER(TRIM(I883)),"Self-approved | ",""))&amp;IF(J883="","No support | ","")&amp;IF(WEEKDAY(B883,2)&gt;5,"Weekend posting | ","")&amp;IF(COUNTIF(Settings!$A$14:$A$43,B883)&gt;0,"Holiday posting | ","")&amp;IF(B883&gt;Settings!$C$8,"Posted after close | ","")&amp;IF(OR(B883&lt;Settings!$C$6,B883&gt;Settings!$C$7),"Outside period | ","")&amp;IF(COUNTIF(Settings!$E$14:$E$43,C883&amp;"")&gt;0,"Sensitive account | ","")&amp;IF(AND(MAX(N(E883),N(F883))&gt;=Settings!$C$9,MOD(MAX(N(E883),N(F883)),Settings!$C$10)=0),"Round amount | ","")="","",LEFT(IF(K883="No","Does not balance | ","")&amp;IF(I883="","Not approved | ",IF(UPPER(TRIM(H883))=UPPER(TRIM(I883)),"Self-approved | ",""))&amp;IF(J883="","No support | ","")&amp;IF(WEEKDAY(B883,2)&gt;5,"Weekend posting | ","")&amp;IF(COUNTIF(Settings!$A$14:$A$43,B883)&gt;0,"Holiday posting | ","")&amp;IF(B883&gt;Settings!$C$8,"Posted after close | ","")&amp;IF(OR(B883&lt;Settings!$C$6,B883&gt;Settings!$C$7),"Outside period | ","")&amp;IF(COUNTIF(Settings!$E$14:$E$43,C883&amp;"")&gt;0,"Sensitive account | ","")&amp;IF(AND(MAX(N(E883),N(F883))&gt;=Settings!$C$9,MOD(MAX(N(E883),N(F883)),Settings!$C$10)=0),"Round amount | ",""),LEN(IF(K883="No","Does not balance | ","")&amp;IF(I883="","Not approved | ",IF(UPPER(TRIM(H883))=UPPER(TRIM(I883)),"Self-approved | ",""))&amp;IF(J883="","No support | ","")&amp;IF(WEEKDAY(B883,2)&gt;5,"Weekend posting | ","")&amp;IF(COUNTIF(Settings!$A$14:$A$43,B883)&gt;0,"Holiday posting | ","")&amp;IF(B883&gt;Settings!$C$8,"Posted after close | ","")&amp;IF(OR(B883&lt;Settings!$C$6,B883&gt;Settings!$C$7),"Outside period | ","")&amp;IF(COUNTIF(Settings!$E$14:$E$43,C883&amp;"")&gt;0,"Sensitive account | ","")&amp;IF(AND(MAX(N(E883),N(F883))&gt;=Settings!$C$9,MOD(MAX(N(E883),N(F883)),Settings!$C$10)=0),"Round amount | ",""))-3)))</f>
        <v/>
      </c>
      <c r="M883" s="21" t="str">
        <f aca="false">IF(A883="","",IF(COUNTIF($A$9:A883,A883)=1,MAX($M$8:M882)+1,""))</f>
        <v/>
      </c>
    </row>
    <row r="884" customFormat="false" ht="15" hidden="false" customHeight="false" outlineLevel="0" collapsed="false">
      <c r="A884" s="8"/>
      <c r="B884" s="17"/>
      <c r="C884" s="19"/>
      <c r="D884" s="8"/>
      <c r="E884" s="18"/>
      <c r="F884" s="18"/>
      <c r="G884" s="8"/>
      <c r="H884" s="8"/>
      <c r="I884" s="8"/>
      <c r="J884" s="8"/>
      <c r="K884" s="10" t="str">
        <f aca="false">IF(A884="","",IF(ABS(SUMIFS($E$9:$E$2008,$A$9:$A$2008,A884)-SUMIFS($F$9:$F$2008,$A$9:$A$2008,A884))&lt;0.5,"Yes","No"))</f>
        <v/>
      </c>
      <c r="L884" s="10" t="str">
        <f aca="false">IF(A884="","",IF(IF(K884="No","Does not balance | ","")&amp;IF(I884="","Not approved | ",IF(UPPER(TRIM(H884))=UPPER(TRIM(I884)),"Self-approved | ",""))&amp;IF(J884="","No support | ","")&amp;IF(WEEKDAY(B884,2)&gt;5,"Weekend posting | ","")&amp;IF(COUNTIF(Settings!$A$14:$A$43,B884)&gt;0,"Holiday posting | ","")&amp;IF(B884&gt;Settings!$C$8,"Posted after close | ","")&amp;IF(OR(B884&lt;Settings!$C$6,B884&gt;Settings!$C$7),"Outside period | ","")&amp;IF(COUNTIF(Settings!$E$14:$E$43,C884&amp;"")&gt;0,"Sensitive account | ","")&amp;IF(AND(MAX(N(E884),N(F884))&gt;=Settings!$C$9,MOD(MAX(N(E884),N(F884)),Settings!$C$10)=0),"Round amount | ","")="","",LEFT(IF(K884="No","Does not balance | ","")&amp;IF(I884="","Not approved | ",IF(UPPER(TRIM(H884))=UPPER(TRIM(I884)),"Self-approved | ",""))&amp;IF(J884="","No support | ","")&amp;IF(WEEKDAY(B884,2)&gt;5,"Weekend posting | ","")&amp;IF(COUNTIF(Settings!$A$14:$A$43,B884)&gt;0,"Holiday posting | ","")&amp;IF(B884&gt;Settings!$C$8,"Posted after close | ","")&amp;IF(OR(B884&lt;Settings!$C$6,B884&gt;Settings!$C$7),"Outside period | ","")&amp;IF(COUNTIF(Settings!$E$14:$E$43,C884&amp;"")&gt;0,"Sensitive account | ","")&amp;IF(AND(MAX(N(E884),N(F884))&gt;=Settings!$C$9,MOD(MAX(N(E884),N(F884)),Settings!$C$10)=0),"Round amount | ",""),LEN(IF(K884="No","Does not balance | ","")&amp;IF(I884="","Not approved | ",IF(UPPER(TRIM(H884))=UPPER(TRIM(I884)),"Self-approved | ",""))&amp;IF(J884="","No support | ","")&amp;IF(WEEKDAY(B884,2)&gt;5,"Weekend posting | ","")&amp;IF(COUNTIF(Settings!$A$14:$A$43,B884)&gt;0,"Holiday posting | ","")&amp;IF(B884&gt;Settings!$C$8,"Posted after close | ","")&amp;IF(OR(B884&lt;Settings!$C$6,B884&gt;Settings!$C$7),"Outside period | ","")&amp;IF(COUNTIF(Settings!$E$14:$E$43,C884&amp;"")&gt;0,"Sensitive account | ","")&amp;IF(AND(MAX(N(E884),N(F884))&gt;=Settings!$C$9,MOD(MAX(N(E884),N(F884)),Settings!$C$10)=0),"Round amount | ",""))-3)))</f>
        <v/>
      </c>
      <c r="M884" s="21" t="str">
        <f aca="false">IF(A884="","",IF(COUNTIF($A$9:A884,A884)=1,MAX($M$8:M883)+1,""))</f>
        <v/>
      </c>
    </row>
    <row r="885" customFormat="false" ht="15" hidden="false" customHeight="false" outlineLevel="0" collapsed="false">
      <c r="A885" s="8"/>
      <c r="B885" s="17"/>
      <c r="C885" s="19"/>
      <c r="D885" s="8"/>
      <c r="E885" s="18"/>
      <c r="F885" s="18"/>
      <c r="G885" s="8"/>
      <c r="H885" s="8"/>
      <c r="I885" s="8"/>
      <c r="J885" s="8"/>
      <c r="K885" s="10" t="str">
        <f aca="false">IF(A885="","",IF(ABS(SUMIFS($E$9:$E$2008,$A$9:$A$2008,A885)-SUMIFS($F$9:$F$2008,$A$9:$A$2008,A885))&lt;0.5,"Yes","No"))</f>
        <v/>
      </c>
      <c r="L885" s="10" t="str">
        <f aca="false">IF(A885="","",IF(IF(K885="No","Does not balance | ","")&amp;IF(I885="","Not approved | ",IF(UPPER(TRIM(H885))=UPPER(TRIM(I885)),"Self-approved | ",""))&amp;IF(J885="","No support | ","")&amp;IF(WEEKDAY(B885,2)&gt;5,"Weekend posting | ","")&amp;IF(COUNTIF(Settings!$A$14:$A$43,B885)&gt;0,"Holiday posting | ","")&amp;IF(B885&gt;Settings!$C$8,"Posted after close | ","")&amp;IF(OR(B885&lt;Settings!$C$6,B885&gt;Settings!$C$7),"Outside period | ","")&amp;IF(COUNTIF(Settings!$E$14:$E$43,C885&amp;"")&gt;0,"Sensitive account | ","")&amp;IF(AND(MAX(N(E885),N(F885))&gt;=Settings!$C$9,MOD(MAX(N(E885),N(F885)),Settings!$C$10)=0),"Round amount | ","")="","",LEFT(IF(K885="No","Does not balance | ","")&amp;IF(I885="","Not approved | ",IF(UPPER(TRIM(H885))=UPPER(TRIM(I885)),"Self-approved | ",""))&amp;IF(J885="","No support | ","")&amp;IF(WEEKDAY(B885,2)&gt;5,"Weekend posting | ","")&amp;IF(COUNTIF(Settings!$A$14:$A$43,B885)&gt;0,"Holiday posting | ","")&amp;IF(B885&gt;Settings!$C$8,"Posted after close | ","")&amp;IF(OR(B885&lt;Settings!$C$6,B885&gt;Settings!$C$7),"Outside period | ","")&amp;IF(COUNTIF(Settings!$E$14:$E$43,C885&amp;"")&gt;0,"Sensitive account | ","")&amp;IF(AND(MAX(N(E885),N(F885))&gt;=Settings!$C$9,MOD(MAX(N(E885),N(F885)),Settings!$C$10)=0),"Round amount | ",""),LEN(IF(K885="No","Does not balance | ","")&amp;IF(I885="","Not approved | ",IF(UPPER(TRIM(H885))=UPPER(TRIM(I885)),"Self-approved | ",""))&amp;IF(J885="","No support | ","")&amp;IF(WEEKDAY(B885,2)&gt;5,"Weekend posting | ","")&amp;IF(COUNTIF(Settings!$A$14:$A$43,B885)&gt;0,"Holiday posting | ","")&amp;IF(B885&gt;Settings!$C$8,"Posted after close | ","")&amp;IF(OR(B885&lt;Settings!$C$6,B885&gt;Settings!$C$7),"Outside period | ","")&amp;IF(COUNTIF(Settings!$E$14:$E$43,C885&amp;"")&gt;0,"Sensitive account | ","")&amp;IF(AND(MAX(N(E885),N(F885))&gt;=Settings!$C$9,MOD(MAX(N(E885),N(F885)),Settings!$C$10)=0),"Round amount | ",""))-3)))</f>
        <v/>
      </c>
      <c r="M885" s="21" t="str">
        <f aca="false">IF(A885="","",IF(COUNTIF($A$9:A885,A885)=1,MAX($M$8:M884)+1,""))</f>
        <v/>
      </c>
    </row>
    <row r="886" customFormat="false" ht="15" hidden="false" customHeight="false" outlineLevel="0" collapsed="false">
      <c r="A886" s="8"/>
      <c r="B886" s="17"/>
      <c r="C886" s="19"/>
      <c r="D886" s="8"/>
      <c r="E886" s="18"/>
      <c r="F886" s="18"/>
      <c r="G886" s="8"/>
      <c r="H886" s="8"/>
      <c r="I886" s="8"/>
      <c r="J886" s="8"/>
      <c r="K886" s="10" t="str">
        <f aca="false">IF(A886="","",IF(ABS(SUMIFS($E$9:$E$2008,$A$9:$A$2008,A886)-SUMIFS($F$9:$F$2008,$A$9:$A$2008,A886))&lt;0.5,"Yes","No"))</f>
        <v/>
      </c>
      <c r="L886" s="10" t="str">
        <f aca="false">IF(A886="","",IF(IF(K886="No","Does not balance | ","")&amp;IF(I886="","Not approved | ",IF(UPPER(TRIM(H886))=UPPER(TRIM(I886)),"Self-approved | ",""))&amp;IF(J886="","No support | ","")&amp;IF(WEEKDAY(B886,2)&gt;5,"Weekend posting | ","")&amp;IF(COUNTIF(Settings!$A$14:$A$43,B886)&gt;0,"Holiday posting | ","")&amp;IF(B886&gt;Settings!$C$8,"Posted after close | ","")&amp;IF(OR(B886&lt;Settings!$C$6,B886&gt;Settings!$C$7),"Outside period | ","")&amp;IF(COUNTIF(Settings!$E$14:$E$43,C886&amp;"")&gt;0,"Sensitive account | ","")&amp;IF(AND(MAX(N(E886),N(F886))&gt;=Settings!$C$9,MOD(MAX(N(E886),N(F886)),Settings!$C$10)=0),"Round amount | ","")="","",LEFT(IF(K886="No","Does not balance | ","")&amp;IF(I886="","Not approved | ",IF(UPPER(TRIM(H886))=UPPER(TRIM(I886)),"Self-approved | ",""))&amp;IF(J886="","No support | ","")&amp;IF(WEEKDAY(B886,2)&gt;5,"Weekend posting | ","")&amp;IF(COUNTIF(Settings!$A$14:$A$43,B886)&gt;0,"Holiday posting | ","")&amp;IF(B886&gt;Settings!$C$8,"Posted after close | ","")&amp;IF(OR(B886&lt;Settings!$C$6,B886&gt;Settings!$C$7),"Outside period | ","")&amp;IF(COUNTIF(Settings!$E$14:$E$43,C886&amp;"")&gt;0,"Sensitive account | ","")&amp;IF(AND(MAX(N(E886),N(F886))&gt;=Settings!$C$9,MOD(MAX(N(E886),N(F886)),Settings!$C$10)=0),"Round amount | ",""),LEN(IF(K886="No","Does not balance | ","")&amp;IF(I886="","Not approved | ",IF(UPPER(TRIM(H886))=UPPER(TRIM(I886)),"Self-approved | ",""))&amp;IF(J886="","No support | ","")&amp;IF(WEEKDAY(B886,2)&gt;5,"Weekend posting | ","")&amp;IF(COUNTIF(Settings!$A$14:$A$43,B886)&gt;0,"Holiday posting | ","")&amp;IF(B886&gt;Settings!$C$8,"Posted after close | ","")&amp;IF(OR(B886&lt;Settings!$C$6,B886&gt;Settings!$C$7),"Outside period | ","")&amp;IF(COUNTIF(Settings!$E$14:$E$43,C886&amp;"")&gt;0,"Sensitive account | ","")&amp;IF(AND(MAX(N(E886),N(F886))&gt;=Settings!$C$9,MOD(MAX(N(E886),N(F886)),Settings!$C$10)=0),"Round amount | ",""))-3)))</f>
        <v/>
      </c>
      <c r="M886" s="21" t="str">
        <f aca="false">IF(A886="","",IF(COUNTIF($A$9:A886,A886)=1,MAX($M$8:M885)+1,""))</f>
        <v/>
      </c>
    </row>
    <row r="887" customFormat="false" ht="15" hidden="false" customHeight="false" outlineLevel="0" collapsed="false">
      <c r="A887" s="8"/>
      <c r="B887" s="17"/>
      <c r="C887" s="19"/>
      <c r="D887" s="8"/>
      <c r="E887" s="18"/>
      <c r="F887" s="18"/>
      <c r="G887" s="8"/>
      <c r="H887" s="8"/>
      <c r="I887" s="8"/>
      <c r="J887" s="8"/>
      <c r="K887" s="10" t="str">
        <f aca="false">IF(A887="","",IF(ABS(SUMIFS($E$9:$E$2008,$A$9:$A$2008,A887)-SUMIFS($F$9:$F$2008,$A$9:$A$2008,A887))&lt;0.5,"Yes","No"))</f>
        <v/>
      </c>
      <c r="L887" s="10" t="str">
        <f aca="false">IF(A887="","",IF(IF(K887="No","Does not balance | ","")&amp;IF(I887="","Not approved | ",IF(UPPER(TRIM(H887))=UPPER(TRIM(I887)),"Self-approved | ",""))&amp;IF(J887="","No support | ","")&amp;IF(WEEKDAY(B887,2)&gt;5,"Weekend posting | ","")&amp;IF(COUNTIF(Settings!$A$14:$A$43,B887)&gt;0,"Holiday posting | ","")&amp;IF(B887&gt;Settings!$C$8,"Posted after close | ","")&amp;IF(OR(B887&lt;Settings!$C$6,B887&gt;Settings!$C$7),"Outside period | ","")&amp;IF(COUNTIF(Settings!$E$14:$E$43,C887&amp;"")&gt;0,"Sensitive account | ","")&amp;IF(AND(MAX(N(E887),N(F887))&gt;=Settings!$C$9,MOD(MAX(N(E887),N(F887)),Settings!$C$10)=0),"Round amount | ","")="","",LEFT(IF(K887="No","Does not balance | ","")&amp;IF(I887="","Not approved | ",IF(UPPER(TRIM(H887))=UPPER(TRIM(I887)),"Self-approved | ",""))&amp;IF(J887="","No support | ","")&amp;IF(WEEKDAY(B887,2)&gt;5,"Weekend posting | ","")&amp;IF(COUNTIF(Settings!$A$14:$A$43,B887)&gt;0,"Holiday posting | ","")&amp;IF(B887&gt;Settings!$C$8,"Posted after close | ","")&amp;IF(OR(B887&lt;Settings!$C$6,B887&gt;Settings!$C$7),"Outside period | ","")&amp;IF(COUNTIF(Settings!$E$14:$E$43,C887&amp;"")&gt;0,"Sensitive account | ","")&amp;IF(AND(MAX(N(E887),N(F887))&gt;=Settings!$C$9,MOD(MAX(N(E887),N(F887)),Settings!$C$10)=0),"Round amount | ",""),LEN(IF(K887="No","Does not balance | ","")&amp;IF(I887="","Not approved | ",IF(UPPER(TRIM(H887))=UPPER(TRIM(I887)),"Self-approved | ",""))&amp;IF(J887="","No support | ","")&amp;IF(WEEKDAY(B887,2)&gt;5,"Weekend posting | ","")&amp;IF(COUNTIF(Settings!$A$14:$A$43,B887)&gt;0,"Holiday posting | ","")&amp;IF(B887&gt;Settings!$C$8,"Posted after close | ","")&amp;IF(OR(B887&lt;Settings!$C$6,B887&gt;Settings!$C$7),"Outside period | ","")&amp;IF(COUNTIF(Settings!$E$14:$E$43,C887&amp;"")&gt;0,"Sensitive account | ","")&amp;IF(AND(MAX(N(E887),N(F887))&gt;=Settings!$C$9,MOD(MAX(N(E887),N(F887)),Settings!$C$10)=0),"Round amount | ",""))-3)))</f>
        <v/>
      </c>
      <c r="M887" s="21" t="str">
        <f aca="false">IF(A887="","",IF(COUNTIF($A$9:A887,A887)=1,MAX($M$8:M886)+1,""))</f>
        <v/>
      </c>
    </row>
    <row r="888" customFormat="false" ht="15" hidden="false" customHeight="false" outlineLevel="0" collapsed="false">
      <c r="A888" s="8"/>
      <c r="B888" s="17"/>
      <c r="C888" s="19"/>
      <c r="D888" s="8"/>
      <c r="E888" s="18"/>
      <c r="F888" s="18"/>
      <c r="G888" s="8"/>
      <c r="H888" s="8"/>
      <c r="I888" s="8"/>
      <c r="J888" s="8"/>
      <c r="K888" s="10" t="str">
        <f aca="false">IF(A888="","",IF(ABS(SUMIFS($E$9:$E$2008,$A$9:$A$2008,A888)-SUMIFS($F$9:$F$2008,$A$9:$A$2008,A888))&lt;0.5,"Yes","No"))</f>
        <v/>
      </c>
      <c r="L888" s="10" t="str">
        <f aca="false">IF(A888="","",IF(IF(K888="No","Does not balance | ","")&amp;IF(I888="","Not approved | ",IF(UPPER(TRIM(H888))=UPPER(TRIM(I888)),"Self-approved | ",""))&amp;IF(J888="","No support | ","")&amp;IF(WEEKDAY(B888,2)&gt;5,"Weekend posting | ","")&amp;IF(COUNTIF(Settings!$A$14:$A$43,B888)&gt;0,"Holiday posting | ","")&amp;IF(B888&gt;Settings!$C$8,"Posted after close | ","")&amp;IF(OR(B888&lt;Settings!$C$6,B888&gt;Settings!$C$7),"Outside period | ","")&amp;IF(COUNTIF(Settings!$E$14:$E$43,C888&amp;"")&gt;0,"Sensitive account | ","")&amp;IF(AND(MAX(N(E888),N(F888))&gt;=Settings!$C$9,MOD(MAX(N(E888),N(F888)),Settings!$C$10)=0),"Round amount | ","")="","",LEFT(IF(K888="No","Does not balance | ","")&amp;IF(I888="","Not approved | ",IF(UPPER(TRIM(H888))=UPPER(TRIM(I888)),"Self-approved | ",""))&amp;IF(J888="","No support | ","")&amp;IF(WEEKDAY(B888,2)&gt;5,"Weekend posting | ","")&amp;IF(COUNTIF(Settings!$A$14:$A$43,B888)&gt;0,"Holiday posting | ","")&amp;IF(B888&gt;Settings!$C$8,"Posted after close | ","")&amp;IF(OR(B888&lt;Settings!$C$6,B888&gt;Settings!$C$7),"Outside period | ","")&amp;IF(COUNTIF(Settings!$E$14:$E$43,C888&amp;"")&gt;0,"Sensitive account | ","")&amp;IF(AND(MAX(N(E888),N(F888))&gt;=Settings!$C$9,MOD(MAX(N(E888),N(F888)),Settings!$C$10)=0),"Round amount | ",""),LEN(IF(K888="No","Does not balance | ","")&amp;IF(I888="","Not approved | ",IF(UPPER(TRIM(H888))=UPPER(TRIM(I888)),"Self-approved | ",""))&amp;IF(J888="","No support | ","")&amp;IF(WEEKDAY(B888,2)&gt;5,"Weekend posting | ","")&amp;IF(COUNTIF(Settings!$A$14:$A$43,B888)&gt;0,"Holiday posting | ","")&amp;IF(B888&gt;Settings!$C$8,"Posted after close | ","")&amp;IF(OR(B888&lt;Settings!$C$6,B888&gt;Settings!$C$7),"Outside period | ","")&amp;IF(COUNTIF(Settings!$E$14:$E$43,C888&amp;"")&gt;0,"Sensitive account | ","")&amp;IF(AND(MAX(N(E888),N(F888))&gt;=Settings!$C$9,MOD(MAX(N(E888),N(F888)),Settings!$C$10)=0),"Round amount | ",""))-3)))</f>
        <v/>
      </c>
      <c r="M888" s="21" t="str">
        <f aca="false">IF(A888="","",IF(COUNTIF($A$9:A888,A888)=1,MAX($M$8:M887)+1,""))</f>
        <v/>
      </c>
    </row>
    <row r="889" customFormat="false" ht="15" hidden="false" customHeight="false" outlineLevel="0" collapsed="false">
      <c r="A889" s="8"/>
      <c r="B889" s="17"/>
      <c r="C889" s="19"/>
      <c r="D889" s="8"/>
      <c r="E889" s="18"/>
      <c r="F889" s="18"/>
      <c r="G889" s="8"/>
      <c r="H889" s="8"/>
      <c r="I889" s="8"/>
      <c r="J889" s="8"/>
      <c r="K889" s="10" t="str">
        <f aca="false">IF(A889="","",IF(ABS(SUMIFS($E$9:$E$2008,$A$9:$A$2008,A889)-SUMIFS($F$9:$F$2008,$A$9:$A$2008,A889))&lt;0.5,"Yes","No"))</f>
        <v/>
      </c>
      <c r="L889" s="10" t="str">
        <f aca="false">IF(A889="","",IF(IF(K889="No","Does not balance | ","")&amp;IF(I889="","Not approved | ",IF(UPPER(TRIM(H889))=UPPER(TRIM(I889)),"Self-approved | ",""))&amp;IF(J889="","No support | ","")&amp;IF(WEEKDAY(B889,2)&gt;5,"Weekend posting | ","")&amp;IF(COUNTIF(Settings!$A$14:$A$43,B889)&gt;0,"Holiday posting | ","")&amp;IF(B889&gt;Settings!$C$8,"Posted after close | ","")&amp;IF(OR(B889&lt;Settings!$C$6,B889&gt;Settings!$C$7),"Outside period | ","")&amp;IF(COUNTIF(Settings!$E$14:$E$43,C889&amp;"")&gt;0,"Sensitive account | ","")&amp;IF(AND(MAX(N(E889),N(F889))&gt;=Settings!$C$9,MOD(MAX(N(E889),N(F889)),Settings!$C$10)=0),"Round amount | ","")="","",LEFT(IF(K889="No","Does not balance | ","")&amp;IF(I889="","Not approved | ",IF(UPPER(TRIM(H889))=UPPER(TRIM(I889)),"Self-approved | ",""))&amp;IF(J889="","No support | ","")&amp;IF(WEEKDAY(B889,2)&gt;5,"Weekend posting | ","")&amp;IF(COUNTIF(Settings!$A$14:$A$43,B889)&gt;0,"Holiday posting | ","")&amp;IF(B889&gt;Settings!$C$8,"Posted after close | ","")&amp;IF(OR(B889&lt;Settings!$C$6,B889&gt;Settings!$C$7),"Outside period | ","")&amp;IF(COUNTIF(Settings!$E$14:$E$43,C889&amp;"")&gt;0,"Sensitive account | ","")&amp;IF(AND(MAX(N(E889),N(F889))&gt;=Settings!$C$9,MOD(MAX(N(E889),N(F889)),Settings!$C$10)=0),"Round amount | ",""),LEN(IF(K889="No","Does not balance | ","")&amp;IF(I889="","Not approved | ",IF(UPPER(TRIM(H889))=UPPER(TRIM(I889)),"Self-approved | ",""))&amp;IF(J889="","No support | ","")&amp;IF(WEEKDAY(B889,2)&gt;5,"Weekend posting | ","")&amp;IF(COUNTIF(Settings!$A$14:$A$43,B889)&gt;0,"Holiday posting | ","")&amp;IF(B889&gt;Settings!$C$8,"Posted after close | ","")&amp;IF(OR(B889&lt;Settings!$C$6,B889&gt;Settings!$C$7),"Outside period | ","")&amp;IF(COUNTIF(Settings!$E$14:$E$43,C889&amp;"")&gt;0,"Sensitive account | ","")&amp;IF(AND(MAX(N(E889),N(F889))&gt;=Settings!$C$9,MOD(MAX(N(E889),N(F889)),Settings!$C$10)=0),"Round amount | ",""))-3)))</f>
        <v/>
      </c>
      <c r="M889" s="21" t="str">
        <f aca="false">IF(A889="","",IF(COUNTIF($A$9:A889,A889)=1,MAX($M$8:M888)+1,""))</f>
        <v/>
      </c>
    </row>
    <row r="890" customFormat="false" ht="15" hidden="false" customHeight="false" outlineLevel="0" collapsed="false">
      <c r="A890" s="8"/>
      <c r="B890" s="17"/>
      <c r="C890" s="19"/>
      <c r="D890" s="8"/>
      <c r="E890" s="18"/>
      <c r="F890" s="18"/>
      <c r="G890" s="8"/>
      <c r="H890" s="8"/>
      <c r="I890" s="8"/>
      <c r="J890" s="8"/>
      <c r="K890" s="10" t="str">
        <f aca="false">IF(A890="","",IF(ABS(SUMIFS($E$9:$E$2008,$A$9:$A$2008,A890)-SUMIFS($F$9:$F$2008,$A$9:$A$2008,A890))&lt;0.5,"Yes","No"))</f>
        <v/>
      </c>
      <c r="L890" s="10" t="str">
        <f aca="false">IF(A890="","",IF(IF(K890="No","Does not balance | ","")&amp;IF(I890="","Not approved | ",IF(UPPER(TRIM(H890))=UPPER(TRIM(I890)),"Self-approved | ",""))&amp;IF(J890="","No support | ","")&amp;IF(WEEKDAY(B890,2)&gt;5,"Weekend posting | ","")&amp;IF(COUNTIF(Settings!$A$14:$A$43,B890)&gt;0,"Holiday posting | ","")&amp;IF(B890&gt;Settings!$C$8,"Posted after close | ","")&amp;IF(OR(B890&lt;Settings!$C$6,B890&gt;Settings!$C$7),"Outside period | ","")&amp;IF(COUNTIF(Settings!$E$14:$E$43,C890&amp;"")&gt;0,"Sensitive account | ","")&amp;IF(AND(MAX(N(E890),N(F890))&gt;=Settings!$C$9,MOD(MAX(N(E890),N(F890)),Settings!$C$10)=0),"Round amount | ","")="","",LEFT(IF(K890="No","Does not balance | ","")&amp;IF(I890="","Not approved | ",IF(UPPER(TRIM(H890))=UPPER(TRIM(I890)),"Self-approved | ",""))&amp;IF(J890="","No support | ","")&amp;IF(WEEKDAY(B890,2)&gt;5,"Weekend posting | ","")&amp;IF(COUNTIF(Settings!$A$14:$A$43,B890)&gt;0,"Holiday posting | ","")&amp;IF(B890&gt;Settings!$C$8,"Posted after close | ","")&amp;IF(OR(B890&lt;Settings!$C$6,B890&gt;Settings!$C$7),"Outside period | ","")&amp;IF(COUNTIF(Settings!$E$14:$E$43,C890&amp;"")&gt;0,"Sensitive account | ","")&amp;IF(AND(MAX(N(E890),N(F890))&gt;=Settings!$C$9,MOD(MAX(N(E890),N(F890)),Settings!$C$10)=0),"Round amount | ",""),LEN(IF(K890="No","Does not balance | ","")&amp;IF(I890="","Not approved | ",IF(UPPER(TRIM(H890))=UPPER(TRIM(I890)),"Self-approved | ",""))&amp;IF(J890="","No support | ","")&amp;IF(WEEKDAY(B890,2)&gt;5,"Weekend posting | ","")&amp;IF(COUNTIF(Settings!$A$14:$A$43,B890)&gt;0,"Holiday posting | ","")&amp;IF(B890&gt;Settings!$C$8,"Posted after close | ","")&amp;IF(OR(B890&lt;Settings!$C$6,B890&gt;Settings!$C$7),"Outside period | ","")&amp;IF(COUNTIF(Settings!$E$14:$E$43,C890&amp;"")&gt;0,"Sensitive account | ","")&amp;IF(AND(MAX(N(E890),N(F890))&gt;=Settings!$C$9,MOD(MAX(N(E890),N(F890)),Settings!$C$10)=0),"Round amount | ",""))-3)))</f>
        <v/>
      </c>
      <c r="M890" s="21" t="str">
        <f aca="false">IF(A890="","",IF(COUNTIF($A$9:A890,A890)=1,MAX($M$8:M889)+1,""))</f>
        <v/>
      </c>
    </row>
    <row r="891" customFormat="false" ht="15" hidden="false" customHeight="false" outlineLevel="0" collapsed="false">
      <c r="A891" s="8"/>
      <c r="B891" s="17"/>
      <c r="C891" s="19"/>
      <c r="D891" s="8"/>
      <c r="E891" s="18"/>
      <c r="F891" s="18"/>
      <c r="G891" s="8"/>
      <c r="H891" s="8"/>
      <c r="I891" s="8"/>
      <c r="J891" s="8"/>
      <c r="K891" s="10" t="str">
        <f aca="false">IF(A891="","",IF(ABS(SUMIFS($E$9:$E$2008,$A$9:$A$2008,A891)-SUMIFS($F$9:$F$2008,$A$9:$A$2008,A891))&lt;0.5,"Yes","No"))</f>
        <v/>
      </c>
      <c r="L891" s="10" t="str">
        <f aca="false">IF(A891="","",IF(IF(K891="No","Does not balance | ","")&amp;IF(I891="","Not approved | ",IF(UPPER(TRIM(H891))=UPPER(TRIM(I891)),"Self-approved | ",""))&amp;IF(J891="","No support | ","")&amp;IF(WEEKDAY(B891,2)&gt;5,"Weekend posting | ","")&amp;IF(COUNTIF(Settings!$A$14:$A$43,B891)&gt;0,"Holiday posting | ","")&amp;IF(B891&gt;Settings!$C$8,"Posted after close | ","")&amp;IF(OR(B891&lt;Settings!$C$6,B891&gt;Settings!$C$7),"Outside period | ","")&amp;IF(COUNTIF(Settings!$E$14:$E$43,C891&amp;"")&gt;0,"Sensitive account | ","")&amp;IF(AND(MAX(N(E891),N(F891))&gt;=Settings!$C$9,MOD(MAX(N(E891),N(F891)),Settings!$C$10)=0),"Round amount | ","")="","",LEFT(IF(K891="No","Does not balance | ","")&amp;IF(I891="","Not approved | ",IF(UPPER(TRIM(H891))=UPPER(TRIM(I891)),"Self-approved | ",""))&amp;IF(J891="","No support | ","")&amp;IF(WEEKDAY(B891,2)&gt;5,"Weekend posting | ","")&amp;IF(COUNTIF(Settings!$A$14:$A$43,B891)&gt;0,"Holiday posting | ","")&amp;IF(B891&gt;Settings!$C$8,"Posted after close | ","")&amp;IF(OR(B891&lt;Settings!$C$6,B891&gt;Settings!$C$7),"Outside period | ","")&amp;IF(COUNTIF(Settings!$E$14:$E$43,C891&amp;"")&gt;0,"Sensitive account | ","")&amp;IF(AND(MAX(N(E891),N(F891))&gt;=Settings!$C$9,MOD(MAX(N(E891),N(F891)),Settings!$C$10)=0),"Round amount | ",""),LEN(IF(K891="No","Does not balance | ","")&amp;IF(I891="","Not approved | ",IF(UPPER(TRIM(H891))=UPPER(TRIM(I891)),"Self-approved | ",""))&amp;IF(J891="","No support | ","")&amp;IF(WEEKDAY(B891,2)&gt;5,"Weekend posting | ","")&amp;IF(COUNTIF(Settings!$A$14:$A$43,B891)&gt;0,"Holiday posting | ","")&amp;IF(B891&gt;Settings!$C$8,"Posted after close | ","")&amp;IF(OR(B891&lt;Settings!$C$6,B891&gt;Settings!$C$7),"Outside period | ","")&amp;IF(COUNTIF(Settings!$E$14:$E$43,C891&amp;"")&gt;0,"Sensitive account | ","")&amp;IF(AND(MAX(N(E891),N(F891))&gt;=Settings!$C$9,MOD(MAX(N(E891),N(F891)),Settings!$C$10)=0),"Round amount | ",""))-3)))</f>
        <v/>
      </c>
      <c r="M891" s="21" t="str">
        <f aca="false">IF(A891="","",IF(COUNTIF($A$9:A891,A891)=1,MAX($M$8:M890)+1,""))</f>
        <v/>
      </c>
    </row>
    <row r="892" customFormat="false" ht="15" hidden="false" customHeight="false" outlineLevel="0" collapsed="false">
      <c r="A892" s="8"/>
      <c r="B892" s="17"/>
      <c r="C892" s="19"/>
      <c r="D892" s="8"/>
      <c r="E892" s="18"/>
      <c r="F892" s="18"/>
      <c r="G892" s="8"/>
      <c r="H892" s="8"/>
      <c r="I892" s="8"/>
      <c r="J892" s="8"/>
      <c r="K892" s="10" t="str">
        <f aca="false">IF(A892="","",IF(ABS(SUMIFS($E$9:$E$2008,$A$9:$A$2008,A892)-SUMIFS($F$9:$F$2008,$A$9:$A$2008,A892))&lt;0.5,"Yes","No"))</f>
        <v/>
      </c>
      <c r="L892" s="10" t="str">
        <f aca="false">IF(A892="","",IF(IF(K892="No","Does not balance | ","")&amp;IF(I892="","Not approved | ",IF(UPPER(TRIM(H892))=UPPER(TRIM(I892)),"Self-approved | ",""))&amp;IF(J892="","No support | ","")&amp;IF(WEEKDAY(B892,2)&gt;5,"Weekend posting | ","")&amp;IF(COUNTIF(Settings!$A$14:$A$43,B892)&gt;0,"Holiday posting | ","")&amp;IF(B892&gt;Settings!$C$8,"Posted after close | ","")&amp;IF(OR(B892&lt;Settings!$C$6,B892&gt;Settings!$C$7),"Outside period | ","")&amp;IF(COUNTIF(Settings!$E$14:$E$43,C892&amp;"")&gt;0,"Sensitive account | ","")&amp;IF(AND(MAX(N(E892),N(F892))&gt;=Settings!$C$9,MOD(MAX(N(E892),N(F892)),Settings!$C$10)=0),"Round amount | ","")="","",LEFT(IF(K892="No","Does not balance | ","")&amp;IF(I892="","Not approved | ",IF(UPPER(TRIM(H892))=UPPER(TRIM(I892)),"Self-approved | ",""))&amp;IF(J892="","No support | ","")&amp;IF(WEEKDAY(B892,2)&gt;5,"Weekend posting | ","")&amp;IF(COUNTIF(Settings!$A$14:$A$43,B892)&gt;0,"Holiday posting | ","")&amp;IF(B892&gt;Settings!$C$8,"Posted after close | ","")&amp;IF(OR(B892&lt;Settings!$C$6,B892&gt;Settings!$C$7),"Outside period | ","")&amp;IF(COUNTIF(Settings!$E$14:$E$43,C892&amp;"")&gt;0,"Sensitive account | ","")&amp;IF(AND(MAX(N(E892),N(F892))&gt;=Settings!$C$9,MOD(MAX(N(E892),N(F892)),Settings!$C$10)=0),"Round amount | ",""),LEN(IF(K892="No","Does not balance | ","")&amp;IF(I892="","Not approved | ",IF(UPPER(TRIM(H892))=UPPER(TRIM(I892)),"Self-approved | ",""))&amp;IF(J892="","No support | ","")&amp;IF(WEEKDAY(B892,2)&gt;5,"Weekend posting | ","")&amp;IF(COUNTIF(Settings!$A$14:$A$43,B892)&gt;0,"Holiday posting | ","")&amp;IF(B892&gt;Settings!$C$8,"Posted after close | ","")&amp;IF(OR(B892&lt;Settings!$C$6,B892&gt;Settings!$C$7),"Outside period | ","")&amp;IF(COUNTIF(Settings!$E$14:$E$43,C892&amp;"")&gt;0,"Sensitive account | ","")&amp;IF(AND(MAX(N(E892),N(F892))&gt;=Settings!$C$9,MOD(MAX(N(E892),N(F892)),Settings!$C$10)=0),"Round amount | ",""))-3)))</f>
        <v/>
      </c>
      <c r="M892" s="21" t="str">
        <f aca="false">IF(A892="","",IF(COUNTIF($A$9:A892,A892)=1,MAX($M$8:M891)+1,""))</f>
        <v/>
      </c>
    </row>
    <row r="893" customFormat="false" ht="15" hidden="false" customHeight="false" outlineLevel="0" collapsed="false">
      <c r="A893" s="8"/>
      <c r="B893" s="17"/>
      <c r="C893" s="19"/>
      <c r="D893" s="8"/>
      <c r="E893" s="18"/>
      <c r="F893" s="18"/>
      <c r="G893" s="8"/>
      <c r="H893" s="8"/>
      <c r="I893" s="8"/>
      <c r="J893" s="8"/>
      <c r="K893" s="10" t="str">
        <f aca="false">IF(A893="","",IF(ABS(SUMIFS($E$9:$E$2008,$A$9:$A$2008,A893)-SUMIFS($F$9:$F$2008,$A$9:$A$2008,A893))&lt;0.5,"Yes","No"))</f>
        <v/>
      </c>
      <c r="L893" s="10" t="str">
        <f aca="false">IF(A893="","",IF(IF(K893="No","Does not balance | ","")&amp;IF(I893="","Not approved | ",IF(UPPER(TRIM(H893))=UPPER(TRIM(I893)),"Self-approved | ",""))&amp;IF(J893="","No support | ","")&amp;IF(WEEKDAY(B893,2)&gt;5,"Weekend posting | ","")&amp;IF(COUNTIF(Settings!$A$14:$A$43,B893)&gt;0,"Holiday posting | ","")&amp;IF(B893&gt;Settings!$C$8,"Posted after close | ","")&amp;IF(OR(B893&lt;Settings!$C$6,B893&gt;Settings!$C$7),"Outside period | ","")&amp;IF(COUNTIF(Settings!$E$14:$E$43,C893&amp;"")&gt;0,"Sensitive account | ","")&amp;IF(AND(MAX(N(E893),N(F893))&gt;=Settings!$C$9,MOD(MAX(N(E893),N(F893)),Settings!$C$10)=0),"Round amount | ","")="","",LEFT(IF(K893="No","Does not balance | ","")&amp;IF(I893="","Not approved | ",IF(UPPER(TRIM(H893))=UPPER(TRIM(I893)),"Self-approved | ",""))&amp;IF(J893="","No support | ","")&amp;IF(WEEKDAY(B893,2)&gt;5,"Weekend posting | ","")&amp;IF(COUNTIF(Settings!$A$14:$A$43,B893)&gt;0,"Holiday posting | ","")&amp;IF(B893&gt;Settings!$C$8,"Posted after close | ","")&amp;IF(OR(B893&lt;Settings!$C$6,B893&gt;Settings!$C$7),"Outside period | ","")&amp;IF(COUNTIF(Settings!$E$14:$E$43,C893&amp;"")&gt;0,"Sensitive account | ","")&amp;IF(AND(MAX(N(E893),N(F893))&gt;=Settings!$C$9,MOD(MAX(N(E893),N(F893)),Settings!$C$10)=0),"Round amount | ",""),LEN(IF(K893="No","Does not balance | ","")&amp;IF(I893="","Not approved | ",IF(UPPER(TRIM(H893))=UPPER(TRIM(I893)),"Self-approved | ",""))&amp;IF(J893="","No support | ","")&amp;IF(WEEKDAY(B893,2)&gt;5,"Weekend posting | ","")&amp;IF(COUNTIF(Settings!$A$14:$A$43,B893)&gt;0,"Holiday posting | ","")&amp;IF(B893&gt;Settings!$C$8,"Posted after close | ","")&amp;IF(OR(B893&lt;Settings!$C$6,B893&gt;Settings!$C$7),"Outside period | ","")&amp;IF(COUNTIF(Settings!$E$14:$E$43,C893&amp;"")&gt;0,"Sensitive account | ","")&amp;IF(AND(MAX(N(E893),N(F893))&gt;=Settings!$C$9,MOD(MAX(N(E893),N(F893)),Settings!$C$10)=0),"Round amount | ",""))-3)))</f>
        <v/>
      </c>
      <c r="M893" s="21" t="str">
        <f aca="false">IF(A893="","",IF(COUNTIF($A$9:A893,A893)=1,MAX($M$8:M892)+1,""))</f>
        <v/>
      </c>
    </row>
    <row r="894" customFormat="false" ht="15" hidden="false" customHeight="false" outlineLevel="0" collapsed="false">
      <c r="A894" s="8"/>
      <c r="B894" s="17"/>
      <c r="C894" s="19"/>
      <c r="D894" s="8"/>
      <c r="E894" s="18"/>
      <c r="F894" s="18"/>
      <c r="G894" s="8"/>
      <c r="H894" s="8"/>
      <c r="I894" s="8"/>
      <c r="J894" s="8"/>
      <c r="K894" s="10" t="str">
        <f aca="false">IF(A894="","",IF(ABS(SUMIFS($E$9:$E$2008,$A$9:$A$2008,A894)-SUMIFS($F$9:$F$2008,$A$9:$A$2008,A894))&lt;0.5,"Yes","No"))</f>
        <v/>
      </c>
      <c r="L894" s="10" t="str">
        <f aca="false">IF(A894="","",IF(IF(K894="No","Does not balance | ","")&amp;IF(I894="","Not approved | ",IF(UPPER(TRIM(H894))=UPPER(TRIM(I894)),"Self-approved | ",""))&amp;IF(J894="","No support | ","")&amp;IF(WEEKDAY(B894,2)&gt;5,"Weekend posting | ","")&amp;IF(COUNTIF(Settings!$A$14:$A$43,B894)&gt;0,"Holiday posting | ","")&amp;IF(B894&gt;Settings!$C$8,"Posted after close | ","")&amp;IF(OR(B894&lt;Settings!$C$6,B894&gt;Settings!$C$7),"Outside period | ","")&amp;IF(COUNTIF(Settings!$E$14:$E$43,C894&amp;"")&gt;0,"Sensitive account | ","")&amp;IF(AND(MAX(N(E894),N(F894))&gt;=Settings!$C$9,MOD(MAX(N(E894),N(F894)),Settings!$C$10)=0),"Round amount | ","")="","",LEFT(IF(K894="No","Does not balance | ","")&amp;IF(I894="","Not approved | ",IF(UPPER(TRIM(H894))=UPPER(TRIM(I894)),"Self-approved | ",""))&amp;IF(J894="","No support | ","")&amp;IF(WEEKDAY(B894,2)&gt;5,"Weekend posting | ","")&amp;IF(COUNTIF(Settings!$A$14:$A$43,B894)&gt;0,"Holiday posting | ","")&amp;IF(B894&gt;Settings!$C$8,"Posted after close | ","")&amp;IF(OR(B894&lt;Settings!$C$6,B894&gt;Settings!$C$7),"Outside period | ","")&amp;IF(COUNTIF(Settings!$E$14:$E$43,C894&amp;"")&gt;0,"Sensitive account | ","")&amp;IF(AND(MAX(N(E894),N(F894))&gt;=Settings!$C$9,MOD(MAX(N(E894),N(F894)),Settings!$C$10)=0),"Round amount | ",""),LEN(IF(K894="No","Does not balance | ","")&amp;IF(I894="","Not approved | ",IF(UPPER(TRIM(H894))=UPPER(TRIM(I894)),"Self-approved | ",""))&amp;IF(J894="","No support | ","")&amp;IF(WEEKDAY(B894,2)&gt;5,"Weekend posting | ","")&amp;IF(COUNTIF(Settings!$A$14:$A$43,B894)&gt;0,"Holiday posting | ","")&amp;IF(B894&gt;Settings!$C$8,"Posted after close | ","")&amp;IF(OR(B894&lt;Settings!$C$6,B894&gt;Settings!$C$7),"Outside period | ","")&amp;IF(COUNTIF(Settings!$E$14:$E$43,C894&amp;"")&gt;0,"Sensitive account | ","")&amp;IF(AND(MAX(N(E894),N(F894))&gt;=Settings!$C$9,MOD(MAX(N(E894),N(F894)),Settings!$C$10)=0),"Round amount | ",""))-3)))</f>
        <v/>
      </c>
      <c r="M894" s="21" t="str">
        <f aca="false">IF(A894="","",IF(COUNTIF($A$9:A894,A894)=1,MAX($M$8:M893)+1,""))</f>
        <v/>
      </c>
    </row>
    <row r="895" customFormat="false" ht="15" hidden="false" customHeight="false" outlineLevel="0" collapsed="false">
      <c r="A895" s="8"/>
      <c r="B895" s="17"/>
      <c r="C895" s="19"/>
      <c r="D895" s="8"/>
      <c r="E895" s="18"/>
      <c r="F895" s="18"/>
      <c r="G895" s="8"/>
      <c r="H895" s="8"/>
      <c r="I895" s="8"/>
      <c r="J895" s="8"/>
      <c r="K895" s="10" t="str">
        <f aca="false">IF(A895="","",IF(ABS(SUMIFS($E$9:$E$2008,$A$9:$A$2008,A895)-SUMIFS($F$9:$F$2008,$A$9:$A$2008,A895))&lt;0.5,"Yes","No"))</f>
        <v/>
      </c>
      <c r="L895" s="10" t="str">
        <f aca="false">IF(A895="","",IF(IF(K895="No","Does not balance | ","")&amp;IF(I895="","Not approved | ",IF(UPPER(TRIM(H895))=UPPER(TRIM(I895)),"Self-approved | ",""))&amp;IF(J895="","No support | ","")&amp;IF(WEEKDAY(B895,2)&gt;5,"Weekend posting | ","")&amp;IF(COUNTIF(Settings!$A$14:$A$43,B895)&gt;0,"Holiday posting | ","")&amp;IF(B895&gt;Settings!$C$8,"Posted after close | ","")&amp;IF(OR(B895&lt;Settings!$C$6,B895&gt;Settings!$C$7),"Outside period | ","")&amp;IF(COUNTIF(Settings!$E$14:$E$43,C895&amp;"")&gt;0,"Sensitive account | ","")&amp;IF(AND(MAX(N(E895),N(F895))&gt;=Settings!$C$9,MOD(MAX(N(E895),N(F895)),Settings!$C$10)=0),"Round amount | ","")="","",LEFT(IF(K895="No","Does not balance | ","")&amp;IF(I895="","Not approved | ",IF(UPPER(TRIM(H895))=UPPER(TRIM(I895)),"Self-approved | ",""))&amp;IF(J895="","No support | ","")&amp;IF(WEEKDAY(B895,2)&gt;5,"Weekend posting | ","")&amp;IF(COUNTIF(Settings!$A$14:$A$43,B895)&gt;0,"Holiday posting | ","")&amp;IF(B895&gt;Settings!$C$8,"Posted after close | ","")&amp;IF(OR(B895&lt;Settings!$C$6,B895&gt;Settings!$C$7),"Outside period | ","")&amp;IF(COUNTIF(Settings!$E$14:$E$43,C895&amp;"")&gt;0,"Sensitive account | ","")&amp;IF(AND(MAX(N(E895),N(F895))&gt;=Settings!$C$9,MOD(MAX(N(E895),N(F895)),Settings!$C$10)=0),"Round amount | ",""),LEN(IF(K895="No","Does not balance | ","")&amp;IF(I895="","Not approved | ",IF(UPPER(TRIM(H895))=UPPER(TRIM(I895)),"Self-approved | ",""))&amp;IF(J895="","No support | ","")&amp;IF(WEEKDAY(B895,2)&gt;5,"Weekend posting | ","")&amp;IF(COUNTIF(Settings!$A$14:$A$43,B895)&gt;0,"Holiday posting | ","")&amp;IF(B895&gt;Settings!$C$8,"Posted after close | ","")&amp;IF(OR(B895&lt;Settings!$C$6,B895&gt;Settings!$C$7),"Outside period | ","")&amp;IF(COUNTIF(Settings!$E$14:$E$43,C895&amp;"")&gt;0,"Sensitive account | ","")&amp;IF(AND(MAX(N(E895),N(F895))&gt;=Settings!$C$9,MOD(MAX(N(E895),N(F895)),Settings!$C$10)=0),"Round amount | ",""))-3)))</f>
        <v/>
      </c>
      <c r="M895" s="21" t="str">
        <f aca="false">IF(A895="","",IF(COUNTIF($A$9:A895,A895)=1,MAX($M$8:M894)+1,""))</f>
        <v/>
      </c>
    </row>
    <row r="896" customFormat="false" ht="15" hidden="false" customHeight="false" outlineLevel="0" collapsed="false">
      <c r="A896" s="8"/>
      <c r="B896" s="17"/>
      <c r="C896" s="19"/>
      <c r="D896" s="8"/>
      <c r="E896" s="18"/>
      <c r="F896" s="18"/>
      <c r="G896" s="8"/>
      <c r="H896" s="8"/>
      <c r="I896" s="8"/>
      <c r="J896" s="8"/>
      <c r="K896" s="10" t="str">
        <f aca="false">IF(A896="","",IF(ABS(SUMIFS($E$9:$E$2008,$A$9:$A$2008,A896)-SUMIFS($F$9:$F$2008,$A$9:$A$2008,A896))&lt;0.5,"Yes","No"))</f>
        <v/>
      </c>
      <c r="L896" s="10" t="str">
        <f aca="false">IF(A896="","",IF(IF(K896="No","Does not balance | ","")&amp;IF(I896="","Not approved | ",IF(UPPER(TRIM(H896))=UPPER(TRIM(I896)),"Self-approved | ",""))&amp;IF(J896="","No support | ","")&amp;IF(WEEKDAY(B896,2)&gt;5,"Weekend posting | ","")&amp;IF(COUNTIF(Settings!$A$14:$A$43,B896)&gt;0,"Holiday posting | ","")&amp;IF(B896&gt;Settings!$C$8,"Posted after close | ","")&amp;IF(OR(B896&lt;Settings!$C$6,B896&gt;Settings!$C$7),"Outside period | ","")&amp;IF(COUNTIF(Settings!$E$14:$E$43,C896&amp;"")&gt;0,"Sensitive account | ","")&amp;IF(AND(MAX(N(E896),N(F896))&gt;=Settings!$C$9,MOD(MAX(N(E896),N(F896)),Settings!$C$10)=0),"Round amount | ","")="","",LEFT(IF(K896="No","Does not balance | ","")&amp;IF(I896="","Not approved | ",IF(UPPER(TRIM(H896))=UPPER(TRIM(I896)),"Self-approved | ",""))&amp;IF(J896="","No support | ","")&amp;IF(WEEKDAY(B896,2)&gt;5,"Weekend posting | ","")&amp;IF(COUNTIF(Settings!$A$14:$A$43,B896)&gt;0,"Holiday posting | ","")&amp;IF(B896&gt;Settings!$C$8,"Posted after close | ","")&amp;IF(OR(B896&lt;Settings!$C$6,B896&gt;Settings!$C$7),"Outside period | ","")&amp;IF(COUNTIF(Settings!$E$14:$E$43,C896&amp;"")&gt;0,"Sensitive account | ","")&amp;IF(AND(MAX(N(E896),N(F896))&gt;=Settings!$C$9,MOD(MAX(N(E896),N(F896)),Settings!$C$10)=0),"Round amount | ",""),LEN(IF(K896="No","Does not balance | ","")&amp;IF(I896="","Not approved | ",IF(UPPER(TRIM(H896))=UPPER(TRIM(I896)),"Self-approved | ",""))&amp;IF(J896="","No support | ","")&amp;IF(WEEKDAY(B896,2)&gt;5,"Weekend posting | ","")&amp;IF(COUNTIF(Settings!$A$14:$A$43,B896)&gt;0,"Holiday posting | ","")&amp;IF(B896&gt;Settings!$C$8,"Posted after close | ","")&amp;IF(OR(B896&lt;Settings!$C$6,B896&gt;Settings!$C$7),"Outside period | ","")&amp;IF(COUNTIF(Settings!$E$14:$E$43,C896&amp;"")&gt;0,"Sensitive account | ","")&amp;IF(AND(MAX(N(E896),N(F896))&gt;=Settings!$C$9,MOD(MAX(N(E896),N(F896)),Settings!$C$10)=0),"Round amount | ",""))-3)))</f>
        <v/>
      </c>
      <c r="M896" s="21" t="str">
        <f aca="false">IF(A896="","",IF(COUNTIF($A$9:A896,A896)=1,MAX($M$8:M895)+1,""))</f>
        <v/>
      </c>
    </row>
    <row r="897" customFormat="false" ht="15" hidden="false" customHeight="false" outlineLevel="0" collapsed="false">
      <c r="A897" s="8"/>
      <c r="B897" s="17"/>
      <c r="C897" s="19"/>
      <c r="D897" s="8"/>
      <c r="E897" s="18"/>
      <c r="F897" s="18"/>
      <c r="G897" s="8"/>
      <c r="H897" s="8"/>
      <c r="I897" s="8"/>
      <c r="J897" s="8"/>
      <c r="K897" s="10" t="str">
        <f aca="false">IF(A897="","",IF(ABS(SUMIFS($E$9:$E$2008,$A$9:$A$2008,A897)-SUMIFS($F$9:$F$2008,$A$9:$A$2008,A897))&lt;0.5,"Yes","No"))</f>
        <v/>
      </c>
      <c r="L897" s="10" t="str">
        <f aca="false">IF(A897="","",IF(IF(K897="No","Does not balance | ","")&amp;IF(I897="","Not approved | ",IF(UPPER(TRIM(H897))=UPPER(TRIM(I897)),"Self-approved | ",""))&amp;IF(J897="","No support | ","")&amp;IF(WEEKDAY(B897,2)&gt;5,"Weekend posting | ","")&amp;IF(COUNTIF(Settings!$A$14:$A$43,B897)&gt;0,"Holiday posting | ","")&amp;IF(B897&gt;Settings!$C$8,"Posted after close | ","")&amp;IF(OR(B897&lt;Settings!$C$6,B897&gt;Settings!$C$7),"Outside period | ","")&amp;IF(COUNTIF(Settings!$E$14:$E$43,C897&amp;"")&gt;0,"Sensitive account | ","")&amp;IF(AND(MAX(N(E897),N(F897))&gt;=Settings!$C$9,MOD(MAX(N(E897),N(F897)),Settings!$C$10)=0),"Round amount | ","")="","",LEFT(IF(K897="No","Does not balance | ","")&amp;IF(I897="","Not approved | ",IF(UPPER(TRIM(H897))=UPPER(TRIM(I897)),"Self-approved | ",""))&amp;IF(J897="","No support | ","")&amp;IF(WEEKDAY(B897,2)&gt;5,"Weekend posting | ","")&amp;IF(COUNTIF(Settings!$A$14:$A$43,B897)&gt;0,"Holiday posting | ","")&amp;IF(B897&gt;Settings!$C$8,"Posted after close | ","")&amp;IF(OR(B897&lt;Settings!$C$6,B897&gt;Settings!$C$7),"Outside period | ","")&amp;IF(COUNTIF(Settings!$E$14:$E$43,C897&amp;"")&gt;0,"Sensitive account | ","")&amp;IF(AND(MAX(N(E897),N(F897))&gt;=Settings!$C$9,MOD(MAX(N(E897),N(F897)),Settings!$C$10)=0),"Round amount | ",""),LEN(IF(K897="No","Does not balance | ","")&amp;IF(I897="","Not approved | ",IF(UPPER(TRIM(H897))=UPPER(TRIM(I897)),"Self-approved | ",""))&amp;IF(J897="","No support | ","")&amp;IF(WEEKDAY(B897,2)&gt;5,"Weekend posting | ","")&amp;IF(COUNTIF(Settings!$A$14:$A$43,B897)&gt;0,"Holiday posting | ","")&amp;IF(B897&gt;Settings!$C$8,"Posted after close | ","")&amp;IF(OR(B897&lt;Settings!$C$6,B897&gt;Settings!$C$7),"Outside period | ","")&amp;IF(COUNTIF(Settings!$E$14:$E$43,C897&amp;"")&gt;0,"Sensitive account | ","")&amp;IF(AND(MAX(N(E897),N(F897))&gt;=Settings!$C$9,MOD(MAX(N(E897),N(F897)),Settings!$C$10)=0),"Round amount | ",""))-3)))</f>
        <v/>
      </c>
      <c r="M897" s="21" t="str">
        <f aca="false">IF(A897="","",IF(COUNTIF($A$9:A897,A897)=1,MAX($M$8:M896)+1,""))</f>
        <v/>
      </c>
    </row>
    <row r="898" customFormat="false" ht="15" hidden="false" customHeight="false" outlineLevel="0" collapsed="false">
      <c r="A898" s="8"/>
      <c r="B898" s="17"/>
      <c r="C898" s="19"/>
      <c r="D898" s="8"/>
      <c r="E898" s="18"/>
      <c r="F898" s="18"/>
      <c r="G898" s="8"/>
      <c r="H898" s="8"/>
      <c r="I898" s="8"/>
      <c r="J898" s="8"/>
      <c r="K898" s="10" t="str">
        <f aca="false">IF(A898="","",IF(ABS(SUMIFS($E$9:$E$2008,$A$9:$A$2008,A898)-SUMIFS($F$9:$F$2008,$A$9:$A$2008,A898))&lt;0.5,"Yes","No"))</f>
        <v/>
      </c>
      <c r="L898" s="10" t="str">
        <f aca="false">IF(A898="","",IF(IF(K898="No","Does not balance | ","")&amp;IF(I898="","Not approved | ",IF(UPPER(TRIM(H898))=UPPER(TRIM(I898)),"Self-approved | ",""))&amp;IF(J898="","No support | ","")&amp;IF(WEEKDAY(B898,2)&gt;5,"Weekend posting | ","")&amp;IF(COUNTIF(Settings!$A$14:$A$43,B898)&gt;0,"Holiday posting | ","")&amp;IF(B898&gt;Settings!$C$8,"Posted after close | ","")&amp;IF(OR(B898&lt;Settings!$C$6,B898&gt;Settings!$C$7),"Outside period | ","")&amp;IF(COUNTIF(Settings!$E$14:$E$43,C898&amp;"")&gt;0,"Sensitive account | ","")&amp;IF(AND(MAX(N(E898),N(F898))&gt;=Settings!$C$9,MOD(MAX(N(E898),N(F898)),Settings!$C$10)=0),"Round amount | ","")="","",LEFT(IF(K898="No","Does not balance | ","")&amp;IF(I898="","Not approved | ",IF(UPPER(TRIM(H898))=UPPER(TRIM(I898)),"Self-approved | ",""))&amp;IF(J898="","No support | ","")&amp;IF(WEEKDAY(B898,2)&gt;5,"Weekend posting | ","")&amp;IF(COUNTIF(Settings!$A$14:$A$43,B898)&gt;0,"Holiday posting | ","")&amp;IF(B898&gt;Settings!$C$8,"Posted after close | ","")&amp;IF(OR(B898&lt;Settings!$C$6,B898&gt;Settings!$C$7),"Outside period | ","")&amp;IF(COUNTIF(Settings!$E$14:$E$43,C898&amp;"")&gt;0,"Sensitive account | ","")&amp;IF(AND(MAX(N(E898),N(F898))&gt;=Settings!$C$9,MOD(MAX(N(E898),N(F898)),Settings!$C$10)=0),"Round amount | ",""),LEN(IF(K898="No","Does not balance | ","")&amp;IF(I898="","Not approved | ",IF(UPPER(TRIM(H898))=UPPER(TRIM(I898)),"Self-approved | ",""))&amp;IF(J898="","No support | ","")&amp;IF(WEEKDAY(B898,2)&gt;5,"Weekend posting | ","")&amp;IF(COUNTIF(Settings!$A$14:$A$43,B898)&gt;0,"Holiday posting | ","")&amp;IF(B898&gt;Settings!$C$8,"Posted after close | ","")&amp;IF(OR(B898&lt;Settings!$C$6,B898&gt;Settings!$C$7),"Outside period | ","")&amp;IF(COUNTIF(Settings!$E$14:$E$43,C898&amp;"")&gt;0,"Sensitive account | ","")&amp;IF(AND(MAX(N(E898),N(F898))&gt;=Settings!$C$9,MOD(MAX(N(E898),N(F898)),Settings!$C$10)=0),"Round amount | ",""))-3)))</f>
        <v/>
      </c>
      <c r="M898" s="21" t="str">
        <f aca="false">IF(A898="","",IF(COUNTIF($A$9:A898,A898)=1,MAX($M$8:M897)+1,""))</f>
        <v/>
      </c>
    </row>
    <row r="899" customFormat="false" ht="15" hidden="false" customHeight="false" outlineLevel="0" collapsed="false">
      <c r="A899" s="8"/>
      <c r="B899" s="17"/>
      <c r="C899" s="19"/>
      <c r="D899" s="8"/>
      <c r="E899" s="18"/>
      <c r="F899" s="18"/>
      <c r="G899" s="8"/>
      <c r="H899" s="8"/>
      <c r="I899" s="8"/>
      <c r="J899" s="8"/>
      <c r="K899" s="10" t="str">
        <f aca="false">IF(A899="","",IF(ABS(SUMIFS($E$9:$E$2008,$A$9:$A$2008,A899)-SUMIFS($F$9:$F$2008,$A$9:$A$2008,A899))&lt;0.5,"Yes","No"))</f>
        <v/>
      </c>
      <c r="L899" s="10" t="str">
        <f aca="false">IF(A899="","",IF(IF(K899="No","Does not balance | ","")&amp;IF(I899="","Not approved | ",IF(UPPER(TRIM(H899))=UPPER(TRIM(I899)),"Self-approved | ",""))&amp;IF(J899="","No support | ","")&amp;IF(WEEKDAY(B899,2)&gt;5,"Weekend posting | ","")&amp;IF(COUNTIF(Settings!$A$14:$A$43,B899)&gt;0,"Holiday posting | ","")&amp;IF(B899&gt;Settings!$C$8,"Posted after close | ","")&amp;IF(OR(B899&lt;Settings!$C$6,B899&gt;Settings!$C$7),"Outside period | ","")&amp;IF(COUNTIF(Settings!$E$14:$E$43,C899&amp;"")&gt;0,"Sensitive account | ","")&amp;IF(AND(MAX(N(E899),N(F899))&gt;=Settings!$C$9,MOD(MAX(N(E899),N(F899)),Settings!$C$10)=0),"Round amount | ","")="","",LEFT(IF(K899="No","Does not balance | ","")&amp;IF(I899="","Not approved | ",IF(UPPER(TRIM(H899))=UPPER(TRIM(I899)),"Self-approved | ",""))&amp;IF(J899="","No support | ","")&amp;IF(WEEKDAY(B899,2)&gt;5,"Weekend posting | ","")&amp;IF(COUNTIF(Settings!$A$14:$A$43,B899)&gt;0,"Holiday posting | ","")&amp;IF(B899&gt;Settings!$C$8,"Posted after close | ","")&amp;IF(OR(B899&lt;Settings!$C$6,B899&gt;Settings!$C$7),"Outside period | ","")&amp;IF(COUNTIF(Settings!$E$14:$E$43,C899&amp;"")&gt;0,"Sensitive account | ","")&amp;IF(AND(MAX(N(E899),N(F899))&gt;=Settings!$C$9,MOD(MAX(N(E899),N(F899)),Settings!$C$10)=0),"Round amount | ",""),LEN(IF(K899="No","Does not balance | ","")&amp;IF(I899="","Not approved | ",IF(UPPER(TRIM(H899))=UPPER(TRIM(I899)),"Self-approved | ",""))&amp;IF(J899="","No support | ","")&amp;IF(WEEKDAY(B899,2)&gt;5,"Weekend posting | ","")&amp;IF(COUNTIF(Settings!$A$14:$A$43,B899)&gt;0,"Holiday posting | ","")&amp;IF(B899&gt;Settings!$C$8,"Posted after close | ","")&amp;IF(OR(B899&lt;Settings!$C$6,B899&gt;Settings!$C$7),"Outside period | ","")&amp;IF(COUNTIF(Settings!$E$14:$E$43,C899&amp;"")&gt;0,"Sensitive account | ","")&amp;IF(AND(MAX(N(E899),N(F899))&gt;=Settings!$C$9,MOD(MAX(N(E899),N(F899)),Settings!$C$10)=0),"Round amount | ",""))-3)))</f>
        <v/>
      </c>
      <c r="M899" s="21" t="str">
        <f aca="false">IF(A899="","",IF(COUNTIF($A$9:A899,A899)=1,MAX($M$8:M898)+1,""))</f>
        <v/>
      </c>
    </row>
    <row r="900" customFormat="false" ht="15" hidden="false" customHeight="false" outlineLevel="0" collapsed="false">
      <c r="A900" s="8"/>
      <c r="B900" s="17"/>
      <c r="C900" s="19"/>
      <c r="D900" s="8"/>
      <c r="E900" s="18"/>
      <c r="F900" s="18"/>
      <c r="G900" s="8"/>
      <c r="H900" s="8"/>
      <c r="I900" s="8"/>
      <c r="J900" s="8"/>
      <c r="K900" s="10" t="str">
        <f aca="false">IF(A900="","",IF(ABS(SUMIFS($E$9:$E$2008,$A$9:$A$2008,A900)-SUMIFS($F$9:$F$2008,$A$9:$A$2008,A900))&lt;0.5,"Yes","No"))</f>
        <v/>
      </c>
      <c r="L900" s="10" t="str">
        <f aca="false">IF(A900="","",IF(IF(K900="No","Does not balance | ","")&amp;IF(I900="","Not approved | ",IF(UPPER(TRIM(H900))=UPPER(TRIM(I900)),"Self-approved | ",""))&amp;IF(J900="","No support | ","")&amp;IF(WEEKDAY(B900,2)&gt;5,"Weekend posting | ","")&amp;IF(COUNTIF(Settings!$A$14:$A$43,B900)&gt;0,"Holiday posting | ","")&amp;IF(B900&gt;Settings!$C$8,"Posted after close | ","")&amp;IF(OR(B900&lt;Settings!$C$6,B900&gt;Settings!$C$7),"Outside period | ","")&amp;IF(COUNTIF(Settings!$E$14:$E$43,C900&amp;"")&gt;0,"Sensitive account | ","")&amp;IF(AND(MAX(N(E900),N(F900))&gt;=Settings!$C$9,MOD(MAX(N(E900),N(F900)),Settings!$C$10)=0),"Round amount | ","")="","",LEFT(IF(K900="No","Does not balance | ","")&amp;IF(I900="","Not approved | ",IF(UPPER(TRIM(H900))=UPPER(TRIM(I900)),"Self-approved | ",""))&amp;IF(J900="","No support | ","")&amp;IF(WEEKDAY(B900,2)&gt;5,"Weekend posting | ","")&amp;IF(COUNTIF(Settings!$A$14:$A$43,B900)&gt;0,"Holiday posting | ","")&amp;IF(B900&gt;Settings!$C$8,"Posted after close | ","")&amp;IF(OR(B900&lt;Settings!$C$6,B900&gt;Settings!$C$7),"Outside period | ","")&amp;IF(COUNTIF(Settings!$E$14:$E$43,C900&amp;"")&gt;0,"Sensitive account | ","")&amp;IF(AND(MAX(N(E900),N(F900))&gt;=Settings!$C$9,MOD(MAX(N(E900),N(F900)),Settings!$C$10)=0),"Round amount | ",""),LEN(IF(K900="No","Does not balance | ","")&amp;IF(I900="","Not approved | ",IF(UPPER(TRIM(H900))=UPPER(TRIM(I900)),"Self-approved | ",""))&amp;IF(J900="","No support | ","")&amp;IF(WEEKDAY(B900,2)&gt;5,"Weekend posting | ","")&amp;IF(COUNTIF(Settings!$A$14:$A$43,B900)&gt;0,"Holiday posting | ","")&amp;IF(B900&gt;Settings!$C$8,"Posted after close | ","")&amp;IF(OR(B900&lt;Settings!$C$6,B900&gt;Settings!$C$7),"Outside period | ","")&amp;IF(COUNTIF(Settings!$E$14:$E$43,C900&amp;"")&gt;0,"Sensitive account | ","")&amp;IF(AND(MAX(N(E900),N(F900))&gt;=Settings!$C$9,MOD(MAX(N(E900),N(F900)),Settings!$C$10)=0),"Round amount | ",""))-3)))</f>
        <v/>
      </c>
      <c r="M900" s="21" t="str">
        <f aca="false">IF(A900="","",IF(COUNTIF($A$9:A900,A900)=1,MAX($M$8:M899)+1,""))</f>
        <v/>
      </c>
    </row>
    <row r="901" customFormat="false" ht="15" hidden="false" customHeight="false" outlineLevel="0" collapsed="false">
      <c r="A901" s="8"/>
      <c r="B901" s="17"/>
      <c r="C901" s="19"/>
      <c r="D901" s="8"/>
      <c r="E901" s="18"/>
      <c r="F901" s="18"/>
      <c r="G901" s="8"/>
      <c r="H901" s="8"/>
      <c r="I901" s="8"/>
      <c r="J901" s="8"/>
      <c r="K901" s="10" t="str">
        <f aca="false">IF(A901="","",IF(ABS(SUMIFS($E$9:$E$2008,$A$9:$A$2008,A901)-SUMIFS($F$9:$F$2008,$A$9:$A$2008,A901))&lt;0.5,"Yes","No"))</f>
        <v/>
      </c>
      <c r="L901" s="10" t="str">
        <f aca="false">IF(A901="","",IF(IF(K901="No","Does not balance | ","")&amp;IF(I901="","Not approved | ",IF(UPPER(TRIM(H901))=UPPER(TRIM(I901)),"Self-approved | ",""))&amp;IF(J901="","No support | ","")&amp;IF(WEEKDAY(B901,2)&gt;5,"Weekend posting | ","")&amp;IF(COUNTIF(Settings!$A$14:$A$43,B901)&gt;0,"Holiday posting | ","")&amp;IF(B901&gt;Settings!$C$8,"Posted after close | ","")&amp;IF(OR(B901&lt;Settings!$C$6,B901&gt;Settings!$C$7),"Outside period | ","")&amp;IF(COUNTIF(Settings!$E$14:$E$43,C901&amp;"")&gt;0,"Sensitive account | ","")&amp;IF(AND(MAX(N(E901),N(F901))&gt;=Settings!$C$9,MOD(MAX(N(E901),N(F901)),Settings!$C$10)=0),"Round amount | ","")="","",LEFT(IF(K901="No","Does not balance | ","")&amp;IF(I901="","Not approved | ",IF(UPPER(TRIM(H901))=UPPER(TRIM(I901)),"Self-approved | ",""))&amp;IF(J901="","No support | ","")&amp;IF(WEEKDAY(B901,2)&gt;5,"Weekend posting | ","")&amp;IF(COUNTIF(Settings!$A$14:$A$43,B901)&gt;0,"Holiday posting | ","")&amp;IF(B901&gt;Settings!$C$8,"Posted after close | ","")&amp;IF(OR(B901&lt;Settings!$C$6,B901&gt;Settings!$C$7),"Outside period | ","")&amp;IF(COUNTIF(Settings!$E$14:$E$43,C901&amp;"")&gt;0,"Sensitive account | ","")&amp;IF(AND(MAX(N(E901),N(F901))&gt;=Settings!$C$9,MOD(MAX(N(E901),N(F901)),Settings!$C$10)=0),"Round amount | ",""),LEN(IF(K901="No","Does not balance | ","")&amp;IF(I901="","Not approved | ",IF(UPPER(TRIM(H901))=UPPER(TRIM(I901)),"Self-approved | ",""))&amp;IF(J901="","No support | ","")&amp;IF(WEEKDAY(B901,2)&gt;5,"Weekend posting | ","")&amp;IF(COUNTIF(Settings!$A$14:$A$43,B901)&gt;0,"Holiday posting | ","")&amp;IF(B901&gt;Settings!$C$8,"Posted after close | ","")&amp;IF(OR(B901&lt;Settings!$C$6,B901&gt;Settings!$C$7),"Outside period | ","")&amp;IF(COUNTIF(Settings!$E$14:$E$43,C901&amp;"")&gt;0,"Sensitive account | ","")&amp;IF(AND(MAX(N(E901),N(F901))&gt;=Settings!$C$9,MOD(MAX(N(E901),N(F901)),Settings!$C$10)=0),"Round amount | ",""))-3)))</f>
        <v/>
      </c>
      <c r="M901" s="21" t="str">
        <f aca="false">IF(A901="","",IF(COUNTIF($A$9:A901,A901)=1,MAX($M$8:M900)+1,""))</f>
        <v/>
      </c>
    </row>
    <row r="902" customFormat="false" ht="15" hidden="false" customHeight="false" outlineLevel="0" collapsed="false">
      <c r="A902" s="8"/>
      <c r="B902" s="17"/>
      <c r="C902" s="19"/>
      <c r="D902" s="8"/>
      <c r="E902" s="18"/>
      <c r="F902" s="18"/>
      <c r="G902" s="8"/>
      <c r="H902" s="8"/>
      <c r="I902" s="8"/>
      <c r="J902" s="8"/>
      <c r="K902" s="10" t="str">
        <f aca="false">IF(A902="","",IF(ABS(SUMIFS($E$9:$E$2008,$A$9:$A$2008,A902)-SUMIFS($F$9:$F$2008,$A$9:$A$2008,A902))&lt;0.5,"Yes","No"))</f>
        <v/>
      </c>
      <c r="L902" s="10" t="str">
        <f aca="false">IF(A902="","",IF(IF(K902="No","Does not balance | ","")&amp;IF(I902="","Not approved | ",IF(UPPER(TRIM(H902))=UPPER(TRIM(I902)),"Self-approved | ",""))&amp;IF(J902="","No support | ","")&amp;IF(WEEKDAY(B902,2)&gt;5,"Weekend posting | ","")&amp;IF(COUNTIF(Settings!$A$14:$A$43,B902)&gt;0,"Holiday posting | ","")&amp;IF(B902&gt;Settings!$C$8,"Posted after close | ","")&amp;IF(OR(B902&lt;Settings!$C$6,B902&gt;Settings!$C$7),"Outside period | ","")&amp;IF(COUNTIF(Settings!$E$14:$E$43,C902&amp;"")&gt;0,"Sensitive account | ","")&amp;IF(AND(MAX(N(E902),N(F902))&gt;=Settings!$C$9,MOD(MAX(N(E902),N(F902)),Settings!$C$10)=0),"Round amount | ","")="","",LEFT(IF(K902="No","Does not balance | ","")&amp;IF(I902="","Not approved | ",IF(UPPER(TRIM(H902))=UPPER(TRIM(I902)),"Self-approved | ",""))&amp;IF(J902="","No support | ","")&amp;IF(WEEKDAY(B902,2)&gt;5,"Weekend posting | ","")&amp;IF(COUNTIF(Settings!$A$14:$A$43,B902)&gt;0,"Holiday posting | ","")&amp;IF(B902&gt;Settings!$C$8,"Posted after close | ","")&amp;IF(OR(B902&lt;Settings!$C$6,B902&gt;Settings!$C$7),"Outside period | ","")&amp;IF(COUNTIF(Settings!$E$14:$E$43,C902&amp;"")&gt;0,"Sensitive account | ","")&amp;IF(AND(MAX(N(E902),N(F902))&gt;=Settings!$C$9,MOD(MAX(N(E902),N(F902)),Settings!$C$10)=0),"Round amount | ",""),LEN(IF(K902="No","Does not balance | ","")&amp;IF(I902="","Not approved | ",IF(UPPER(TRIM(H902))=UPPER(TRIM(I902)),"Self-approved | ",""))&amp;IF(J902="","No support | ","")&amp;IF(WEEKDAY(B902,2)&gt;5,"Weekend posting | ","")&amp;IF(COUNTIF(Settings!$A$14:$A$43,B902)&gt;0,"Holiday posting | ","")&amp;IF(B902&gt;Settings!$C$8,"Posted after close | ","")&amp;IF(OR(B902&lt;Settings!$C$6,B902&gt;Settings!$C$7),"Outside period | ","")&amp;IF(COUNTIF(Settings!$E$14:$E$43,C902&amp;"")&gt;0,"Sensitive account | ","")&amp;IF(AND(MAX(N(E902),N(F902))&gt;=Settings!$C$9,MOD(MAX(N(E902),N(F902)),Settings!$C$10)=0),"Round amount | ",""))-3)))</f>
        <v/>
      </c>
      <c r="M902" s="21" t="str">
        <f aca="false">IF(A902="","",IF(COUNTIF($A$9:A902,A902)=1,MAX($M$8:M901)+1,""))</f>
        <v/>
      </c>
    </row>
    <row r="903" customFormat="false" ht="15" hidden="false" customHeight="false" outlineLevel="0" collapsed="false">
      <c r="A903" s="8"/>
      <c r="B903" s="17"/>
      <c r="C903" s="19"/>
      <c r="D903" s="8"/>
      <c r="E903" s="18"/>
      <c r="F903" s="18"/>
      <c r="G903" s="8"/>
      <c r="H903" s="8"/>
      <c r="I903" s="8"/>
      <c r="J903" s="8"/>
      <c r="K903" s="10" t="str">
        <f aca="false">IF(A903="","",IF(ABS(SUMIFS($E$9:$E$2008,$A$9:$A$2008,A903)-SUMIFS($F$9:$F$2008,$A$9:$A$2008,A903))&lt;0.5,"Yes","No"))</f>
        <v/>
      </c>
      <c r="L903" s="10" t="str">
        <f aca="false">IF(A903="","",IF(IF(K903="No","Does not balance | ","")&amp;IF(I903="","Not approved | ",IF(UPPER(TRIM(H903))=UPPER(TRIM(I903)),"Self-approved | ",""))&amp;IF(J903="","No support | ","")&amp;IF(WEEKDAY(B903,2)&gt;5,"Weekend posting | ","")&amp;IF(COUNTIF(Settings!$A$14:$A$43,B903)&gt;0,"Holiday posting | ","")&amp;IF(B903&gt;Settings!$C$8,"Posted after close | ","")&amp;IF(OR(B903&lt;Settings!$C$6,B903&gt;Settings!$C$7),"Outside period | ","")&amp;IF(COUNTIF(Settings!$E$14:$E$43,C903&amp;"")&gt;0,"Sensitive account | ","")&amp;IF(AND(MAX(N(E903),N(F903))&gt;=Settings!$C$9,MOD(MAX(N(E903),N(F903)),Settings!$C$10)=0),"Round amount | ","")="","",LEFT(IF(K903="No","Does not balance | ","")&amp;IF(I903="","Not approved | ",IF(UPPER(TRIM(H903))=UPPER(TRIM(I903)),"Self-approved | ",""))&amp;IF(J903="","No support | ","")&amp;IF(WEEKDAY(B903,2)&gt;5,"Weekend posting | ","")&amp;IF(COUNTIF(Settings!$A$14:$A$43,B903)&gt;0,"Holiday posting | ","")&amp;IF(B903&gt;Settings!$C$8,"Posted after close | ","")&amp;IF(OR(B903&lt;Settings!$C$6,B903&gt;Settings!$C$7),"Outside period | ","")&amp;IF(COUNTIF(Settings!$E$14:$E$43,C903&amp;"")&gt;0,"Sensitive account | ","")&amp;IF(AND(MAX(N(E903),N(F903))&gt;=Settings!$C$9,MOD(MAX(N(E903),N(F903)),Settings!$C$10)=0),"Round amount | ",""),LEN(IF(K903="No","Does not balance | ","")&amp;IF(I903="","Not approved | ",IF(UPPER(TRIM(H903))=UPPER(TRIM(I903)),"Self-approved | ",""))&amp;IF(J903="","No support | ","")&amp;IF(WEEKDAY(B903,2)&gt;5,"Weekend posting | ","")&amp;IF(COUNTIF(Settings!$A$14:$A$43,B903)&gt;0,"Holiday posting | ","")&amp;IF(B903&gt;Settings!$C$8,"Posted after close | ","")&amp;IF(OR(B903&lt;Settings!$C$6,B903&gt;Settings!$C$7),"Outside period | ","")&amp;IF(COUNTIF(Settings!$E$14:$E$43,C903&amp;"")&gt;0,"Sensitive account | ","")&amp;IF(AND(MAX(N(E903),N(F903))&gt;=Settings!$C$9,MOD(MAX(N(E903),N(F903)),Settings!$C$10)=0),"Round amount | ",""))-3)))</f>
        <v/>
      </c>
      <c r="M903" s="21" t="str">
        <f aca="false">IF(A903="","",IF(COUNTIF($A$9:A903,A903)=1,MAX($M$8:M902)+1,""))</f>
        <v/>
      </c>
    </row>
    <row r="904" customFormat="false" ht="15" hidden="false" customHeight="false" outlineLevel="0" collapsed="false">
      <c r="A904" s="8"/>
      <c r="B904" s="17"/>
      <c r="C904" s="19"/>
      <c r="D904" s="8"/>
      <c r="E904" s="18"/>
      <c r="F904" s="18"/>
      <c r="G904" s="8"/>
      <c r="H904" s="8"/>
      <c r="I904" s="8"/>
      <c r="J904" s="8"/>
      <c r="K904" s="10" t="str">
        <f aca="false">IF(A904="","",IF(ABS(SUMIFS($E$9:$E$2008,$A$9:$A$2008,A904)-SUMIFS($F$9:$F$2008,$A$9:$A$2008,A904))&lt;0.5,"Yes","No"))</f>
        <v/>
      </c>
      <c r="L904" s="10" t="str">
        <f aca="false">IF(A904="","",IF(IF(K904="No","Does not balance | ","")&amp;IF(I904="","Not approved | ",IF(UPPER(TRIM(H904))=UPPER(TRIM(I904)),"Self-approved | ",""))&amp;IF(J904="","No support | ","")&amp;IF(WEEKDAY(B904,2)&gt;5,"Weekend posting | ","")&amp;IF(COUNTIF(Settings!$A$14:$A$43,B904)&gt;0,"Holiday posting | ","")&amp;IF(B904&gt;Settings!$C$8,"Posted after close | ","")&amp;IF(OR(B904&lt;Settings!$C$6,B904&gt;Settings!$C$7),"Outside period | ","")&amp;IF(COUNTIF(Settings!$E$14:$E$43,C904&amp;"")&gt;0,"Sensitive account | ","")&amp;IF(AND(MAX(N(E904),N(F904))&gt;=Settings!$C$9,MOD(MAX(N(E904),N(F904)),Settings!$C$10)=0),"Round amount | ","")="","",LEFT(IF(K904="No","Does not balance | ","")&amp;IF(I904="","Not approved | ",IF(UPPER(TRIM(H904))=UPPER(TRIM(I904)),"Self-approved | ",""))&amp;IF(J904="","No support | ","")&amp;IF(WEEKDAY(B904,2)&gt;5,"Weekend posting | ","")&amp;IF(COUNTIF(Settings!$A$14:$A$43,B904)&gt;0,"Holiday posting | ","")&amp;IF(B904&gt;Settings!$C$8,"Posted after close | ","")&amp;IF(OR(B904&lt;Settings!$C$6,B904&gt;Settings!$C$7),"Outside period | ","")&amp;IF(COUNTIF(Settings!$E$14:$E$43,C904&amp;"")&gt;0,"Sensitive account | ","")&amp;IF(AND(MAX(N(E904),N(F904))&gt;=Settings!$C$9,MOD(MAX(N(E904),N(F904)),Settings!$C$10)=0),"Round amount | ",""),LEN(IF(K904="No","Does not balance | ","")&amp;IF(I904="","Not approved | ",IF(UPPER(TRIM(H904))=UPPER(TRIM(I904)),"Self-approved | ",""))&amp;IF(J904="","No support | ","")&amp;IF(WEEKDAY(B904,2)&gt;5,"Weekend posting | ","")&amp;IF(COUNTIF(Settings!$A$14:$A$43,B904)&gt;0,"Holiday posting | ","")&amp;IF(B904&gt;Settings!$C$8,"Posted after close | ","")&amp;IF(OR(B904&lt;Settings!$C$6,B904&gt;Settings!$C$7),"Outside period | ","")&amp;IF(COUNTIF(Settings!$E$14:$E$43,C904&amp;"")&gt;0,"Sensitive account | ","")&amp;IF(AND(MAX(N(E904),N(F904))&gt;=Settings!$C$9,MOD(MAX(N(E904),N(F904)),Settings!$C$10)=0),"Round amount | ",""))-3)))</f>
        <v/>
      </c>
      <c r="M904" s="21" t="str">
        <f aca="false">IF(A904="","",IF(COUNTIF($A$9:A904,A904)=1,MAX($M$8:M903)+1,""))</f>
        <v/>
      </c>
    </row>
    <row r="905" customFormat="false" ht="15" hidden="false" customHeight="false" outlineLevel="0" collapsed="false">
      <c r="A905" s="8"/>
      <c r="B905" s="17"/>
      <c r="C905" s="19"/>
      <c r="D905" s="8"/>
      <c r="E905" s="18"/>
      <c r="F905" s="18"/>
      <c r="G905" s="8"/>
      <c r="H905" s="8"/>
      <c r="I905" s="8"/>
      <c r="J905" s="8"/>
      <c r="K905" s="10" t="str">
        <f aca="false">IF(A905="","",IF(ABS(SUMIFS($E$9:$E$2008,$A$9:$A$2008,A905)-SUMIFS($F$9:$F$2008,$A$9:$A$2008,A905))&lt;0.5,"Yes","No"))</f>
        <v/>
      </c>
      <c r="L905" s="10" t="str">
        <f aca="false">IF(A905="","",IF(IF(K905="No","Does not balance | ","")&amp;IF(I905="","Not approved | ",IF(UPPER(TRIM(H905))=UPPER(TRIM(I905)),"Self-approved | ",""))&amp;IF(J905="","No support | ","")&amp;IF(WEEKDAY(B905,2)&gt;5,"Weekend posting | ","")&amp;IF(COUNTIF(Settings!$A$14:$A$43,B905)&gt;0,"Holiday posting | ","")&amp;IF(B905&gt;Settings!$C$8,"Posted after close | ","")&amp;IF(OR(B905&lt;Settings!$C$6,B905&gt;Settings!$C$7),"Outside period | ","")&amp;IF(COUNTIF(Settings!$E$14:$E$43,C905&amp;"")&gt;0,"Sensitive account | ","")&amp;IF(AND(MAX(N(E905),N(F905))&gt;=Settings!$C$9,MOD(MAX(N(E905),N(F905)),Settings!$C$10)=0),"Round amount | ","")="","",LEFT(IF(K905="No","Does not balance | ","")&amp;IF(I905="","Not approved | ",IF(UPPER(TRIM(H905))=UPPER(TRIM(I905)),"Self-approved | ",""))&amp;IF(J905="","No support | ","")&amp;IF(WEEKDAY(B905,2)&gt;5,"Weekend posting | ","")&amp;IF(COUNTIF(Settings!$A$14:$A$43,B905)&gt;0,"Holiday posting | ","")&amp;IF(B905&gt;Settings!$C$8,"Posted after close | ","")&amp;IF(OR(B905&lt;Settings!$C$6,B905&gt;Settings!$C$7),"Outside period | ","")&amp;IF(COUNTIF(Settings!$E$14:$E$43,C905&amp;"")&gt;0,"Sensitive account | ","")&amp;IF(AND(MAX(N(E905),N(F905))&gt;=Settings!$C$9,MOD(MAX(N(E905),N(F905)),Settings!$C$10)=0),"Round amount | ",""),LEN(IF(K905="No","Does not balance | ","")&amp;IF(I905="","Not approved | ",IF(UPPER(TRIM(H905))=UPPER(TRIM(I905)),"Self-approved | ",""))&amp;IF(J905="","No support | ","")&amp;IF(WEEKDAY(B905,2)&gt;5,"Weekend posting | ","")&amp;IF(COUNTIF(Settings!$A$14:$A$43,B905)&gt;0,"Holiday posting | ","")&amp;IF(B905&gt;Settings!$C$8,"Posted after close | ","")&amp;IF(OR(B905&lt;Settings!$C$6,B905&gt;Settings!$C$7),"Outside period | ","")&amp;IF(COUNTIF(Settings!$E$14:$E$43,C905&amp;"")&gt;0,"Sensitive account | ","")&amp;IF(AND(MAX(N(E905),N(F905))&gt;=Settings!$C$9,MOD(MAX(N(E905),N(F905)),Settings!$C$10)=0),"Round amount | ",""))-3)))</f>
        <v/>
      </c>
      <c r="M905" s="21" t="str">
        <f aca="false">IF(A905="","",IF(COUNTIF($A$9:A905,A905)=1,MAX($M$8:M904)+1,""))</f>
        <v/>
      </c>
    </row>
    <row r="906" customFormat="false" ht="15" hidden="false" customHeight="false" outlineLevel="0" collapsed="false">
      <c r="A906" s="8"/>
      <c r="B906" s="17"/>
      <c r="C906" s="19"/>
      <c r="D906" s="8"/>
      <c r="E906" s="18"/>
      <c r="F906" s="18"/>
      <c r="G906" s="8"/>
      <c r="H906" s="8"/>
      <c r="I906" s="8"/>
      <c r="J906" s="8"/>
      <c r="K906" s="10" t="str">
        <f aca="false">IF(A906="","",IF(ABS(SUMIFS($E$9:$E$2008,$A$9:$A$2008,A906)-SUMIFS($F$9:$F$2008,$A$9:$A$2008,A906))&lt;0.5,"Yes","No"))</f>
        <v/>
      </c>
      <c r="L906" s="10" t="str">
        <f aca="false">IF(A906="","",IF(IF(K906="No","Does not balance | ","")&amp;IF(I906="","Not approved | ",IF(UPPER(TRIM(H906))=UPPER(TRIM(I906)),"Self-approved | ",""))&amp;IF(J906="","No support | ","")&amp;IF(WEEKDAY(B906,2)&gt;5,"Weekend posting | ","")&amp;IF(COUNTIF(Settings!$A$14:$A$43,B906)&gt;0,"Holiday posting | ","")&amp;IF(B906&gt;Settings!$C$8,"Posted after close | ","")&amp;IF(OR(B906&lt;Settings!$C$6,B906&gt;Settings!$C$7),"Outside period | ","")&amp;IF(COUNTIF(Settings!$E$14:$E$43,C906&amp;"")&gt;0,"Sensitive account | ","")&amp;IF(AND(MAX(N(E906),N(F906))&gt;=Settings!$C$9,MOD(MAX(N(E906),N(F906)),Settings!$C$10)=0),"Round amount | ","")="","",LEFT(IF(K906="No","Does not balance | ","")&amp;IF(I906="","Not approved | ",IF(UPPER(TRIM(H906))=UPPER(TRIM(I906)),"Self-approved | ",""))&amp;IF(J906="","No support | ","")&amp;IF(WEEKDAY(B906,2)&gt;5,"Weekend posting | ","")&amp;IF(COUNTIF(Settings!$A$14:$A$43,B906)&gt;0,"Holiday posting | ","")&amp;IF(B906&gt;Settings!$C$8,"Posted after close | ","")&amp;IF(OR(B906&lt;Settings!$C$6,B906&gt;Settings!$C$7),"Outside period | ","")&amp;IF(COUNTIF(Settings!$E$14:$E$43,C906&amp;"")&gt;0,"Sensitive account | ","")&amp;IF(AND(MAX(N(E906),N(F906))&gt;=Settings!$C$9,MOD(MAX(N(E906),N(F906)),Settings!$C$10)=0),"Round amount | ",""),LEN(IF(K906="No","Does not balance | ","")&amp;IF(I906="","Not approved | ",IF(UPPER(TRIM(H906))=UPPER(TRIM(I906)),"Self-approved | ",""))&amp;IF(J906="","No support | ","")&amp;IF(WEEKDAY(B906,2)&gt;5,"Weekend posting | ","")&amp;IF(COUNTIF(Settings!$A$14:$A$43,B906)&gt;0,"Holiday posting | ","")&amp;IF(B906&gt;Settings!$C$8,"Posted after close | ","")&amp;IF(OR(B906&lt;Settings!$C$6,B906&gt;Settings!$C$7),"Outside period | ","")&amp;IF(COUNTIF(Settings!$E$14:$E$43,C906&amp;"")&gt;0,"Sensitive account | ","")&amp;IF(AND(MAX(N(E906),N(F906))&gt;=Settings!$C$9,MOD(MAX(N(E906),N(F906)),Settings!$C$10)=0),"Round amount | ",""))-3)))</f>
        <v/>
      </c>
      <c r="M906" s="21" t="str">
        <f aca="false">IF(A906="","",IF(COUNTIF($A$9:A906,A906)=1,MAX($M$8:M905)+1,""))</f>
        <v/>
      </c>
    </row>
    <row r="907" customFormat="false" ht="15" hidden="false" customHeight="false" outlineLevel="0" collapsed="false">
      <c r="A907" s="8"/>
      <c r="B907" s="17"/>
      <c r="C907" s="19"/>
      <c r="D907" s="8"/>
      <c r="E907" s="18"/>
      <c r="F907" s="18"/>
      <c r="G907" s="8"/>
      <c r="H907" s="8"/>
      <c r="I907" s="8"/>
      <c r="J907" s="8"/>
      <c r="K907" s="10" t="str">
        <f aca="false">IF(A907="","",IF(ABS(SUMIFS($E$9:$E$2008,$A$9:$A$2008,A907)-SUMIFS($F$9:$F$2008,$A$9:$A$2008,A907))&lt;0.5,"Yes","No"))</f>
        <v/>
      </c>
      <c r="L907" s="10" t="str">
        <f aca="false">IF(A907="","",IF(IF(K907="No","Does not balance | ","")&amp;IF(I907="","Not approved | ",IF(UPPER(TRIM(H907))=UPPER(TRIM(I907)),"Self-approved | ",""))&amp;IF(J907="","No support | ","")&amp;IF(WEEKDAY(B907,2)&gt;5,"Weekend posting | ","")&amp;IF(COUNTIF(Settings!$A$14:$A$43,B907)&gt;0,"Holiday posting | ","")&amp;IF(B907&gt;Settings!$C$8,"Posted after close | ","")&amp;IF(OR(B907&lt;Settings!$C$6,B907&gt;Settings!$C$7),"Outside period | ","")&amp;IF(COUNTIF(Settings!$E$14:$E$43,C907&amp;"")&gt;0,"Sensitive account | ","")&amp;IF(AND(MAX(N(E907),N(F907))&gt;=Settings!$C$9,MOD(MAX(N(E907),N(F907)),Settings!$C$10)=0),"Round amount | ","")="","",LEFT(IF(K907="No","Does not balance | ","")&amp;IF(I907="","Not approved | ",IF(UPPER(TRIM(H907))=UPPER(TRIM(I907)),"Self-approved | ",""))&amp;IF(J907="","No support | ","")&amp;IF(WEEKDAY(B907,2)&gt;5,"Weekend posting | ","")&amp;IF(COUNTIF(Settings!$A$14:$A$43,B907)&gt;0,"Holiday posting | ","")&amp;IF(B907&gt;Settings!$C$8,"Posted after close | ","")&amp;IF(OR(B907&lt;Settings!$C$6,B907&gt;Settings!$C$7),"Outside period | ","")&amp;IF(COUNTIF(Settings!$E$14:$E$43,C907&amp;"")&gt;0,"Sensitive account | ","")&amp;IF(AND(MAX(N(E907),N(F907))&gt;=Settings!$C$9,MOD(MAX(N(E907),N(F907)),Settings!$C$10)=0),"Round amount | ",""),LEN(IF(K907="No","Does not balance | ","")&amp;IF(I907="","Not approved | ",IF(UPPER(TRIM(H907))=UPPER(TRIM(I907)),"Self-approved | ",""))&amp;IF(J907="","No support | ","")&amp;IF(WEEKDAY(B907,2)&gt;5,"Weekend posting | ","")&amp;IF(COUNTIF(Settings!$A$14:$A$43,B907)&gt;0,"Holiday posting | ","")&amp;IF(B907&gt;Settings!$C$8,"Posted after close | ","")&amp;IF(OR(B907&lt;Settings!$C$6,B907&gt;Settings!$C$7),"Outside period | ","")&amp;IF(COUNTIF(Settings!$E$14:$E$43,C907&amp;"")&gt;0,"Sensitive account | ","")&amp;IF(AND(MAX(N(E907),N(F907))&gt;=Settings!$C$9,MOD(MAX(N(E907),N(F907)),Settings!$C$10)=0),"Round amount | ",""))-3)))</f>
        <v/>
      </c>
      <c r="M907" s="21" t="str">
        <f aca="false">IF(A907="","",IF(COUNTIF($A$9:A907,A907)=1,MAX($M$8:M906)+1,""))</f>
        <v/>
      </c>
    </row>
    <row r="908" customFormat="false" ht="15" hidden="false" customHeight="false" outlineLevel="0" collapsed="false">
      <c r="A908" s="8"/>
      <c r="B908" s="17"/>
      <c r="C908" s="19"/>
      <c r="D908" s="8"/>
      <c r="E908" s="18"/>
      <c r="F908" s="18"/>
      <c r="G908" s="8"/>
      <c r="H908" s="8"/>
      <c r="I908" s="8"/>
      <c r="J908" s="8"/>
      <c r="K908" s="10" t="str">
        <f aca="false">IF(A908="","",IF(ABS(SUMIFS($E$9:$E$2008,$A$9:$A$2008,A908)-SUMIFS($F$9:$F$2008,$A$9:$A$2008,A908))&lt;0.5,"Yes","No"))</f>
        <v/>
      </c>
      <c r="L908" s="10" t="str">
        <f aca="false">IF(A908="","",IF(IF(K908="No","Does not balance | ","")&amp;IF(I908="","Not approved | ",IF(UPPER(TRIM(H908))=UPPER(TRIM(I908)),"Self-approved | ",""))&amp;IF(J908="","No support | ","")&amp;IF(WEEKDAY(B908,2)&gt;5,"Weekend posting | ","")&amp;IF(COUNTIF(Settings!$A$14:$A$43,B908)&gt;0,"Holiday posting | ","")&amp;IF(B908&gt;Settings!$C$8,"Posted after close | ","")&amp;IF(OR(B908&lt;Settings!$C$6,B908&gt;Settings!$C$7),"Outside period | ","")&amp;IF(COUNTIF(Settings!$E$14:$E$43,C908&amp;"")&gt;0,"Sensitive account | ","")&amp;IF(AND(MAX(N(E908),N(F908))&gt;=Settings!$C$9,MOD(MAX(N(E908),N(F908)),Settings!$C$10)=0),"Round amount | ","")="","",LEFT(IF(K908="No","Does not balance | ","")&amp;IF(I908="","Not approved | ",IF(UPPER(TRIM(H908))=UPPER(TRIM(I908)),"Self-approved | ",""))&amp;IF(J908="","No support | ","")&amp;IF(WEEKDAY(B908,2)&gt;5,"Weekend posting | ","")&amp;IF(COUNTIF(Settings!$A$14:$A$43,B908)&gt;0,"Holiday posting | ","")&amp;IF(B908&gt;Settings!$C$8,"Posted after close | ","")&amp;IF(OR(B908&lt;Settings!$C$6,B908&gt;Settings!$C$7),"Outside period | ","")&amp;IF(COUNTIF(Settings!$E$14:$E$43,C908&amp;"")&gt;0,"Sensitive account | ","")&amp;IF(AND(MAX(N(E908),N(F908))&gt;=Settings!$C$9,MOD(MAX(N(E908),N(F908)),Settings!$C$10)=0),"Round amount | ",""),LEN(IF(K908="No","Does not balance | ","")&amp;IF(I908="","Not approved | ",IF(UPPER(TRIM(H908))=UPPER(TRIM(I908)),"Self-approved | ",""))&amp;IF(J908="","No support | ","")&amp;IF(WEEKDAY(B908,2)&gt;5,"Weekend posting | ","")&amp;IF(COUNTIF(Settings!$A$14:$A$43,B908)&gt;0,"Holiday posting | ","")&amp;IF(B908&gt;Settings!$C$8,"Posted after close | ","")&amp;IF(OR(B908&lt;Settings!$C$6,B908&gt;Settings!$C$7),"Outside period | ","")&amp;IF(COUNTIF(Settings!$E$14:$E$43,C908&amp;"")&gt;0,"Sensitive account | ","")&amp;IF(AND(MAX(N(E908),N(F908))&gt;=Settings!$C$9,MOD(MAX(N(E908),N(F908)),Settings!$C$10)=0),"Round amount | ",""))-3)))</f>
        <v/>
      </c>
      <c r="M908" s="21" t="str">
        <f aca="false">IF(A908="","",IF(COUNTIF($A$9:A908,A908)=1,MAX($M$8:M907)+1,""))</f>
        <v/>
      </c>
    </row>
    <row r="909" customFormat="false" ht="15" hidden="false" customHeight="false" outlineLevel="0" collapsed="false">
      <c r="A909" s="8"/>
      <c r="B909" s="17"/>
      <c r="C909" s="19"/>
      <c r="D909" s="8"/>
      <c r="E909" s="18"/>
      <c r="F909" s="18"/>
      <c r="G909" s="8"/>
      <c r="H909" s="8"/>
      <c r="I909" s="8"/>
      <c r="J909" s="8"/>
      <c r="K909" s="10" t="str">
        <f aca="false">IF(A909="","",IF(ABS(SUMIFS($E$9:$E$2008,$A$9:$A$2008,A909)-SUMIFS($F$9:$F$2008,$A$9:$A$2008,A909))&lt;0.5,"Yes","No"))</f>
        <v/>
      </c>
      <c r="L909" s="10" t="str">
        <f aca="false">IF(A909="","",IF(IF(K909="No","Does not balance | ","")&amp;IF(I909="","Not approved | ",IF(UPPER(TRIM(H909))=UPPER(TRIM(I909)),"Self-approved | ",""))&amp;IF(J909="","No support | ","")&amp;IF(WEEKDAY(B909,2)&gt;5,"Weekend posting | ","")&amp;IF(COUNTIF(Settings!$A$14:$A$43,B909)&gt;0,"Holiday posting | ","")&amp;IF(B909&gt;Settings!$C$8,"Posted after close | ","")&amp;IF(OR(B909&lt;Settings!$C$6,B909&gt;Settings!$C$7),"Outside period | ","")&amp;IF(COUNTIF(Settings!$E$14:$E$43,C909&amp;"")&gt;0,"Sensitive account | ","")&amp;IF(AND(MAX(N(E909),N(F909))&gt;=Settings!$C$9,MOD(MAX(N(E909),N(F909)),Settings!$C$10)=0),"Round amount | ","")="","",LEFT(IF(K909="No","Does not balance | ","")&amp;IF(I909="","Not approved | ",IF(UPPER(TRIM(H909))=UPPER(TRIM(I909)),"Self-approved | ",""))&amp;IF(J909="","No support | ","")&amp;IF(WEEKDAY(B909,2)&gt;5,"Weekend posting | ","")&amp;IF(COUNTIF(Settings!$A$14:$A$43,B909)&gt;0,"Holiday posting | ","")&amp;IF(B909&gt;Settings!$C$8,"Posted after close | ","")&amp;IF(OR(B909&lt;Settings!$C$6,B909&gt;Settings!$C$7),"Outside period | ","")&amp;IF(COUNTIF(Settings!$E$14:$E$43,C909&amp;"")&gt;0,"Sensitive account | ","")&amp;IF(AND(MAX(N(E909),N(F909))&gt;=Settings!$C$9,MOD(MAX(N(E909),N(F909)),Settings!$C$10)=0),"Round amount | ",""),LEN(IF(K909="No","Does not balance | ","")&amp;IF(I909="","Not approved | ",IF(UPPER(TRIM(H909))=UPPER(TRIM(I909)),"Self-approved | ",""))&amp;IF(J909="","No support | ","")&amp;IF(WEEKDAY(B909,2)&gt;5,"Weekend posting | ","")&amp;IF(COUNTIF(Settings!$A$14:$A$43,B909)&gt;0,"Holiday posting | ","")&amp;IF(B909&gt;Settings!$C$8,"Posted after close | ","")&amp;IF(OR(B909&lt;Settings!$C$6,B909&gt;Settings!$C$7),"Outside period | ","")&amp;IF(COUNTIF(Settings!$E$14:$E$43,C909&amp;"")&gt;0,"Sensitive account | ","")&amp;IF(AND(MAX(N(E909),N(F909))&gt;=Settings!$C$9,MOD(MAX(N(E909),N(F909)),Settings!$C$10)=0),"Round amount | ",""))-3)))</f>
        <v/>
      </c>
      <c r="M909" s="21" t="str">
        <f aca="false">IF(A909="","",IF(COUNTIF($A$9:A909,A909)=1,MAX($M$8:M908)+1,""))</f>
        <v/>
      </c>
    </row>
    <row r="910" customFormat="false" ht="15" hidden="false" customHeight="false" outlineLevel="0" collapsed="false">
      <c r="A910" s="8"/>
      <c r="B910" s="17"/>
      <c r="C910" s="19"/>
      <c r="D910" s="8"/>
      <c r="E910" s="18"/>
      <c r="F910" s="18"/>
      <c r="G910" s="8"/>
      <c r="H910" s="8"/>
      <c r="I910" s="8"/>
      <c r="J910" s="8"/>
      <c r="K910" s="10" t="str">
        <f aca="false">IF(A910="","",IF(ABS(SUMIFS($E$9:$E$2008,$A$9:$A$2008,A910)-SUMIFS($F$9:$F$2008,$A$9:$A$2008,A910))&lt;0.5,"Yes","No"))</f>
        <v/>
      </c>
      <c r="L910" s="10" t="str">
        <f aca="false">IF(A910="","",IF(IF(K910="No","Does not balance | ","")&amp;IF(I910="","Not approved | ",IF(UPPER(TRIM(H910))=UPPER(TRIM(I910)),"Self-approved | ",""))&amp;IF(J910="","No support | ","")&amp;IF(WEEKDAY(B910,2)&gt;5,"Weekend posting | ","")&amp;IF(COUNTIF(Settings!$A$14:$A$43,B910)&gt;0,"Holiday posting | ","")&amp;IF(B910&gt;Settings!$C$8,"Posted after close | ","")&amp;IF(OR(B910&lt;Settings!$C$6,B910&gt;Settings!$C$7),"Outside period | ","")&amp;IF(COUNTIF(Settings!$E$14:$E$43,C910&amp;"")&gt;0,"Sensitive account | ","")&amp;IF(AND(MAX(N(E910),N(F910))&gt;=Settings!$C$9,MOD(MAX(N(E910),N(F910)),Settings!$C$10)=0),"Round amount | ","")="","",LEFT(IF(K910="No","Does not balance | ","")&amp;IF(I910="","Not approved | ",IF(UPPER(TRIM(H910))=UPPER(TRIM(I910)),"Self-approved | ",""))&amp;IF(J910="","No support | ","")&amp;IF(WEEKDAY(B910,2)&gt;5,"Weekend posting | ","")&amp;IF(COUNTIF(Settings!$A$14:$A$43,B910)&gt;0,"Holiday posting | ","")&amp;IF(B910&gt;Settings!$C$8,"Posted after close | ","")&amp;IF(OR(B910&lt;Settings!$C$6,B910&gt;Settings!$C$7),"Outside period | ","")&amp;IF(COUNTIF(Settings!$E$14:$E$43,C910&amp;"")&gt;0,"Sensitive account | ","")&amp;IF(AND(MAX(N(E910),N(F910))&gt;=Settings!$C$9,MOD(MAX(N(E910),N(F910)),Settings!$C$10)=0),"Round amount | ",""),LEN(IF(K910="No","Does not balance | ","")&amp;IF(I910="","Not approved | ",IF(UPPER(TRIM(H910))=UPPER(TRIM(I910)),"Self-approved | ",""))&amp;IF(J910="","No support | ","")&amp;IF(WEEKDAY(B910,2)&gt;5,"Weekend posting | ","")&amp;IF(COUNTIF(Settings!$A$14:$A$43,B910)&gt;0,"Holiday posting | ","")&amp;IF(B910&gt;Settings!$C$8,"Posted after close | ","")&amp;IF(OR(B910&lt;Settings!$C$6,B910&gt;Settings!$C$7),"Outside period | ","")&amp;IF(COUNTIF(Settings!$E$14:$E$43,C910&amp;"")&gt;0,"Sensitive account | ","")&amp;IF(AND(MAX(N(E910),N(F910))&gt;=Settings!$C$9,MOD(MAX(N(E910),N(F910)),Settings!$C$10)=0),"Round amount | ",""))-3)))</f>
        <v/>
      </c>
      <c r="M910" s="21" t="str">
        <f aca="false">IF(A910="","",IF(COUNTIF($A$9:A910,A910)=1,MAX($M$8:M909)+1,""))</f>
        <v/>
      </c>
    </row>
    <row r="911" customFormat="false" ht="15" hidden="false" customHeight="false" outlineLevel="0" collapsed="false">
      <c r="A911" s="8"/>
      <c r="B911" s="17"/>
      <c r="C911" s="19"/>
      <c r="D911" s="8"/>
      <c r="E911" s="18"/>
      <c r="F911" s="18"/>
      <c r="G911" s="8"/>
      <c r="H911" s="8"/>
      <c r="I911" s="8"/>
      <c r="J911" s="8"/>
      <c r="K911" s="10" t="str">
        <f aca="false">IF(A911="","",IF(ABS(SUMIFS($E$9:$E$2008,$A$9:$A$2008,A911)-SUMIFS($F$9:$F$2008,$A$9:$A$2008,A911))&lt;0.5,"Yes","No"))</f>
        <v/>
      </c>
      <c r="L911" s="10" t="str">
        <f aca="false">IF(A911="","",IF(IF(K911="No","Does not balance | ","")&amp;IF(I911="","Not approved | ",IF(UPPER(TRIM(H911))=UPPER(TRIM(I911)),"Self-approved | ",""))&amp;IF(J911="","No support | ","")&amp;IF(WEEKDAY(B911,2)&gt;5,"Weekend posting | ","")&amp;IF(COUNTIF(Settings!$A$14:$A$43,B911)&gt;0,"Holiday posting | ","")&amp;IF(B911&gt;Settings!$C$8,"Posted after close | ","")&amp;IF(OR(B911&lt;Settings!$C$6,B911&gt;Settings!$C$7),"Outside period | ","")&amp;IF(COUNTIF(Settings!$E$14:$E$43,C911&amp;"")&gt;0,"Sensitive account | ","")&amp;IF(AND(MAX(N(E911),N(F911))&gt;=Settings!$C$9,MOD(MAX(N(E911),N(F911)),Settings!$C$10)=0),"Round amount | ","")="","",LEFT(IF(K911="No","Does not balance | ","")&amp;IF(I911="","Not approved | ",IF(UPPER(TRIM(H911))=UPPER(TRIM(I911)),"Self-approved | ",""))&amp;IF(J911="","No support | ","")&amp;IF(WEEKDAY(B911,2)&gt;5,"Weekend posting | ","")&amp;IF(COUNTIF(Settings!$A$14:$A$43,B911)&gt;0,"Holiday posting | ","")&amp;IF(B911&gt;Settings!$C$8,"Posted after close | ","")&amp;IF(OR(B911&lt;Settings!$C$6,B911&gt;Settings!$C$7),"Outside period | ","")&amp;IF(COUNTIF(Settings!$E$14:$E$43,C911&amp;"")&gt;0,"Sensitive account | ","")&amp;IF(AND(MAX(N(E911),N(F911))&gt;=Settings!$C$9,MOD(MAX(N(E911),N(F911)),Settings!$C$10)=0),"Round amount | ",""),LEN(IF(K911="No","Does not balance | ","")&amp;IF(I911="","Not approved | ",IF(UPPER(TRIM(H911))=UPPER(TRIM(I911)),"Self-approved | ",""))&amp;IF(J911="","No support | ","")&amp;IF(WEEKDAY(B911,2)&gt;5,"Weekend posting | ","")&amp;IF(COUNTIF(Settings!$A$14:$A$43,B911)&gt;0,"Holiday posting | ","")&amp;IF(B911&gt;Settings!$C$8,"Posted after close | ","")&amp;IF(OR(B911&lt;Settings!$C$6,B911&gt;Settings!$C$7),"Outside period | ","")&amp;IF(COUNTIF(Settings!$E$14:$E$43,C911&amp;"")&gt;0,"Sensitive account | ","")&amp;IF(AND(MAX(N(E911),N(F911))&gt;=Settings!$C$9,MOD(MAX(N(E911),N(F911)),Settings!$C$10)=0),"Round amount | ",""))-3)))</f>
        <v/>
      </c>
      <c r="M911" s="21" t="str">
        <f aca="false">IF(A911="","",IF(COUNTIF($A$9:A911,A911)=1,MAX($M$8:M910)+1,""))</f>
        <v/>
      </c>
    </row>
    <row r="912" customFormat="false" ht="15" hidden="false" customHeight="false" outlineLevel="0" collapsed="false">
      <c r="A912" s="8"/>
      <c r="B912" s="17"/>
      <c r="C912" s="19"/>
      <c r="D912" s="8"/>
      <c r="E912" s="18"/>
      <c r="F912" s="18"/>
      <c r="G912" s="8"/>
      <c r="H912" s="8"/>
      <c r="I912" s="8"/>
      <c r="J912" s="8"/>
      <c r="K912" s="10" t="str">
        <f aca="false">IF(A912="","",IF(ABS(SUMIFS($E$9:$E$2008,$A$9:$A$2008,A912)-SUMIFS($F$9:$F$2008,$A$9:$A$2008,A912))&lt;0.5,"Yes","No"))</f>
        <v/>
      </c>
      <c r="L912" s="10" t="str">
        <f aca="false">IF(A912="","",IF(IF(K912="No","Does not balance | ","")&amp;IF(I912="","Not approved | ",IF(UPPER(TRIM(H912))=UPPER(TRIM(I912)),"Self-approved | ",""))&amp;IF(J912="","No support | ","")&amp;IF(WEEKDAY(B912,2)&gt;5,"Weekend posting | ","")&amp;IF(COUNTIF(Settings!$A$14:$A$43,B912)&gt;0,"Holiday posting | ","")&amp;IF(B912&gt;Settings!$C$8,"Posted after close | ","")&amp;IF(OR(B912&lt;Settings!$C$6,B912&gt;Settings!$C$7),"Outside period | ","")&amp;IF(COUNTIF(Settings!$E$14:$E$43,C912&amp;"")&gt;0,"Sensitive account | ","")&amp;IF(AND(MAX(N(E912),N(F912))&gt;=Settings!$C$9,MOD(MAX(N(E912),N(F912)),Settings!$C$10)=0),"Round amount | ","")="","",LEFT(IF(K912="No","Does not balance | ","")&amp;IF(I912="","Not approved | ",IF(UPPER(TRIM(H912))=UPPER(TRIM(I912)),"Self-approved | ",""))&amp;IF(J912="","No support | ","")&amp;IF(WEEKDAY(B912,2)&gt;5,"Weekend posting | ","")&amp;IF(COUNTIF(Settings!$A$14:$A$43,B912)&gt;0,"Holiday posting | ","")&amp;IF(B912&gt;Settings!$C$8,"Posted after close | ","")&amp;IF(OR(B912&lt;Settings!$C$6,B912&gt;Settings!$C$7),"Outside period | ","")&amp;IF(COUNTIF(Settings!$E$14:$E$43,C912&amp;"")&gt;0,"Sensitive account | ","")&amp;IF(AND(MAX(N(E912),N(F912))&gt;=Settings!$C$9,MOD(MAX(N(E912),N(F912)),Settings!$C$10)=0),"Round amount | ",""),LEN(IF(K912="No","Does not balance | ","")&amp;IF(I912="","Not approved | ",IF(UPPER(TRIM(H912))=UPPER(TRIM(I912)),"Self-approved | ",""))&amp;IF(J912="","No support | ","")&amp;IF(WEEKDAY(B912,2)&gt;5,"Weekend posting | ","")&amp;IF(COUNTIF(Settings!$A$14:$A$43,B912)&gt;0,"Holiday posting | ","")&amp;IF(B912&gt;Settings!$C$8,"Posted after close | ","")&amp;IF(OR(B912&lt;Settings!$C$6,B912&gt;Settings!$C$7),"Outside period | ","")&amp;IF(COUNTIF(Settings!$E$14:$E$43,C912&amp;"")&gt;0,"Sensitive account | ","")&amp;IF(AND(MAX(N(E912),N(F912))&gt;=Settings!$C$9,MOD(MAX(N(E912),N(F912)),Settings!$C$10)=0),"Round amount | ",""))-3)))</f>
        <v/>
      </c>
      <c r="M912" s="21" t="str">
        <f aca="false">IF(A912="","",IF(COUNTIF($A$9:A912,A912)=1,MAX($M$8:M911)+1,""))</f>
        <v/>
      </c>
    </row>
    <row r="913" customFormat="false" ht="15" hidden="false" customHeight="false" outlineLevel="0" collapsed="false">
      <c r="A913" s="8"/>
      <c r="B913" s="17"/>
      <c r="C913" s="19"/>
      <c r="D913" s="8"/>
      <c r="E913" s="18"/>
      <c r="F913" s="18"/>
      <c r="G913" s="8"/>
      <c r="H913" s="8"/>
      <c r="I913" s="8"/>
      <c r="J913" s="8"/>
      <c r="K913" s="10" t="str">
        <f aca="false">IF(A913="","",IF(ABS(SUMIFS($E$9:$E$2008,$A$9:$A$2008,A913)-SUMIFS($F$9:$F$2008,$A$9:$A$2008,A913))&lt;0.5,"Yes","No"))</f>
        <v/>
      </c>
      <c r="L913" s="10" t="str">
        <f aca="false">IF(A913="","",IF(IF(K913="No","Does not balance | ","")&amp;IF(I913="","Not approved | ",IF(UPPER(TRIM(H913))=UPPER(TRIM(I913)),"Self-approved | ",""))&amp;IF(J913="","No support | ","")&amp;IF(WEEKDAY(B913,2)&gt;5,"Weekend posting | ","")&amp;IF(COUNTIF(Settings!$A$14:$A$43,B913)&gt;0,"Holiday posting | ","")&amp;IF(B913&gt;Settings!$C$8,"Posted after close | ","")&amp;IF(OR(B913&lt;Settings!$C$6,B913&gt;Settings!$C$7),"Outside period | ","")&amp;IF(COUNTIF(Settings!$E$14:$E$43,C913&amp;"")&gt;0,"Sensitive account | ","")&amp;IF(AND(MAX(N(E913),N(F913))&gt;=Settings!$C$9,MOD(MAX(N(E913),N(F913)),Settings!$C$10)=0),"Round amount | ","")="","",LEFT(IF(K913="No","Does not balance | ","")&amp;IF(I913="","Not approved | ",IF(UPPER(TRIM(H913))=UPPER(TRIM(I913)),"Self-approved | ",""))&amp;IF(J913="","No support | ","")&amp;IF(WEEKDAY(B913,2)&gt;5,"Weekend posting | ","")&amp;IF(COUNTIF(Settings!$A$14:$A$43,B913)&gt;0,"Holiday posting | ","")&amp;IF(B913&gt;Settings!$C$8,"Posted after close | ","")&amp;IF(OR(B913&lt;Settings!$C$6,B913&gt;Settings!$C$7),"Outside period | ","")&amp;IF(COUNTIF(Settings!$E$14:$E$43,C913&amp;"")&gt;0,"Sensitive account | ","")&amp;IF(AND(MAX(N(E913),N(F913))&gt;=Settings!$C$9,MOD(MAX(N(E913),N(F913)),Settings!$C$10)=0),"Round amount | ",""),LEN(IF(K913="No","Does not balance | ","")&amp;IF(I913="","Not approved | ",IF(UPPER(TRIM(H913))=UPPER(TRIM(I913)),"Self-approved | ",""))&amp;IF(J913="","No support | ","")&amp;IF(WEEKDAY(B913,2)&gt;5,"Weekend posting | ","")&amp;IF(COUNTIF(Settings!$A$14:$A$43,B913)&gt;0,"Holiday posting | ","")&amp;IF(B913&gt;Settings!$C$8,"Posted after close | ","")&amp;IF(OR(B913&lt;Settings!$C$6,B913&gt;Settings!$C$7),"Outside period | ","")&amp;IF(COUNTIF(Settings!$E$14:$E$43,C913&amp;"")&gt;0,"Sensitive account | ","")&amp;IF(AND(MAX(N(E913),N(F913))&gt;=Settings!$C$9,MOD(MAX(N(E913),N(F913)),Settings!$C$10)=0),"Round amount | ",""))-3)))</f>
        <v/>
      </c>
      <c r="M913" s="21" t="str">
        <f aca="false">IF(A913="","",IF(COUNTIF($A$9:A913,A913)=1,MAX($M$8:M912)+1,""))</f>
        <v/>
      </c>
    </row>
    <row r="914" customFormat="false" ht="15" hidden="false" customHeight="false" outlineLevel="0" collapsed="false">
      <c r="A914" s="8"/>
      <c r="B914" s="17"/>
      <c r="C914" s="19"/>
      <c r="D914" s="8"/>
      <c r="E914" s="18"/>
      <c r="F914" s="18"/>
      <c r="G914" s="8"/>
      <c r="H914" s="8"/>
      <c r="I914" s="8"/>
      <c r="J914" s="8"/>
      <c r="K914" s="10" t="str">
        <f aca="false">IF(A914="","",IF(ABS(SUMIFS($E$9:$E$2008,$A$9:$A$2008,A914)-SUMIFS($F$9:$F$2008,$A$9:$A$2008,A914))&lt;0.5,"Yes","No"))</f>
        <v/>
      </c>
      <c r="L914" s="10" t="str">
        <f aca="false">IF(A914="","",IF(IF(K914="No","Does not balance | ","")&amp;IF(I914="","Not approved | ",IF(UPPER(TRIM(H914))=UPPER(TRIM(I914)),"Self-approved | ",""))&amp;IF(J914="","No support | ","")&amp;IF(WEEKDAY(B914,2)&gt;5,"Weekend posting | ","")&amp;IF(COUNTIF(Settings!$A$14:$A$43,B914)&gt;0,"Holiday posting | ","")&amp;IF(B914&gt;Settings!$C$8,"Posted after close | ","")&amp;IF(OR(B914&lt;Settings!$C$6,B914&gt;Settings!$C$7),"Outside period | ","")&amp;IF(COUNTIF(Settings!$E$14:$E$43,C914&amp;"")&gt;0,"Sensitive account | ","")&amp;IF(AND(MAX(N(E914),N(F914))&gt;=Settings!$C$9,MOD(MAX(N(E914),N(F914)),Settings!$C$10)=0),"Round amount | ","")="","",LEFT(IF(K914="No","Does not balance | ","")&amp;IF(I914="","Not approved | ",IF(UPPER(TRIM(H914))=UPPER(TRIM(I914)),"Self-approved | ",""))&amp;IF(J914="","No support | ","")&amp;IF(WEEKDAY(B914,2)&gt;5,"Weekend posting | ","")&amp;IF(COUNTIF(Settings!$A$14:$A$43,B914)&gt;0,"Holiday posting | ","")&amp;IF(B914&gt;Settings!$C$8,"Posted after close | ","")&amp;IF(OR(B914&lt;Settings!$C$6,B914&gt;Settings!$C$7),"Outside period | ","")&amp;IF(COUNTIF(Settings!$E$14:$E$43,C914&amp;"")&gt;0,"Sensitive account | ","")&amp;IF(AND(MAX(N(E914),N(F914))&gt;=Settings!$C$9,MOD(MAX(N(E914),N(F914)),Settings!$C$10)=0),"Round amount | ",""),LEN(IF(K914="No","Does not balance | ","")&amp;IF(I914="","Not approved | ",IF(UPPER(TRIM(H914))=UPPER(TRIM(I914)),"Self-approved | ",""))&amp;IF(J914="","No support | ","")&amp;IF(WEEKDAY(B914,2)&gt;5,"Weekend posting | ","")&amp;IF(COUNTIF(Settings!$A$14:$A$43,B914)&gt;0,"Holiday posting | ","")&amp;IF(B914&gt;Settings!$C$8,"Posted after close | ","")&amp;IF(OR(B914&lt;Settings!$C$6,B914&gt;Settings!$C$7),"Outside period | ","")&amp;IF(COUNTIF(Settings!$E$14:$E$43,C914&amp;"")&gt;0,"Sensitive account | ","")&amp;IF(AND(MAX(N(E914),N(F914))&gt;=Settings!$C$9,MOD(MAX(N(E914),N(F914)),Settings!$C$10)=0),"Round amount | ",""))-3)))</f>
        <v/>
      </c>
      <c r="M914" s="21" t="str">
        <f aca="false">IF(A914="","",IF(COUNTIF($A$9:A914,A914)=1,MAX($M$8:M913)+1,""))</f>
        <v/>
      </c>
    </row>
    <row r="915" customFormat="false" ht="15" hidden="false" customHeight="false" outlineLevel="0" collapsed="false">
      <c r="A915" s="8"/>
      <c r="B915" s="17"/>
      <c r="C915" s="19"/>
      <c r="D915" s="8"/>
      <c r="E915" s="18"/>
      <c r="F915" s="18"/>
      <c r="G915" s="8"/>
      <c r="H915" s="8"/>
      <c r="I915" s="8"/>
      <c r="J915" s="8"/>
      <c r="K915" s="10" t="str">
        <f aca="false">IF(A915="","",IF(ABS(SUMIFS($E$9:$E$2008,$A$9:$A$2008,A915)-SUMIFS($F$9:$F$2008,$A$9:$A$2008,A915))&lt;0.5,"Yes","No"))</f>
        <v/>
      </c>
      <c r="L915" s="10" t="str">
        <f aca="false">IF(A915="","",IF(IF(K915="No","Does not balance | ","")&amp;IF(I915="","Not approved | ",IF(UPPER(TRIM(H915))=UPPER(TRIM(I915)),"Self-approved | ",""))&amp;IF(J915="","No support | ","")&amp;IF(WEEKDAY(B915,2)&gt;5,"Weekend posting | ","")&amp;IF(COUNTIF(Settings!$A$14:$A$43,B915)&gt;0,"Holiday posting | ","")&amp;IF(B915&gt;Settings!$C$8,"Posted after close | ","")&amp;IF(OR(B915&lt;Settings!$C$6,B915&gt;Settings!$C$7),"Outside period | ","")&amp;IF(COUNTIF(Settings!$E$14:$E$43,C915&amp;"")&gt;0,"Sensitive account | ","")&amp;IF(AND(MAX(N(E915),N(F915))&gt;=Settings!$C$9,MOD(MAX(N(E915),N(F915)),Settings!$C$10)=0),"Round amount | ","")="","",LEFT(IF(K915="No","Does not balance | ","")&amp;IF(I915="","Not approved | ",IF(UPPER(TRIM(H915))=UPPER(TRIM(I915)),"Self-approved | ",""))&amp;IF(J915="","No support | ","")&amp;IF(WEEKDAY(B915,2)&gt;5,"Weekend posting | ","")&amp;IF(COUNTIF(Settings!$A$14:$A$43,B915)&gt;0,"Holiday posting | ","")&amp;IF(B915&gt;Settings!$C$8,"Posted after close | ","")&amp;IF(OR(B915&lt;Settings!$C$6,B915&gt;Settings!$C$7),"Outside period | ","")&amp;IF(COUNTIF(Settings!$E$14:$E$43,C915&amp;"")&gt;0,"Sensitive account | ","")&amp;IF(AND(MAX(N(E915),N(F915))&gt;=Settings!$C$9,MOD(MAX(N(E915),N(F915)),Settings!$C$10)=0),"Round amount | ",""),LEN(IF(K915="No","Does not balance | ","")&amp;IF(I915="","Not approved | ",IF(UPPER(TRIM(H915))=UPPER(TRIM(I915)),"Self-approved | ",""))&amp;IF(J915="","No support | ","")&amp;IF(WEEKDAY(B915,2)&gt;5,"Weekend posting | ","")&amp;IF(COUNTIF(Settings!$A$14:$A$43,B915)&gt;0,"Holiday posting | ","")&amp;IF(B915&gt;Settings!$C$8,"Posted after close | ","")&amp;IF(OR(B915&lt;Settings!$C$6,B915&gt;Settings!$C$7),"Outside period | ","")&amp;IF(COUNTIF(Settings!$E$14:$E$43,C915&amp;"")&gt;0,"Sensitive account | ","")&amp;IF(AND(MAX(N(E915),N(F915))&gt;=Settings!$C$9,MOD(MAX(N(E915),N(F915)),Settings!$C$10)=0),"Round amount | ",""))-3)))</f>
        <v/>
      </c>
      <c r="M915" s="21" t="str">
        <f aca="false">IF(A915="","",IF(COUNTIF($A$9:A915,A915)=1,MAX($M$8:M914)+1,""))</f>
        <v/>
      </c>
    </row>
    <row r="916" customFormat="false" ht="15" hidden="false" customHeight="false" outlineLevel="0" collapsed="false">
      <c r="A916" s="8"/>
      <c r="B916" s="17"/>
      <c r="C916" s="19"/>
      <c r="D916" s="8"/>
      <c r="E916" s="18"/>
      <c r="F916" s="18"/>
      <c r="G916" s="8"/>
      <c r="H916" s="8"/>
      <c r="I916" s="8"/>
      <c r="J916" s="8"/>
      <c r="K916" s="10" t="str">
        <f aca="false">IF(A916="","",IF(ABS(SUMIFS($E$9:$E$2008,$A$9:$A$2008,A916)-SUMIFS($F$9:$F$2008,$A$9:$A$2008,A916))&lt;0.5,"Yes","No"))</f>
        <v/>
      </c>
      <c r="L916" s="10" t="str">
        <f aca="false">IF(A916="","",IF(IF(K916="No","Does not balance | ","")&amp;IF(I916="","Not approved | ",IF(UPPER(TRIM(H916))=UPPER(TRIM(I916)),"Self-approved | ",""))&amp;IF(J916="","No support | ","")&amp;IF(WEEKDAY(B916,2)&gt;5,"Weekend posting | ","")&amp;IF(COUNTIF(Settings!$A$14:$A$43,B916)&gt;0,"Holiday posting | ","")&amp;IF(B916&gt;Settings!$C$8,"Posted after close | ","")&amp;IF(OR(B916&lt;Settings!$C$6,B916&gt;Settings!$C$7),"Outside period | ","")&amp;IF(COUNTIF(Settings!$E$14:$E$43,C916&amp;"")&gt;0,"Sensitive account | ","")&amp;IF(AND(MAX(N(E916),N(F916))&gt;=Settings!$C$9,MOD(MAX(N(E916),N(F916)),Settings!$C$10)=0),"Round amount | ","")="","",LEFT(IF(K916="No","Does not balance | ","")&amp;IF(I916="","Not approved | ",IF(UPPER(TRIM(H916))=UPPER(TRIM(I916)),"Self-approved | ",""))&amp;IF(J916="","No support | ","")&amp;IF(WEEKDAY(B916,2)&gt;5,"Weekend posting | ","")&amp;IF(COUNTIF(Settings!$A$14:$A$43,B916)&gt;0,"Holiday posting | ","")&amp;IF(B916&gt;Settings!$C$8,"Posted after close | ","")&amp;IF(OR(B916&lt;Settings!$C$6,B916&gt;Settings!$C$7),"Outside period | ","")&amp;IF(COUNTIF(Settings!$E$14:$E$43,C916&amp;"")&gt;0,"Sensitive account | ","")&amp;IF(AND(MAX(N(E916),N(F916))&gt;=Settings!$C$9,MOD(MAX(N(E916),N(F916)),Settings!$C$10)=0),"Round amount | ",""),LEN(IF(K916="No","Does not balance | ","")&amp;IF(I916="","Not approved | ",IF(UPPER(TRIM(H916))=UPPER(TRIM(I916)),"Self-approved | ",""))&amp;IF(J916="","No support | ","")&amp;IF(WEEKDAY(B916,2)&gt;5,"Weekend posting | ","")&amp;IF(COUNTIF(Settings!$A$14:$A$43,B916)&gt;0,"Holiday posting | ","")&amp;IF(B916&gt;Settings!$C$8,"Posted after close | ","")&amp;IF(OR(B916&lt;Settings!$C$6,B916&gt;Settings!$C$7),"Outside period | ","")&amp;IF(COUNTIF(Settings!$E$14:$E$43,C916&amp;"")&gt;0,"Sensitive account | ","")&amp;IF(AND(MAX(N(E916),N(F916))&gt;=Settings!$C$9,MOD(MAX(N(E916),N(F916)),Settings!$C$10)=0),"Round amount | ",""))-3)))</f>
        <v/>
      </c>
      <c r="M916" s="21" t="str">
        <f aca="false">IF(A916="","",IF(COUNTIF($A$9:A916,A916)=1,MAX($M$8:M915)+1,""))</f>
        <v/>
      </c>
    </row>
    <row r="917" customFormat="false" ht="15" hidden="false" customHeight="false" outlineLevel="0" collapsed="false">
      <c r="A917" s="8"/>
      <c r="B917" s="17"/>
      <c r="C917" s="19"/>
      <c r="D917" s="8"/>
      <c r="E917" s="18"/>
      <c r="F917" s="18"/>
      <c r="G917" s="8"/>
      <c r="H917" s="8"/>
      <c r="I917" s="8"/>
      <c r="J917" s="8"/>
      <c r="K917" s="10" t="str">
        <f aca="false">IF(A917="","",IF(ABS(SUMIFS($E$9:$E$2008,$A$9:$A$2008,A917)-SUMIFS($F$9:$F$2008,$A$9:$A$2008,A917))&lt;0.5,"Yes","No"))</f>
        <v/>
      </c>
      <c r="L917" s="10" t="str">
        <f aca="false">IF(A917="","",IF(IF(K917="No","Does not balance | ","")&amp;IF(I917="","Not approved | ",IF(UPPER(TRIM(H917))=UPPER(TRIM(I917)),"Self-approved | ",""))&amp;IF(J917="","No support | ","")&amp;IF(WEEKDAY(B917,2)&gt;5,"Weekend posting | ","")&amp;IF(COUNTIF(Settings!$A$14:$A$43,B917)&gt;0,"Holiday posting | ","")&amp;IF(B917&gt;Settings!$C$8,"Posted after close | ","")&amp;IF(OR(B917&lt;Settings!$C$6,B917&gt;Settings!$C$7),"Outside period | ","")&amp;IF(COUNTIF(Settings!$E$14:$E$43,C917&amp;"")&gt;0,"Sensitive account | ","")&amp;IF(AND(MAX(N(E917),N(F917))&gt;=Settings!$C$9,MOD(MAX(N(E917),N(F917)),Settings!$C$10)=0),"Round amount | ","")="","",LEFT(IF(K917="No","Does not balance | ","")&amp;IF(I917="","Not approved | ",IF(UPPER(TRIM(H917))=UPPER(TRIM(I917)),"Self-approved | ",""))&amp;IF(J917="","No support | ","")&amp;IF(WEEKDAY(B917,2)&gt;5,"Weekend posting | ","")&amp;IF(COUNTIF(Settings!$A$14:$A$43,B917)&gt;0,"Holiday posting | ","")&amp;IF(B917&gt;Settings!$C$8,"Posted after close | ","")&amp;IF(OR(B917&lt;Settings!$C$6,B917&gt;Settings!$C$7),"Outside period | ","")&amp;IF(COUNTIF(Settings!$E$14:$E$43,C917&amp;"")&gt;0,"Sensitive account | ","")&amp;IF(AND(MAX(N(E917),N(F917))&gt;=Settings!$C$9,MOD(MAX(N(E917),N(F917)),Settings!$C$10)=0),"Round amount | ",""),LEN(IF(K917="No","Does not balance | ","")&amp;IF(I917="","Not approved | ",IF(UPPER(TRIM(H917))=UPPER(TRIM(I917)),"Self-approved | ",""))&amp;IF(J917="","No support | ","")&amp;IF(WEEKDAY(B917,2)&gt;5,"Weekend posting | ","")&amp;IF(COUNTIF(Settings!$A$14:$A$43,B917)&gt;0,"Holiday posting | ","")&amp;IF(B917&gt;Settings!$C$8,"Posted after close | ","")&amp;IF(OR(B917&lt;Settings!$C$6,B917&gt;Settings!$C$7),"Outside period | ","")&amp;IF(COUNTIF(Settings!$E$14:$E$43,C917&amp;"")&gt;0,"Sensitive account | ","")&amp;IF(AND(MAX(N(E917),N(F917))&gt;=Settings!$C$9,MOD(MAX(N(E917),N(F917)),Settings!$C$10)=0),"Round amount | ",""))-3)))</f>
        <v/>
      </c>
      <c r="M917" s="21" t="str">
        <f aca="false">IF(A917="","",IF(COUNTIF($A$9:A917,A917)=1,MAX($M$8:M916)+1,""))</f>
        <v/>
      </c>
    </row>
    <row r="918" customFormat="false" ht="15" hidden="false" customHeight="false" outlineLevel="0" collapsed="false">
      <c r="A918" s="8"/>
      <c r="B918" s="17"/>
      <c r="C918" s="19"/>
      <c r="D918" s="8"/>
      <c r="E918" s="18"/>
      <c r="F918" s="18"/>
      <c r="G918" s="8"/>
      <c r="H918" s="8"/>
      <c r="I918" s="8"/>
      <c r="J918" s="8"/>
      <c r="K918" s="10" t="str">
        <f aca="false">IF(A918="","",IF(ABS(SUMIFS($E$9:$E$2008,$A$9:$A$2008,A918)-SUMIFS($F$9:$F$2008,$A$9:$A$2008,A918))&lt;0.5,"Yes","No"))</f>
        <v/>
      </c>
      <c r="L918" s="10" t="str">
        <f aca="false">IF(A918="","",IF(IF(K918="No","Does not balance | ","")&amp;IF(I918="","Not approved | ",IF(UPPER(TRIM(H918))=UPPER(TRIM(I918)),"Self-approved | ",""))&amp;IF(J918="","No support | ","")&amp;IF(WEEKDAY(B918,2)&gt;5,"Weekend posting | ","")&amp;IF(COUNTIF(Settings!$A$14:$A$43,B918)&gt;0,"Holiday posting | ","")&amp;IF(B918&gt;Settings!$C$8,"Posted after close | ","")&amp;IF(OR(B918&lt;Settings!$C$6,B918&gt;Settings!$C$7),"Outside period | ","")&amp;IF(COUNTIF(Settings!$E$14:$E$43,C918&amp;"")&gt;0,"Sensitive account | ","")&amp;IF(AND(MAX(N(E918),N(F918))&gt;=Settings!$C$9,MOD(MAX(N(E918),N(F918)),Settings!$C$10)=0),"Round amount | ","")="","",LEFT(IF(K918="No","Does not balance | ","")&amp;IF(I918="","Not approved | ",IF(UPPER(TRIM(H918))=UPPER(TRIM(I918)),"Self-approved | ",""))&amp;IF(J918="","No support | ","")&amp;IF(WEEKDAY(B918,2)&gt;5,"Weekend posting | ","")&amp;IF(COUNTIF(Settings!$A$14:$A$43,B918)&gt;0,"Holiday posting | ","")&amp;IF(B918&gt;Settings!$C$8,"Posted after close | ","")&amp;IF(OR(B918&lt;Settings!$C$6,B918&gt;Settings!$C$7),"Outside period | ","")&amp;IF(COUNTIF(Settings!$E$14:$E$43,C918&amp;"")&gt;0,"Sensitive account | ","")&amp;IF(AND(MAX(N(E918),N(F918))&gt;=Settings!$C$9,MOD(MAX(N(E918),N(F918)),Settings!$C$10)=0),"Round amount | ",""),LEN(IF(K918="No","Does not balance | ","")&amp;IF(I918="","Not approved | ",IF(UPPER(TRIM(H918))=UPPER(TRIM(I918)),"Self-approved | ",""))&amp;IF(J918="","No support | ","")&amp;IF(WEEKDAY(B918,2)&gt;5,"Weekend posting | ","")&amp;IF(COUNTIF(Settings!$A$14:$A$43,B918)&gt;0,"Holiday posting | ","")&amp;IF(B918&gt;Settings!$C$8,"Posted after close | ","")&amp;IF(OR(B918&lt;Settings!$C$6,B918&gt;Settings!$C$7),"Outside period | ","")&amp;IF(COUNTIF(Settings!$E$14:$E$43,C918&amp;"")&gt;0,"Sensitive account | ","")&amp;IF(AND(MAX(N(E918),N(F918))&gt;=Settings!$C$9,MOD(MAX(N(E918),N(F918)),Settings!$C$10)=0),"Round amount | ",""))-3)))</f>
        <v/>
      </c>
      <c r="M918" s="21" t="str">
        <f aca="false">IF(A918="","",IF(COUNTIF($A$9:A918,A918)=1,MAX($M$8:M917)+1,""))</f>
        <v/>
      </c>
    </row>
    <row r="919" customFormat="false" ht="15" hidden="false" customHeight="false" outlineLevel="0" collapsed="false">
      <c r="A919" s="8"/>
      <c r="B919" s="17"/>
      <c r="C919" s="19"/>
      <c r="D919" s="8"/>
      <c r="E919" s="18"/>
      <c r="F919" s="18"/>
      <c r="G919" s="8"/>
      <c r="H919" s="8"/>
      <c r="I919" s="8"/>
      <c r="J919" s="8"/>
      <c r="K919" s="10" t="str">
        <f aca="false">IF(A919="","",IF(ABS(SUMIFS($E$9:$E$2008,$A$9:$A$2008,A919)-SUMIFS($F$9:$F$2008,$A$9:$A$2008,A919))&lt;0.5,"Yes","No"))</f>
        <v/>
      </c>
      <c r="L919" s="10" t="str">
        <f aca="false">IF(A919="","",IF(IF(K919="No","Does not balance | ","")&amp;IF(I919="","Not approved | ",IF(UPPER(TRIM(H919))=UPPER(TRIM(I919)),"Self-approved | ",""))&amp;IF(J919="","No support | ","")&amp;IF(WEEKDAY(B919,2)&gt;5,"Weekend posting | ","")&amp;IF(COUNTIF(Settings!$A$14:$A$43,B919)&gt;0,"Holiday posting | ","")&amp;IF(B919&gt;Settings!$C$8,"Posted after close | ","")&amp;IF(OR(B919&lt;Settings!$C$6,B919&gt;Settings!$C$7),"Outside period | ","")&amp;IF(COUNTIF(Settings!$E$14:$E$43,C919&amp;"")&gt;0,"Sensitive account | ","")&amp;IF(AND(MAX(N(E919),N(F919))&gt;=Settings!$C$9,MOD(MAX(N(E919),N(F919)),Settings!$C$10)=0),"Round amount | ","")="","",LEFT(IF(K919="No","Does not balance | ","")&amp;IF(I919="","Not approved | ",IF(UPPER(TRIM(H919))=UPPER(TRIM(I919)),"Self-approved | ",""))&amp;IF(J919="","No support | ","")&amp;IF(WEEKDAY(B919,2)&gt;5,"Weekend posting | ","")&amp;IF(COUNTIF(Settings!$A$14:$A$43,B919)&gt;0,"Holiday posting | ","")&amp;IF(B919&gt;Settings!$C$8,"Posted after close | ","")&amp;IF(OR(B919&lt;Settings!$C$6,B919&gt;Settings!$C$7),"Outside period | ","")&amp;IF(COUNTIF(Settings!$E$14:$E$43,C919&amp;"")&gt;0,"Sensitive account | ","")&amp;IF(AND(MAX(N(E919),N(F919))&gt;=Settings!$C$9,MOD(MAX(N(E919),N(F919)),Settings!$C$10)=0),"Round amount | ",""),LEN(IF(K919="No","Does not balance | ","")&amp;IF(I919="","Not approved | ",IF(UPPER(TRIM(H919))=UPPER(TRIM(I919)),"Self-approved | ",""))&amp;IF(J919="","No support | ","")&amp;IF(WEEKDAY(B919,2)&gt;5,"Weekend posting | ","")&amp;IF(COUNTIF(Settings!$A$14:$A$43,B919)&gt;0,"Holiday posting | ","")&amp;IF(B919&gt;Settings!$C$8,"Posted after close | ","")&amp;IF(OR(B919&lt;Settings!$C$6,B919&gt;Settings!$C$7),"Outside period | ","")&amp;IF(COUNTIF(Settings!$E$14:$E$43,C919&amp;"")&gt;0,"Sensitive account | ","")&amp;IF(AND(MAX(N(E919),N(F919))&gt;=Settings!$C$9,MOD(MAX(N(E919),N(F919)),Settings!$C$10)=0),"Round amount | ",""))-3)))</f>
        <v/>
      </c>
      <c r="M919" s="21" t="str">
        <f aca="false">IF(A919="","",IF(COUNTIF($A$9:A919,A919)=1,MAX($M$8:M918)+1,""))</f>
        <v/>
      </c>
    </row>
    <row r="920" customFormat="false" ht="15" hidden="false" customHeight="false" outlineLevel="0" collapsed="false">
      <c r="A920" s="8"/>
      <c r="B920" s="17"/>
      <c r="C920" s="19"/>
      <c r="D920" s="8"/>
      <c r="E920" s="18"/>
      <c r="F920" s="18"/>
      <c r="G920" s="8"/>
      <c r="H920" s="8"/>
      <c r="I920" s="8"/>
      <c r="J920" s="8"/>
      <c r="K920" s="10" t="str">
        <f aca="false">IF(A920="","",IF(ABS(SUMIFS($E$9:$E$2008,$A$9:$A$2008,A920)-SUMIFS($F$9:$F$2008,$A$9:$A$2008,A920))&lt;0.5,"Yes","No"))</f>
        <v/>
      </c>
      <c r="L920" s="10" t="str">
        <f aca="false">IF(A920="","",IF(IF(K920="No","Does not balance | ","")&amp;IF(I920="","Not approved | ",IF(UPPER(TRIM(H920))=UPPER(TRIM(I920)),"Self-approved | ",""))&amp;IF(J920="","No support | ","")&amp;IF(WEEKDAY(B920,2)&gt;5,"Weekend posting | ","")&amp;IF(COUNTIF(Settings!$A$14:$A$43,B920)&gt;0,"Holiday posting | ","")&amp;IF(B920&gt;Settings!$C$8,"Posted after close | ","")&amp;IF(OR(B920&lt;Settings!$C$6,B920&gt;Settings!$C$7),"Outside period | ","")&amp;IF(COUNTIF(Settings!$E$14:$E$43,C920&amp;"")&gt;0,"Sensitive account | ","")&amp;IF(AND(MAX(N(E920),N(F920))&gt;=Settings!$C$9,MOD(MAX(N(E920),N(F920)),Settings!$C$10)=0),"Round amount | ","")="","",LEFT(IF(K920="No","Does not balance | ","")&amp;IF(I920="","Not approved | ",IF(UPPER(TRIM(H920))=UPPER(TRIM(I920)),"Self-approved | ",""))&amp;IF(J920="","No support | ","")&amp;IF(WEEKDAY(B920,2)&gt;5,"Weekend posting | ","")&amp;IF(COUNTIF(Settings!$A$14:$A$43,B920)&gt;0,"Holiday posting | ","")&amp;IF(B920&gt;Settings!$C$8,"Posted after close | ","")&amp;IF(OR(B920&lt;Settings!$C$6,B920&gt;Settings!$C$7),"Outside period | ","")&amp;IF(COUNTIF(Settings!$E$14:$E$43,C920&amp;"")&gt;0,"Sensitive account | ","")&amp;IF(AND(MAX(N(E920),N(F920))&gt;=Settings!$C$9,MOD(MAX(N(E920),N(F920)),Settings!$C$10)=0),"Round amount | ",""),LEN(IF(K920="No","Does not balance | ","")&amp;IF(I920="","Not approved | ",IF(UPPER(TRIM(H920))=UPPER(TRIM(I920)),"Self-approved | ",""))&amp;IF(J920="","No support | ","")&amp;IF(WEEKDAY(B920,2)&gt;5,"Weekend posting | ","")&amp;IF(COUNTIF(Settings!$A$14:$A$43,B920)&gt;0,"Holiday posting | ","")&amp;IF(B920&gt;Settings!$C$8,"Posted after close | ","")&amp;IF(OR(B920&lt;Settings!$C$6,B920&gt;Settings!$C$7),"Outside period | ","")&amp;IF(COUNTIF(Settings!$E$14:$E$43,C920&amp;"")&gt;0,"Sensitive account | ","")&amp;IF(AND(MAX(N(E920),N(F920))&gt;=Settings!$C$9,MOD(MAX(N(E920),N(F920)),Settings!$C$10)=0),"Round amount | ",""))-3)))</f>
        <v/>
      </c>
      <c r="M920" s="21" t="str">
        <f aca="false">IF(A920="","",IF(COUNTIF($A$9:A920,A920)=1,MAX($M$8:M919)+1,""))</f>
        <v/>
      </c>
    </row>
    <row r="921" customFormat="false" ht="15" hidden="false" customHeight="false" outlineLevel="0" collapsed="false">
      <c r="A921" s="8"/>
      <c r="B921" s="17"/>
      <c r="C921" s="19"/>
      <c r="D921" s="8"/>
      <c r="E921" s="18"/>
      <c r="F921" s="18"/>
      <c r="G921" s="8"/>
      <c r="H921" s="8"/>
      <c r="I921" s="8"/>
      <c r="J921" s="8"/>
      <c r="K921" s="10" t="str">
        <f aca="false">IF(A921="","",IF(ABS(SUMIFS($E$9:$E$2008,$A$9:$A$2008,A921)-SUMIFS($F$9:$F$2008,$A$9:$A$2008,A921))&lt;0.5,"Yes","No"))</f>
        <v/>
      </c>
      <c r="L921" s="10" t="str">
        <f aca="false">IF(A921="","",IF(IF(K921="No","Does not balance | ","")&amp;IF(I921="","Not approved | ",IF(UPPER(TRIM(H921))=UPPER(TRIM(I921)),"Self-approved | ",""))&amp;IF(J921="","No support | ","")&amp;IF(WEEKDAY(B921,2)&gt;5,"Weekend posting | ","")&amp;IF(COUNTIF(Settings!$A$14:$A$43,B921)&gt;0,"Holiday posting | ","")&amp;IF(B921&gt;Settings!$C$8,"Posted after close | ","")&amp;IF(OR(B921&lt;Settings!$C$6,B921&gt;Settings!$C$7),"Outside period | ","")&amp;IF(COUNTIF(Settings!$E$14:$E$43,C921&amp;"")&gt;0,"Sensitive account | ","")&amp;IF(AND(MAX(N(E921),N(F921))&gt;=Settings!$C$9,MOD(MAX(N(E921),N(F921)),Settings!$C$10)=0),"Round amount | ","")="","",LEFT(IF(K921="No","Does not balance | ","")&amp;IF(I921="","Not approved | ",IF(UPPER(TRIM(H921))=UPPER(TRIM(I921)),"Self-approved | ",""))&amp;IF(J921="","No support | ","")&amp;IF(WEEKDAY(B921,2)&gt;5,"Weekend posting | ","")&amp;IF(COUNTIF(Settings!$A$14:$A$43,B921)&gt;0,"Holiday posting | ","")&amp;IF(B921&gt;Settings!$C$8,"Posted after close | ","")&amp;IF(OR(B921&lt;Settings!$C$6,B921&gt;Settings!$C$7),"Outside period | ","")&amp;IF(COUNTIF(Settings!$E$14:$E$43,C921&amp;"")&gt;0,"Sensitive account | ","")&amp;IF(AND(MAX(N(E921),N(F921))&gt;=Settings!$C$9,MOD(MAX(N(E921),N(F921)),Settings!$C$10)=0),"Round amount | ",""),LEN(IF(K921="No","Does not balance | ","")&amp;IF(I921="","Not approved | ",IF(UPPER(TRIM(H921))=UPPER(TRIM(I921)),"Self-approved | ",""))&amp;IF(J921="","No support | ","")&amp;IF(WEEKDAY(B921,2)&gt;5,"Weekend posting | ","")&amp;IF(COUNTIF(Settings!$A$14:$A$43,B921)&gt;0,"Holiday posting | ","")&amp;IF(B921&gt;Settings!$C$8,"Posted after close | ","")&amp;IF(OR(B921&lt;Settings!$C$6,B921&gt;Settings!$C$7),"Outside period | ","")&amp;IF(COUNTIF(Settings!$E$14:$E$43,C921&amp;"")&gt;0,"Sensitive account | ","")&amp;IF(AND(MAX(N(E921),N(F921))&gt;=Settings!$C$9,MOD(MAX(N(E921),N(F921)),Settings!$C$10)=0),"Round amount | ",""))-3)))</f>
        <v/>
      </c>
      <c r="M921" s="21" t="str">
        <f aca="false">IF(A921="","",IF(COUNTIF($A$9:A921,A921)=1,MAX($M$8:M920)+1,""))</f>
        <v/>
      </c>
    </row>
    <row r="922" customFormat="false" ht="15" hidden="false" customHeight="false" outlineLevel="0" collapsed="false">
      <c r="A922" s="8"/>
      <c r="B922" s="17"/>
      <c r="C922" s="19"/>
      <c r="D922" s="8"/>
      <c r="E922" s="18"/>
      <c r="F922" s="18"/>
      <c r="G922" s="8"/>
      <c r="H922" s="8"/>
      <c r="I922" s="8"/>
      <c r="J922" s="8"/>
      <c r="K922" s="10" t="str">
        <f aca="false">IF(A922="","",IF(ABS(SUMIFS($E$9:$E$2008,$A$9:$A$2008,A922)-SUMIFS($F$9:$F$2008,$A$9:$A$2008,A922))&lt;0.5,"Yes","No"))</f>
        <v/>
      </c>
      <c r="L922" s="10" t="str">
        <f aca="false">IF(A922="","",IF(IF(K922="No","Does not balance | ","")&amp;IF(I922="","Not approved | ",IF(UPPER(TRIM(H922))=UPPER(TRIM(I922)),"Self-approved | ",""))&amp;IF(J922="","No support | ","")&amp;IF(WEEKDAY(B922,2)&gt;5,"Weekend posting | ","")&amp;IF(COUNTIF(Settings!$A$14:$A$43,B922)&gt;0,"Holiday posting | ","")&amp;IF(B922&gt;Settings!$C$8,"Posted after close | ","")&amp;IF(OR(B922&lt;Settings!$C$6,B922&gt;Settings!$C$7),"Outside period | ","")&amp;IF(COUNTIF(Settings!$E$14:$E$43,C922&amp;"")&gt;0,"Sensitive account | ","")&amp;IF(AND(MAX(N(E922),N(F922))&gt;=Settings!$C$9,MOD(MAX(N(E922),N(F922)),Settings!$C$10)=0),"Round amount | ","")="","",LEFT(IF(K922="No","Does not balance | ","")&amp;IF(I922="","Not approved | ",IF(UPPER(TRIM(H922))=UPPER(TRIM(I922)),"Self-approved | ",""))&amp;IF(J922="","No support | ","")&amp;IF(WEEKDAY(B922,2)&gt;5,"Weekend posting | ","")&amp;IF(COUNTIF(Settings!$A$14:$A$43,B922)&gt;0,"Holiday posting | ","")&amp;IF(B922&gt;Settings!$C$8,"Posted after close | ","")&amp;IF(OR(B922&lt;Settings!$C$6,B922&gt;Settings!$C$7),"Outside period | ","")&amp;IF(COUNTIF(Settings!$E$14:$E$43,C922&amp;"")&gt;0,"Sensitive account | ","")&amp;IF(AND(MAX(N(E922),N(F922))&gt;=Settings!$C$9,MOD(MAX(N(E922),N(F922)),Settings!$C$10)=0),"Round amount | ",""),LEN(IF(K922="No","Does not balance | ","")&amp;IF(I922="","Not approved | ",IF(UPPER(TRIM(H922))=UPPER(TRIM(I922)),"Self-approved | ",""))&amp;IF(J922="","No support | ","")&amp;IF(WEEKDAY(B922,2)&gt;5,"Weekend posting | ","")&amp;IF(COUNTIF(Settings!$A$14:$A$43,B922)&gt;0,"Holiday posting | ","")&amp;IF(B922&gt;Settings!$C$8,"Posted after close | ","")&amp;IF(OR(B922&lt;Settings!$C$6,B922&gt;Settings!$C$7),"Outside period | ","")&amp;IF(COUNTIF(Settings!$E$14:$E$43,C922&amp;"")&gt;0,"Sensitive account | ","")&amp;IF(AND(MAX(N(E922),N(F922))&gt;=Settings!$C$9,MOD(MAX(N(E922),N(F922)),Settings!$C$10)=0),"Round amount | ",""))-3)))</f>
        <v/>
      </c>
      <c r="M922" s="21" t="str">
        <f aca="false">IF(A922="","",IF(COUNTIF($A$9:A922,A922)=1,MAX($M$8:M921)+1,""))</f>
        <v/>
      </c>
    </row>
    <row r="923" customFormat="false" ht="15" hidden="false" customHeight="false" outlineLevel="0" collapsed="false">
      <c r="A923" s="8"/>
      <c r="B923" s="17"/>
      <c r="C923" s="19"/>
      <c r="D923" s="8"/>
      <c r="E923" s="18"/>
      <c r="F923" s="18"/>
      <c r="G923" s="8"/>
      <c r="H923" s="8"/>
      <c r="I923" s="8"/>
      <c r="J923" s="8"/>
      <c r="K923" s="10" t="str">
        <f aca="false">IF(A923="","",IF(ABS(SUMIFS($E$9:$E$2008,$A$9:$A$2008,A923)-SUMIFS($F$9:$F$2008,$A$9:$A$2008,A923))&lt;0.5,"Yes","No"))</f>
        <v/>
      </c>
      <c r="L923" s="10" t="str">
        <f aca="false">IF(A923="","",IF(IF(K923="No","Does not balance | ","")&amp;IF(I923="","Not approved | ",IF(UPPER(TRIM(H923))=UPPER(TRIM(I923)),"Self-approved | ",""))&amp;IF(J923="","No support | ","")&amp;IF(WEEKDAY(B923,2)&gt;5,"Weekend posting | ","")&amp;IF(COUNTIF(Settings!$A$14:$A$43,B923)&gt;0,"Holiday posting | ","")&amp;IF(B923&gt;Settings!$C$8,"Posted after close | ","")&amp;IF(OR(B923&lt;Settings!$C$6,B923&gt;Settings!$C$7),"Outside period | ","")&amp;IF(COUNTIF(Settings!$E$14:$E$43,C923&amp;"")&gt;0,"Sensitive account | ","")&amp;IF(AND(MAX(N(E923),N(F923))&gt;=Settings!$C$9,MOD(MAX(N(E923),N(F923)),Settings!$C$10)=0),"Round amount | ","")="","",LEFT(IF(K923="No","Does not balance | ","")&amp;IF(I923="","Not approved | ",IF(UPPER(TRIM(H923))=UPPER(TRIM(I923)),"Self-approved | ",""))&amp;IF(J923="","No support | ","")&amp;IF(WEEKDAY(B923,2)&gt;5,"Weekend posting | ","")&amp;IF(COUNTIF(Settings!$A$14:$A$43,B923)&gt;0,"Holiday posting | ","")&amp;IF(B923&gt;Settings!$C$8,"Posted after close | ","")&amp;IF(OR(B923&lt;Settings!$C$6,B923&gt;Settings!$C$7),"Outside period | ","")&amp;IF(COUNTIF(Settings!$E$14:$E$43,C923&amp;"")&gt;0,"Sensitive account | ","")&amp;IF(AND(MAX(N(E923),N(F923))&gt;=Settings!$C$9,MOD(MAX(N(E923),N(F923)),Settings!$C$10)=0),"Round amount | ",""),LEN(IF(K923="No","Does not balance | ","")&amp;IF(I923="","Not approved | ",IF(UPPER(TRIM(H923))=UPPER(TRIM(I923)),"Self-approved | ",""))&amp;IF(J923="","No support | ","")&amp;IF(WEEKDAY(B923,2)&gt;5,"Weekend posting | ","")&amp;IF(COUNTIF(Settings!$A$14:$A$43,B923)&gt;0,"Holiday posting | ","")&amp;IF(B923&gt;Settings!$C$8,"Posted after close | ","")&amp;IF(OR(B923&lt;Settings!$C$6,B923&gt;Settings!$C$7),"Outside period | ","")&amp;IF(COUNTIF(Settings!$E$14:$E$43,C923&amp;"")&gt;0,"Sensitive account | ","")&amp;IF(AND(MAX(N(E923),N(F923))&gt;=Settings!$C$9,MOD(MAX(N(E923),N(F923)),Settings!$C$10)=0),"Round amount | ",""))-3)))</f>
        <v/>
      </c>
      <c r="M923" s="21" t="str">
        <f aca="false">IF(A923="","",IF(COUNTIF($A$9:A923,A923)=1,MAX($M$8:M922)+1,""))</f>
        <v/>
      </c>
    </row>
    <row r="924" customFormat="false" ht="15" hidden="false" customHeight="false" outlineLevel="0" collapsed="false">
      <c r="A924" s="8"/>
      <c r="B924" s="17"/>
      <c r="C924" s="19"/>
      <c r="D924" s="8"/>
      <c r="E924" s="18"/>
      <c r="F924" s="18"/>
      <c r="G924" s="8"/>
      <c r="H924" s="8"/>
      <c r="I924" s="8"/>
      <c r="J924" s="8"/>
      <c r="K924" s="10" t="str">
        <f aca="false">IF(A924="","",IF(ABS(SUMIFS($E$9:$E$2008,$A$9:$A$2008,A924)-SUMIFS($F$9:$F$2008,$A$9:$A$2008,A924))&lt;0.5,"Yes","No"))</f>
        <v/>
      </c>
      <c r="L924" s="10" t="str">
        <f aca="false">IF(A924="","",IF(IF(K924="No","Does not balance | ","")&amp;IF(I924="","Not approved | ",IF(UPPER(TRIM(H924))=UPPER(TRIM(I924)),"Self-approved | ",""))&amp;IF(J924="","No support | ","")&amp;IF(WEEKDAY(B924,2)&gt;5,"Weekend posting | ","")&amp;IF(COUNTIF(Settings!$A$14:$A$43,B924)&gt;0,"Holiday posting | ","")&amp;IF(B924&gt;Settings!$C$8,"Posted after close | ","")&amp;IF(OR(B924&lt;Settings!$C$6,B924&gt;Settings!$C$7),"Outside period | ","")&amp;IF(COUNTIF(Settings!$E$14:$E$43,C924&amp;"")&gt;0,"Sensitive account | ","")&amp;IF(AND(MAX(N(E924),N(F924))&gt;=Settings!$C$9,MOD(MAX(N(E924),N(F924)),Settings!$C$10)=0),"Round amount | ","")="","",LEFT(IF(K924="No","Does not balance | ","")&amp;IF(I924="","Not approved | ",IF(UPPER(TRIM(H924))=UPPER(TRIM(I924)),"Self-approved | ",""))&amp;IF(J924="","No support | ","")&amp;IF(WEEKDAY(B924,2)&gt;5,"Weekend posting | ","")&amp;IF(COUNTIF(Settings!$A$14:$A$43,B924)&gt;0,"Holiday posting | ","")&amp;IF(B924&gt;Settings!$C$8,"Posted after close | ","")&amp;IF(OR(B924&lt;Settings!$C$6,B924&gt;Settings!$C$7),"Outside period | ","")&amp;IF(COUNTIF(Settings!$E$14:$E$43,C924&amp;"")&gt;0,"Sensitive account | ","")&amp;IF(AND(MAX(N(E924),N(F924))&gt;=Settings!$C$9,MOD(MAX(N(E924),N(F924)),Settings!$C$10)=0),"Round amount | ",""),LEN(IF(K924="No","Does not balance | ","")&amp;IF(I924="","Not approved | ",IF(UPPER(TRIM(H924))=UPPER(TRIM(I924)),"Self-approved | ",""))&amp;IF(J924="","No support | ","")&amp;IF(WEEKDAY(B924,2)&gt;5,"Weekend posting | ","")&amp;IF(COUNTIF(Settings!$A$14:$A$43,B924)&gt;0,"Holiday posting | ","")&amp;IF(B924&gt;Settings!$C$8,"Posted after close | ","")&amp;IF(OR(B924&lt;Settings!$C$6,B924&gt;Settings!$C$7),"Outside period | ","")&amp;IF(COUNTIF(Settings!$E$14:$E$43,C924&amp;"")&gt;0,"Sensitive account | ","")&amp;IF(AND(MAX(N(E924),N(F924))&gt;=Settings!$C$9,MOD(MAX(N(E924),N(F924)),Settings!$C$10)=0),"Round amount | ",""))-3)))</f>
        <v/>
      </c>
      <c r="M924" s="21" t="str">
        <f aca="false">IF(A924="","",IF(COUNTIF($A$9:A924,A924)=1,MAX($M$8:M923)+1,""))</f>
        <v/>
      </c>
    </row>
    <row r="925" customFormat="false" ht="15" hidden="false" customHeight="false" outlineLevel="0" collapsed="false">
      <c r="A925" s="8"/>
      <c r="B925" s="17"/>
      <c r="C925" s="19"/>
      <c r="D925" s="8"/>
      <c r="E925" s="18"/>
      <c r="F925" s="18"/>
      <c r="G925" s="8"/>
      <c r="H925" s="8"/>
      <c r="I925" s="8"/>
      <c r="J925" s="8"/>
      <c r="K925" s="10" t="str">
        <f aca="false">IF(A925="","",IF(ABS(SUMIFS($E$9:$E$2008,$A$9:$A$2008,A925)-SUMIFS($F$9:$F$2008,$A$9:$A$2008,A925))&lt;0.5,"Yes","No"))</f>
        <v/>
      </c>
      <c r="L925" s="10" t="str">
        <f aca="false">IF(A925="","",IF(IF(K925="No","Does not balance | ","")&amp;IF(I925="","Not approved | ",IF(UPPER(TRIM(H925))=UPPER(TRIM(I925)),"Self-approved | ",""))&amp;IF(J925="","No support | ","")&amp;IF(WEEKDAY(B925,2)&gt;5,"Weekend posting | ","")&amp;IF(COUNTIF(Settings!$A$14:$A$43,B925)&gt;0,"Holiday posting | ","")&amp;IF(B925&gt;Settings!$C$8,"Posted after close | ","")&amp;IF(OR(B925&lt;Settings!$C$6,B925&gt;Settings!$C$7),"Outside period | ","")&amp;IF(COUNTIF(Settings!$E$14:$E$43,C925&amp;"")&gt;0,"Sensitive account | ","")&amp;IF(AND(MAX(N(E925),N(F925))&gt;=Settings!$C$9,MOD(MAX(N(E925),N(F925)),Settings!$C$10)=0),"Round amount | ","")="","",LEFT(IF(K925="No","Does not balance | ","")&amp;IF(I925="","Not approved | ",IF(UPPER(TRIM(H925))=UPPER(TRIM(I925)),"Self-approved | ",""))&amp;IF(J925="","No support | ","")&amp;IF(WEEKDAY(B925,2)&gt;5,"Weekend posting | ","")&amp;IF(COUNTIF(Settings!$A$14:$A$43,B925)&gt;0,"Holiday posting | ","")&amp;IF(B925&gt;Settings!$C$8,"Posted after close | ","")&amp;IF(OR(B925&lt;Settings!$C$6,B925&gt;Settings!$C$7),"Outside period | ","")&amp;IF(COUNTIF(Settings!$E$14:$E$43,C925&amp;"")&gt;0,"Sensitive account | ","")&amp;IF(AND(MAX(N(E925),N(F925))&gt;=Settings!$C$9,MOD(MAX(N(E925),N(F925)),Settings!$C$10)=0),"Round amount | ",""),LEN(IF(K925="No","Does not balance | ","")&amp;IF(I925="","Not approved | ",IF(UPPER(TRIM(H925))=UPPER(TRIM(I925)),"Self-approved | ",""))&amp;IF(J925="","No support | ","")&amp;IF(WEEKDAY(B925,2)&gt;5,"Weekend posting | ","")&amp;IF(COUNTIF(Settings!$A$14:$A$43,B925)&gt;0,"Holiday posting | ","")&amp;IF(B925&gt;Settings!$C$8,"Posted after close | ","")&amp;IF(OR(B925&lt;Settings!$C$6,B925&gt;Settings!$C$7),"Outside period | ","")&amp;IF(COUNTIF(Settings!$E$14:$E$43,C925&amp;"")&gt;0,"Sensitive account | ","")&amp;IF(AND(MAX(N(E925),N(F925))&gt;=Settings!$C$9,MOD(MAX(N(E925),N(F925)),Settings!$C$10)=0),"Round amount | ",""))-3)))</f>
        <v/>
      </c>
      <c r="M925" s="21" t="str">
        <f aca="false">IF(A925="","",IF(COUNTIF($A$9:A925,A925)=1,MAX($M$8:M924)+1,""))</f>
        <v/>
      </c>
    </row>
    <row r="926" customFormat="false" ht="15" hidden="false" customHeight="false" outlineLevel="0" collapsed="false">
      <c r="A926" s="8"/>
      <c r="B926" s="17"/>
      <c r="C926" s="19"/>
      <c r="D926" s="8"/>
      <c r="E926" s="18"/>
      <c r="F926" s="18"/>
      <c r="G926" s="8"/>
      <c r="H926" s="8"/>
      <c r="I926" s="8"/>
      <c r="J926" s="8"/>
      <c r="K926" s="10" t="str">
        <f aca="false">IF(A926="","",IF(ABS(SUMIFS($E$9:$E$2008,$A$9:$A$2008,A926)-SUMIFS($F$9:$F$2008,$A$9:$A$2008,A926))&lt;0.5,"Yes","No"))</f>
        <v/>
      </c>
      <c r="L926" s="10" t="str">
        <f aca="false">IF(A926="","",IF(IF(K926="No","Does not balance | ","")&amp;IF(I926="","Not approved | ",IF(UPPER(TRIM(H926))=UPPER(TRIM(I926)),"Self-approved | ",""))&amp;IF(J926="","No support | ","")&amp;IF(WEEKDAY(B926,2)&gt;5,"Weekend posting | ","")&amp;IF(COUNTIF(Settings!$A$14:$A$43,B926)&gt;0,"Holiday posting | ","")&amp;IF(B926&gt;Settings!$C$8,"Posted after close | ","")&amp;IF(OR(B926&lt;Settings!$C$6,B926&gt;Settings!$C$7),"Outside period | ","")&amp;IF(COUNTIF(Settings!$E$14:$E$43,C926&amp;"")&gt;0,"Sensitive account | ","")&amp;IF(AND(MAX(N(E926),N(F926))&gt;=Settings!$C$9,MOD(MAX(N(E926),N(F926)),Settings!$C$10)=0),"Round amount | ","")="","",LEFT(IF(K926="No","Does not balance | ","")&amp;IF(I926="","Not approved | ",IF(UPPER(TRIM(H926))=UPPER(TRIM(I926)),"Self-approved | ",""))&amp;IF(J926="","No support | ","")&amp;IF(WEEKDAY(B926,2)&gt;5,"Weekend posting | ","")&amp;IF(COUNTIF(Settings!$A$14:$A$43,B926)&gt;0,"Holiday posting | ","")&amp;IF(B926&gt;Settings!$C$8,"Posted after close | ","")&amp;IF(OR(B926&lt;Settings!$C$6,B926&gt;Settings!$C$7),"Outside period | ","")&amp;IF(COUNTIF(Settings!$E$14:$E$43,C926&amp;"")&gt;0,"Sensitive account | ","")&amp;IF(AND(MAX(N(E926),N(F926))&gt;=Settings!$C$9,MOD(MAX(N(E926),N(F926)),Settings!$C$10)=0),"Round amount | ",""),LEN(IF(K926="No","Does not balance | ","")&amp;IF(I926="","Not approved | ",IF(UPPER(TRIM(H926))=UPPER(TRIM(I926)),"Self-approved | ",""))&amp;IF(J926="","No support | ","")&amp;IF(WEEKDAY(B926,2)&gt;5,"Weekend posting | ","")&amp;IF(COUNTIF(Settings!$A$14:$A$43,B926)&gt;0,"Holiday posting | ","")&amp;IF(B926&gt;Settings!$C$8,"Posted after close | ","")&amp;IF(OR(B926&lt;Settings!$C$6,B926&gt;Settings!$C$7),"Outside period | ","")&amp;IF(COUNTIF(Settings!$E$14:$E$43,C926&amp;"")&gt;0,"Sensitive account | ","")&amp;IF(AND(MAX(N(E926),N(F926))&gt;=Settings!$C$9,MOD(MAX(N(E926),N(F926)),Settings!$C$10)=0),"Round amount | ",""))-3)))</f>
        <v/>
      </c>
      <c r="M926" s="21" t="str">
        <f aca="false">IF(A926="","",IF(COUNTIF($A$9:A926,A926)=1,MAX($M$8:M925)+1,""))</f>
        <v/>
      </c>
    </row>
    <row r="927" customFormat="false" ht="15" hidden="false" customHeight="false" outlineLevel="0" collapsed="false">
      <c r="A927" s="8"/>
      <c r="B927" s="17"/>
      <c r="C927" s="19"/>
      <c r="D927" s="8"/>
      <c r="E927" s="18"/>
      <c r="F927" s="18"/>
      <c r="G927" s="8"/>
      <c r="H927" s="8"/>
      <c r="I927" s="8"/>
      <c r="J927" s="8"/>
      <c r="K927" s="10" t="str">
        <f aca="false">IF(A927="","",IF(ABS(SUMIFS($E$9:$E$2008,$A$9:$A$2008,A927)-SUMIFS($F$9:$F$2008,$A$9:$A$2008,A927))&lt;0.5,"Yes","No"))</f>
        <v/>
      </c>
      <c r="L927" s="10" t="str">
        <f aca="false">IF(A927="","",IF(IF(K927="No","Does not balance | ","")&amp;IF(I927="","Not approved | ",IF(UPPER(TRIM(H927))=UPPER(TRIM(I927)),"Self-approved | ",""))&amp;IF(J927="","No support | ","")&amp;IF(WEEKDAY(B927,2)&gt;5,"Weekend posting | ","")&amp;IF(COUNTIF(Settings!$A$14:$A$43,B927)&gt;0,"Holiday posting | ","")&amp;IF(B927&gt;Settings!$C$8,"Posted after close | ","")&amp;IF(OR(B927&lt;Settings!$C$6,B927&gt;Settings!$C$7),"Outside period | ","")&amp;IF(COUNTIF(Settings!$E$14:$E$43,C927&amp;"")&gt;0,"Sensitive account | ","")&amp;IF(AND(MAX(N(E927),N(F927))&gt;=Settings!$C$9,MOD(MAX(N(E927),N(F927)),Settings!$C$10)=0),"Round amount | ","")="","",LEFT(IF(K927="No","Does not balance | ","")&amp;IF(I927="","Not approved | ",IF(UPPER(TRIM(H927))=UPPER(TRIM(I927)),"Self-approved | ",""))&amp;IF(J927="","No support | ","")&amp;IF(WEEKDAY(B927,2)&gt;5,"Weekend posting | ","")&amp;IF(COUNTIF(Settings!$A$14:$A$43,B927)&gt;0,"Holiday posting | ","")&amp;IF(B927&gt;Settings!$C$8,"Posted after close | ","")&amp;IF(OR(B927&lt;Settings!$C$6,B927&gt;Settings!$C$7),"Outside period | ","")&amp;IF(COUNTIF(Settings!$E$14:$E$43,C927&amp;"")&gt;0,"Sensitive account | ","")&amp;IF(AND(MAX(N(E927),N(F927))&gt;=Settings!$C$9,MOD(MAX(N(E927),N(F927)),Settings!$C$10)=0),"Round amount | ",""),LEN(IF(K927="No","Does not balance | ","")&amp;IF(I927="","Not approved | ",IF(UPPER(TRIM(H927))=UPPER(TRIM(I927)),"Self-approved | ",""))&amp;IF(J927="","No support | ","")&amp;IF(WEEKDAY(B927,2)&gt;5,"Weekend posting | ","")&amp;IF(COUNTIF(Settings!$A$14:$A$43,B927)&gt;0,"Holiday posting | ","")&amp;IF(B927&gt;Settings!$C$8,"Posted after close | ","")&amp;IF(OR(B927&lt;Settings!$C$6,B927&gt;Settings!$C$7),"Outside period | ","")&amp;IF(COUNTIF(Settings!$E$14:$E$43,C927&amp;"")&gt;0,"Sensitive account | ","")&amp;IF(AND(MAX(N(E927),N(F927))&gt;=Settings!$C$9,MOD(MAX(N(E927),N(F927)),Settings!$C$10)=0),"Round amount | ",""))-3)))</f>
        <v/>
      </c>
      <c r="M927" s="21" t="str">
        <f aca="false">IF(A927="","",IF(COUNTIF($A$9:A927,A927)=1,MAX($M$8:M926)+1,""))</f>
        <v/>
      </c>
    </row>
    <row r="928" customFormat="false" ht="15" hidden="false" customHeight="false" outlineLevel="0" collapsed="false">
      <c r="A928" s="8"/>
      <c r="B928" s="17"/>
      <c r="C928" s="19"/>
      <c r="D928" s="8"/>
      <c r="E928" s="18"/>
      <c r="F928" s="18"/>
      <c r="G928" s="8"/>
      <c r="H928" s="8"/>
      <c r="I928" s="8"/>
      <c r="J928" s="8"/>
      <c r="K928" s="10" t="str">
        <f aca="false">IF(A928="","",IF(ABS(SUMIFS($E$9:$E$2008,$A$9:$A$2008,A928)-SUMIFS($F$9:$F$2008,$A$9:$A$2008,A928))&lt;0.5,"Yes","No"))</f>
        <v/>
      </c>
      <c r="L928" s="10" t="str">
        <f aca="false">IF(A928="","",IF(IF(K928="No","Does not balance | ","")&amp;IF(I928="","Not approved | ",IF(UPPER(TRIM(H928))=UPPER(TRIM(I928)),"Self-approved | ",""))&amp;IF(J928="","No support | ","")&amp;IF(WEEKDAY(B928,2)&gt;5,"Weekend posting | ","")&amp;IF(COUNTIF(Settings!$A$14:$A$43,B928)&gt;0,"Holiday posting | ","")&amp;IF(B928&gt;Settings!$C$8,"Posted after close | ","")&amp;IF(OR(B928&lt;Settings!$C$6,B928&gt;Settings!$C$7),"Outside period | ","")&amp;IF(COUNTIF(Settings!$E$14:$E$43,C928&amp;"")&gt;0,"Sensitive account | ","")&amp;IF(AND(MAX(N(E928),N(F928))&gt;=Settings!$C$9,MOD(MAX(N(E928),N(F928)),Settings!$C$10)=0),"Round amount | ","")="","",LEFT(IF(K928="No","Does not balance | ","")&amp;IF(I928="","Not approved | ",IF(UPPER(TRIM(H928))=UPPER(TRIM(I928)),"Self-approved | ",""))&amp;IF(J928="","No support | ","")&amp;IF(WEEKDAY(B928,2)&gt;5,"Weekend posting | ","")&amp;IF(COUNTIF(Settings!$A$14:$A$43,B928)&gt;0,"Holiday posting | ","")&amp;IF(B928&gt;Settings!$C$8,"Posted after close | ","")&amp;IF(OR(B928&lt;Settings!$C$6,B928&gt;Settings!$C$7),"Outside period | ","")&amp;IF(COUNTIF(Settings!$E$14:$E$43,C928&amp;"")&gt;0,"Sensitive account | ","")&amp;IF(AND(MAX(N(E928),N(F928))&gt;=Settings!$C$9,MOD(MAX(N(E928),N(F928)),Settings!$C$10)=0),"Round amount | ",""),LEN(IF(K928="No","Does not balance | ","")&amp;IF(I928="","Not approved | ",IF(UPPER(TRIM(H928))=UPPER(TRIM(I928)),"Self-approved | ",""))&amp;IF(J928="","No support | ","")&amp;IF(WEEKDAY(B928,2)&gt;5,"Weekend posting | ","")&amp;IF(COUNTIF(Settings!$A$14:$A$43,B928)&gt;0,"Holiday posting | ","")&amp;IF(B928&gt;Settings!$C$8,"Posted after close | ","")&amp;IF(OR(B928&lt;Settings!$C$6,B928&gt;Settings!$C$7),"Outside period | ","")&amp;IF(COUNTIF(Settings!$E$14:$E$43,C928&amp;"")&gt;0,"Sensitive account | ","")&amp;IF(AND(MAX(N(E928),N(F928))&gt;=Settings!$C$9,MOD(MAX(N(E928),N(F928)),Settings!$C$10)=0),"Round amount | ",""))-3)))</f>
        <v/>
      </c>
      <c r="M928" s="21" t="str">
        <f aca="false">IF(A928="","",IF(COUNTIF($A$9:A928,A928)=1,MAX($M$8:M927)+1,""))</f>
        <v/>
      </c>
    </row>
    <row r="929" customFormat="false" ht="15" hidden="false" customHeight="false" outlineLevel="0" collapsed="false">
      <c r="A929" s="8"/>
      <c r="B929" s="17"/>
      <c r="C929" s="19"/>
      <c r="D929" s="8"/>
      <c r="E929" s="18"/>
      <c r="F929" s="18"/>
      <c r="G929" s="8"/>
      <c r="H929" s="8"/>
      <c r="I929" s="8"/>
      <c r="J929" s="8"/>
      <c r="K929" s="10" t="str">
        <f aca="false">IF(A929="","",IF(ABS(SUMIFS($E$9:$E$2008,$A$9:$A$2008,A929)-SUMIFS($F$9:$F$2008,$A$9:$A$2008,A929))&lt;0.5,"Yes","No"))</f>
        <v/>
      </c>
      <c r="L929" s="10" t="str">
        <f aca="false">IF(A929="","",IF(IF(K929="No","Does not balance | ","")&amp;IF(I929="","Not approved | ",IF(UPPER(TRIM(H929))=UPPER(TRIM(I929)),"Self-approved | ",""))&amp;IF(J929="","No support | ","")&amp;IF(WEEKDAY(B929,2)&gt;5,"Weekend posting | ","")&amp;IF(COUNTIF(Settings!$A$14:$A$43,B929)&gt;0,"Holiday posting | ","")&amp;IF(B929&gt;Settings!$C$8,"Posted after close | ","")&amp;IF(OR(B929&lt;Settings!$C$6,B929&gt;Settings!$C$7),"Outside period | ","")&amp;IF(COUNTIF(Settings!$E$14:$E$43,C929&amp;"")&gt;0,"Sensitive account | ","")&amp;IF(AND(MAX(N(E929),N(F929))&gt;=Settings!$C$9,MOD(MAX(N(E929),N(F929)),Settings!$C$10)=0),"Round amount | ","")="","",LEFT(IF(K929="No","Does not balance | ","")&amp;IF(I929="","Not approved | ",IF(UPPER(TRIM(H929))=UPPER(TRIM(I929)),"Self-approved | ",""))&amp;IF(J929="","No support | ","")&amp;IF(WEEKDAY(B929,2)&gt;5,"Weekend posting | ","")&amp;IF(COUNTIF(Settings!$A$14:$A$43,B929)&gt;0,"Holiday posting | ","")&amp;IF(B929&gt;Settings!$C$8,"Posted after close | ","")&amp;IF(OR(B929&lt;Settings!$C$6,B929&gt;Settings!$C$7),"Outside period | ","")&amp;IF(COUNTIF(Settings!$E$14:$E$43,C929&amp;"")&gt;0,"Sensitive account | ","")&amp;IF(AND(MAX(N(E929),N(F929))&gt;=Settings!$C$9,MOD(MAX(N(E929),N(F929)),Settings!$C$10)=0),"Round amount | ",""),LEN(IF(K929="No","Does not balance | ","")&amp;IF(I929="","Not approved | ",IF(UPPER(TRIM(H929))=UPPER(TRIM(I929)),"Self-approved | ",""))&amp;IF(J929="","No support | ","")&amp;IF(WEEKDAY(B929,2)&gt;5,"Weekend posting | ","")&amp;IF(COUNTIF(Settings!$A$14:$A$43,B929)&gt;0,"Holiday posting | ","")&amp;IF(B929&gt;Settings!$C$8,"Posted after close | ","")&amp;IF(OR(B929&lt;Settings!$C$6,B929&gt;Settings!$C$7),"Outside period | ","")&amp;IF(COUNTIF(Settings!$E$14:$E$43,C929&amp;"")&gt;0,"Sensitive account | ","")&amp;IF(AND(MAX(N(E929),N(F929))&gt;=Settings!$C$9,MOD(MAX(N(E929),N(F929)),Settings!$C$10)=0),"Round amount | ",""))-3)))</f>
        <v/>
      </c>
      <c r="M929" s="21" t="str">
        <f aca="false">IF(A929="","",IF(COUNTIF($A$9:A929,A929)=1,MAX($M$8:M928)+1,""))</f>
        <v/>
      </c>
    </row>
    <row r="930" customFormat="false" ht="15" hidden="false" customHeight="false" outlineLevel="0" collapsed="false">
      <c r="A930" s="8"/>
      <c r="B930" s="17"/>
      <c r="C930" s="19"/>
      <c r="D930" s="8"/>
      <c r="E930" s="18"/>
      <c r="F930" s="18"/>
      <c r="G930" s="8"/>
      <c r="H930" s="8"/>
      <c r="I930" s="8"/>
      <c r="J930" s="8"/>
      <c r="K930" s="10" t="str">
        <f aca="false">IF(A930="","",IF(ABS(SUMIFS($E$9:$E$2008,$A$9:$A$2008,A930)-SUMIFS($F$9:$F$2008,$A$9:$A$2008,A930))&lt;0.5,"Yes","No"))</f>
        <v/>
      </c>
      <c r="L930" s="10" t="str">
        <f aca="false">IF(A930="","",IF(IF(K930="No","Does not balance | ","")&amp;IF(I930="","Not approved | ",IF(UPPER(TRIM(H930))=UPPER(TRIM(I930)),"Self-approved | ",""))&amp;IF(J930="","No support | ","")&amp;IF(WEEKDAY(B930,2)&gt;5,"Weekend posting | ","")&amp;IF(COUNTIF(Settings!$A$14:$A$43,B930)&gt;0,"Holiday posting | ","")&amp;IF(B930&gt;Settings!$C$8,"Posted after close | ","")&amp;IF(OR(B930&lt;Settings!$C$6,B930&gt;Settings!$C$7),"Outside period | ","")&amp;IF(COUNTIF(Settings!$E$14:$E$43,C930&amp;"")&gt;0,"Sensitive account | ","")&amp;IF(AND(MAX(N(E930),N(F930))&gt;=Settings!$C$9,MOD(MAX(N(E930),N(F930)),Settings!$C$10)=0),"Round amount | ","")="","",LEFT(IF(K930="No","Does not balance | ","")&amp;IF(I930="","Not approved | ",IF(UPPER(TRIM(H930))=UPPER(TRIM(I930)),"Self-approved | ",""))&amp;IF(J930="","No support | ","")&amp;IF(WEEKDAY(B930,2)&gt;5,"Weekend posting | ","")&amp;IF(COUNTIF(Settings!$A$14:$A$43,B930)&gt;0,"Holiday posting | ","")&amp;IF(B930&gt;Settings!$C$8,"Posted after close | ","")&amp;IF(OR(B930&lt;Settings!$C$6,B930&gt;Settings!$C$7),"Outside period | ","")&amp;IF(COUNTIF(Settings!$E$14:$E$43,C930&amp;"")&gt;0,"Sensitive account | ","")&amp;IF(AND(MAX(N(E930),N(F930))&gt;=Settings!$C$9,MOD(MAX(N(E930),N(F930)),Settings!$C$10)=0),"Round amount | ",""),LEN(IF(K930="No","Does not balance | ","")&amp;IF(I930="","Not approved | ",IF(UPPER(TRIM(H930))=UPPER(TRIM(I930)),"Self-approved | ",""))&amp;IF(J930="","No support | ","")&amp;IF(WEEKDAY(B930,2)&gt;5,"Weekend posting | ","")&amp;IF(COUNTIF(Settings!$A$14:$A$43,B930)&gt;0,"Holiday posting | ","")&amp;IF(B930&gt;Settings!$C$8,"Posted after close | ","")&amp;IF(OR(B930&lt;Settings!$C$6,B930&gt;Settings!$C$7),"Outside period | ","")&amp;IF(COUNTIF(Settings!$E$14:$E$43,C930&amp;"")&gt;0,"Sensitive account | ","")&amp;IF(AND(MAX(N(E930),N(F930))&gt;=Settings!$C$9,MOD(MAX(N(E930),N(F930)),Settings!$C$10)=0),"Round amount | ",""))-3)))</f>
        <v/>
      </c>
      <c r="M930" s="21" t="str">
        <f aca="false">IF(A930="","",IF(COUNTIF($A$9:A930,A930)=1,MAX($M$8:M929)+1,""))</f>
        <v/>
      </c>
    </row>
    <row r="931" customFormat="false" ht="15" hidden="false" customHeight="false" outlineLevel="0" collapsed="false">
      <c r="A931" s="8"/>
      <c r="B931" s="17"/>
      <c r="C931" s="19"/>
      <c r="D931" s="8"/>
      <c r="E931" s="18"/>
      <c r="F931" s="18"/>
      <c r="G931" s="8"/>
      <c r="H931" s="8"/>
      <c r="I931" s="8"/>
      <c r="J931" s="8"/>
      <c r="K931" s="10" t="str">
        <f aca="false">IF(A931="","",IF(ABS(SUMIFS($E$9:$E$2008,$A$9:$A$2008,A931)-SUMIFS($F$9:$F$2008,$A$9:$A$2008,A931))&lt;0.5,"Yes","No"))</f>
        <v/>
      </c>
      <c r="L931" s="10" t="str">
        <f aca="false">IF(A931="","",IF(IF(K931="No","Does not balance | ","")&amp;IF(I931="","Not approved | ",IF(UPPER(TRIM(H931))=UPPER(TRIM(I931)),"Self-approved | ",""))&amp;IF(J931="","No support | ","")&amp;IF(WEEKDAY(B931,2)&gt;5,"Weekend posting | ","")&amp;IF(COUNTIF(Settings!$A$14:$A$43,B931)&gt;0,"Holiday posting | ","")&amp;IF(B931&gt;Settings!$C$8,"Posted after close | ","")&amp;IF(OR(B931&lt;Settings!$C$6,B931&gt;Settings!$C$7),"Outside period | ","")&amp;IF(COUNTIF(Settings!$E$14:$E$43,C931&amp;"")&gt;0,"Sensitive account | ","")&amp;IF(AND(MAX(N(E931),N(F931))&gt;=Settings!$C$9,MOD(MAX(N(E931),N(F931)),Settings!$C$10)=0),"Round amount | ","")="","",LEFT(IF(K931="No","Does not balance | ","")&amp;IF(I931="","Not approved | ",IF(UPPER(TRIM(H931))=UPPER(TRIM(I931)),"Self-approved | ",""))&amp;IF(J931="","No support | ","")&amp;IF(WEEKDAY(B931,2)&gt;5,"Weekend posting | ","")&amp;IF(COUNTIF(Settings!$A$14:$A$43,B931)&gt;0,"Holiday posting | ","")&amp;IF(B931&gt;Settings!$C$8,"Posted after close | ","")&amp;IF(OR(B931&lt;Settings!$C$6,B931&gt;Settings!$C$7),"Outside period | ","")&amp;IF(COUNTIF(Settings!$E$14:$E$43,C931&amp;"")&gt;0,"Sensitive account | ","")&amp;IF(AND(MAX(N(E931),N(F931))&gt;=Settings!$C$9,MOD(MAX(N(E931),N(F931)),Settings!$C$10)=0),"Round amount | ",""),LEN(IF(K931="No","Does not balance | ","")&amp;IF(I931="","Not approved | ",IF(UPPER(TRIM(H931))=UPPER(TRIM(I931)),"Self-approved | ",""))&amp;IF(J931="","No support | ","")&amp;IF(WEEKDAY(B931,2)&gt;5,"Weekend posting | ","")&amp;IF(COUNTIF(Settings!$A$14:$A$43,B931)&gt;0,"Holiday posting | ","")&amp;IF(B931&gt;Settings!$C$8,"Posted after close | ","")&amp;IF(OR(B931&lt;Settings!$C$6,B931&gt;Settings!$C$7),"Outside period | ","")&amp;IF(COUNTIF(Settings!$E$14:$E$43,C931&amp;"")&gt;0,"Sensitive account | ","")&amp;IF(AND(MAX(N(E931),N(F931))&gt;=Settings!$C$9,MOD(MAX(N(E931),N(F931)),Settings!$C$10)=0),"Round amount | ",""))-3)))</f>
        <v/>
      </c>
      <c r="M931" s="21" t="str">
        <f aca="false">IF(A931="","",IF(COUNTIF($A$9:A931,A931)=1,MAX($M$8:M930)+1,""))</f>
        <v/>
      </c>
    </row>
    <row r="932" customFormat="false" ht="15" hidden="false" customHeight="false" outlineLevel="0" collapsed="false">
      <c r="A932" s="8"/>
      <c r="B932" s="17"/>
      <c r="C932" s="19"/>
      <c r="D932" s="8"/>
      <c r="E932" s="18"/>
      <c r="F932" s="18"/>
      <c r="G932" s="8"/>
      <c r="H932" s="8"/>
      <c r="I932" s="8"/>
      <c r="J932" s="8"/>
      <c r="K932" s="10" t="str">
        <f aca="false">IF(A932="","",IF(ABS(SUMIFS($E$9:$E$2008,$A$9:$A$2008,A932)-SUMIFS($F$9:$F$2008,$A$9:$A$2008,A932))&lt;0.5,"Yes","No"))</f>
        <v/>
      </c>
      <c r="L932" s="10" t="str">
        <f aca="false">IF(A932="","",IF(IF(K932="No","Does not balance | ","")&amp;IF(I932="","Not approved | ",IF(UPPER(TRIM(H932))=UPPER(TRIM(I932)),"Self-approved | ",""))&amp;IF(J932="","No support | ","")&amp;IF(WEEKDAY(B932,2)&gt;5,"Weekend posting | ","")&amp;IF(COUNTIF(Settings!$A$14:$A$43,B932)&gt;0,"Holiday posting | ","")&amp;IF(B932&gt;Settings!$C$8,"Posted after close | ","")&amp;IF(OR(B932&lt;Settings!$C$6,B932&gt;Settings!$C$7),"Outside period | ","")&amp;IF(COUNTIF(Settings!$E$14:$E$43,C932&amp;"")&gt;0,"Sensitive account | ","")&amp;IF(AND(MAX(N(E932),N(F932))&gt;=Settings!$C$9,MOD(MAX(N(E932),N(F932)),Settings!$C$10)=0),"Round amount | ","")="","",LEFT(IF(K932="No","Does not balance | ","")&amp;IF(I932="","Not approved | ",IF(UPPER(TRIM(H932))=UPPER(TRIM(I932)),"Self-approved | ",""))&amp;IF(J932="","No support | ","")&amp;IF(WEEKDAY(B932,2)&gt;5,"Weekend posting | ","")&amp;IF(COUNTIF(Settings!$A$14:$A$43,B932)&gt;0,"Holiday posting | ","")&amp;IF(B932&gt;Settings!$C$8,"Posted after close | ","")&amp;IF(OR(B932&lt;Settings!$C$6,B932&gt;Settings!$C$7),"Outside period | ","")&amp;IF(COUNTIF(Settings!$E$14:$E$43,C932&amp;"")&gt;0,"Sensitive account | ","")&amp;IF(AND(MAX(N(E932),N(F932))&gt;=Settings!$C$9,MOD(MAX(N(E932),N(F932)),Settings!$C$10)=0),"Round amount | ",""),LEN(IF(K932="No","Does not balance | ","")&amp;IF(I932="","Not approved | ",IF(UPPER(TRIM(H932))=UPPER(TRIM(I932)),"Self-approved | ",""))&amp;IF(J932="","No support | ","")&amp;IF(WEEKDAY(B932,2)&gt;5,"Weekend posting | ","")&amp;IF(COUNTIF(Settings!$A$14:$A$43,B932)&gt;0,"Holiday posting | ","")&amp;IF(B932&gt;Settings!$C$8,"Posted after close | ","")&amp;IF(OR(B932&lt;Settings!$C$6,B932&gt;Settings!$C$7),"Outside period | ","")&amp;IF(COUNTIF(Settings!$E$14:$E$43,C932&amp;"")&gt;0,"Sensitive account | ","")&amp;IF(AND(MAX(N(E932),N(F932))&gt;=Settings!$C$9,MOD(MAX(N(E932),N(F932)),Settings!$C$10)=0),"Round amount | ",""))-3)))</f>
        <v/>
      </c>
      <c r="M932" s="21" t="str">
        <f aca="false">IF(A932="","",IF(COUNTIF($A$9:A932,A932)=1,MAX($M$8:M931)+1,""))</f>
        <v/>
      </c>
    </row>
    <row r="933" customFormat="false" ht="15" hidden="false" customHeight="false" outlineLevel="0" collapsed="false">
      <c r="A933" s="8"/>
      <c r="B933" s="17"/>
      <c r="C933" s="19"/>
      <c r="D933" s="8"/>
      <c r="E933" s="18"/>
      <c r="F933" s="18"/>
      <c r="G933" s="8"/>
      <c r="H933" s="8"/>
      <c r="I933" s="8"/>
      <c r="J933" s="8"/>
      <c r="K933" s="10" t="str">
        <f aca="false">IF(A933="","",IF(ABS(SUMIFS($E$9:$E$2008,$A$9:$A$2008,A933)-SUMIFS($F$9:$F$2008,$A$9:$A$2008,A933))&lt;0.5,"Yes","No"))</f>
        <v/>
      </c>
      <c r="L933" s="10" t="str">
        <f aca="false">IF(A933="","",IF(IF(K933="No","Does not balance | ","")&amp;IF(I933="","Not approved | ",IF(UPPER(TRIM(H933))=UPPER(TRIM(I933)),"Self-approved | ",""))&amp;IF(J933="","No support | ","")&amp;IF(WEEKDAY(B933,2)&gt;5,"Weekend posting | ","")&amp;IF(COUNTIF(Settings!$A$14:$A$43,B933)&gt;0,"Holiday posting | ","")&amp;IF(B933&gt;Settings!$C$8,"Posted after close | ","")&amp;IF(OR(B933&lt;Settings!$C$6,B933&gt;Settings!$C$7),"Outside period | ","")&amp;IF(COUNTIF(Settings!$E$14:$E$43,C933&amp;"")&gt;0,"Sensitive account | ","")&amp;IF(AND(MAX(N(E933),N(F933))&gt;=Settings!$C$9,MOD(MAX(N(E933),N(F933)),Settings!$C$10)=0),"Round amount | ","")="","",LEFT(IF(K933="No","Does not balance | ","")&amp;IF(I933="","Not approved | ",IF(UPPER(TRIM(H933))=UPPER(TRIM(I933)),"Self-approved | ",""))&amp;IF(J933="","No support | ","")&amp;IF(WEEKDAY(B933,2)&gt;5,"Weekend posting | ","")&amp;IF(COUNTIF(Settings!$A$14:$A$43,B933)&gt;0,"Holiday posting | ","")&amp;IF(B933&gt;Settings!$C$8,"Posted after close | ","")&amp;IF(OR(B933&lt;Settings!$C$6,B933&gt;Settings!$C$7),"Outside period | ","")&amp;IF(COUNTIF(Settings!$E$14:$E$43,C933&amp;"")&gt;0,"Sensitive account | ","")&amp;IF(AND(MAX(N(E933),N(F933))&gt;=Settings!$C$9,MOD(MAX(N(E933),N(F933)),Settings!$C$10)=0),"Round amount | ",""),LEN(IF(K933="No","Does not balance | ","")&amp;IF(I933="","Not approved | ",IF(UPPER(TRIM(H933))=UPPER(TRIM(I933)),"Self-approved | ",""))&amp;IF(J933="","No support | ","")&amp;IF(WEEKDAY(B933,2)&gt;5,"Weekend posting | ","")&amp;IF(COUNTIF(Settings!$A$14:$A$43,B933)&gt;0,"Holiday posting | ","")&amp;IF(B933&gt;Settings!$C$8,"Posted after close | ","")&amp;IF(OR(B933&lt;Settings!$C$6,B933&gt;Settings!$C$7),"Outside period | ","")&amp;IF(COUNTIF(Settings!$E$14:$E$43,C933&amp;"")&gt;0,"Sensitive account | ","")&amp;IF(AND(MAX(N(E933),N(F933))&gt;=Settings!$C$9,MOD(MAX(N(E933),N(F933)),Settings!$C$10)=0),"Round amount | ",""))-3)))</f>
        <v/>
      </c>
      <c r="M933" s="21" t="str">
        <f aca="false">IF(A933="","",IF(COUNTIF($A$9:A933,A933)=1,MAX($M$8:M932)+1,""))</f>
        <v/>
      </c>
    </row>
    <row r="934" customFormat="false" ht="15" hidden="false" customHeight="false" outlineLevel="0" collapsed="false">
      <c r="A934" s="8"/>
      <c r="B934" s="17"/>
      <c r="C934" s="19"/>
      <c r="D934" s="8"/>
      <c r="E934" s="18"/>
      <c r="F934" s="18"/>
      <c r="G934" s="8"/>
      <c r="H934" s="8"/>
      <c r="I934" s="8"/>
      <c r="J934" s="8"/>
      <c r="K934" s="10" t="str">
        <f aca="false">IF(A934="","",IF(ABS(SUMIFS($E$9:$E$2008,$A$9:$A$2008,A934)-SUMIFS($F$9:$F$2008,$A$9:$A$2008,A934))&lt;0.5,"Yes","No"))</f>
        <v/>
      </c>
      <c r="L934" s="10" t="str">
        <f aca="false">IF(A934="","",IF(IF(K934="No","Does not balance | ","")&amp;IF(I934="","Not approved | ",IF(UPPER(TRIM(H934))=UPPER(TRIM(I934)),"Self-approved | ",""))&amp;IF(J934="","No support | ","")&amp;IF(WEEKDAY(B934,2)&gt;5,"Weekend posting | ","")&amp;IF(COUNTIF(Settings!$A$14:$A$43,B934)&gt;0,"Holiday posting | ","")&amp;IF(B934&gt;Settings!$C$8,"Posted after close | ","")&amp;IF(OR(B934&lt;Settings!$C$6,B934&gt;Settings!$C$7),"Outside period | ","")&amp;IF(COUNTIF(Settings!$E$14:$E$43,C934&amp;"")&gt;0,"Sensitive account | ","")&amp;IF(AND(MAX(N(E934),N(F934))&gt;=Settings!$C$9,MOD(MAX(N(E934),N(F934)),Settings!$C$10)=0),"Round amount | ","")="","",LEFT(IF(K934="No","Does not balance | ","")&amp;IF(I934="","Not approved | ",IF(UPPER(TRIM(H934))=UPPER(TRIM(I934)),"Self-approved | ",""))&amp;IF(J934="","No support | ","")&amp;IF(WEEKDAY(B934,2)&gt;5,"Weekend posting | ","")&amp;IF(COUNTIF(Settings!$A$14:$A$43,B934)&gt;0,"Holiday posting | ","")&amp;IF(B934&gt;Settings!$C$8,"Posted after close | ","")&amp;IF(OR(B934&lt;Settings!$C$6,B934&gt;Settings!$C$7),"Outside period | ","")&amp;IF(COUNTIF(Settings!$E$14:$E$43,C934&amp;"")&gt;0,"Sensitive account | ","")&amp;IF(AND(MAX(N(E934),N(F934))&gt;=Settings!$C$9,MOD(MAX(N(E934),N(F934)),Settings!$C$10)=0),"Round amount | ",""),LEN(IF(K934="No","Does not balance | ","")&amp;IF(I934="","Not approved | ",IF(UPPER(TRIM(H934))=UPPER(TRIM(I934)),"Self-approved | ",""))&amp;IF(J934="","No support | ","")&amp;IF(WEEKDAY(B934,2)&gt;5,"Weekend posting | ","")&amp;IF(COUNTIF(Settings!$A$14:$A$43,B934)&gt;0,"Holiday posting | ","")&amp;IF(B934&gt;Settings!$C$8,"Posted after close | ","")&amp;IF(OR(B934&lt;Settings!$C$6,B934&gt;Settings!$C$7),"Outside period | ","")&amp;IF(COUNTIF(Settings!$E$14:$E$43,C934&amp;"")&gt;0,"Sensitive account | ","")&amp;IF(AND(MAX(N(E934),N(F934))&gt;=Settings!$C$9,MOD(MAX(N(E934),N(F934)),Settings!$C$10)=0),"Round amount | ",""))-3)))</f>
        <v/>
      </c>
      <c r="M934" s="21" t="str">
        <f aca="false">IF(A934="","",IF(COUNTIF($A$9:A934,A934)=1,MAX($M$8:M933)+1,""))</f>
        <v/>
      </c>
    </row>
    <row r="935" customFormat="false" ht="15" hidden="false" customHeight="false" outlineLevel="0" collapsed="false">
      <c r="A935" s="8"/>
      <c r="B935" s="17"/>
      <c r="C935" s="19"/>
      <c r="D935" s="8"/>
      <c r="E935" s="18"/>
      <c r="F935" s="18"/>
      <c r="G935" s="8"/>
      <c r="H935" s="8"/>
      <c r="I935" s="8"/>
      <c r="J935" s="8"/>
      <c r="K935" s="10" t="str">
        <f aca="false">IF(A935="","",IF(ABS(SUMIFS($E$9:$E$2008,$A$9:$A$2008,A935)-SUMIFS($F$9:$F$2008,$A$9:$A$2008,A935))&lt;0.5,"Yes","No"))</f>
        <v/>
      </c>
      <c r="L935" s="10" t="str">
        <f aca="false">IF(A935="","",IF(IF(K935="No","Does not balance | ","")&amp;IF(I935="","Not approved | ",IF(UPPER(TRIM(H935))=UPPER(TRIM(I935)),"Self-approved | ",""))&amp;IF(J935="","No support | ","")&amp;IF(WEEKDAY(B935,2)&gt;5,"Weekend posting | ","")&amp;IF(COUNTIF(Settings!$A$14:$A$43,B935)&gt;0,"Holiday posting | ","")&amp;IF(B935&gt;Settings!$C$8,"Posted after close | ","")&amp;IF(OR(B935&lt;Settings!$C$6,B935&gt;Settings!$C$7),"Outside period | ","")&amp;IF(COUNTIF(Settings!$E$14:$E$43,C935&amp;"")&gt;0,"Sensitive account | ","")&amp;IF(AND(MAX(N(E935),N(F935))&gt;=Settings!$C$9,MOD(MAX(N(E935),N(F935)),Settings!$C$10)=0),"Round amount | ","")="","",LEFT(IF(K935="No","Does not balance | ","")&amp;IF(I935="","Not approved | ",IF(UPPER(TRIM(H935))=UPPER(TRIM(I935)),"Self-approved | ",""))&amp;IF(J935="","No support | ","")&amp;IF(WEEKDAY(B935,2)&gt;5,"Weekend posting | ","")&amp;IF(COUNTIF(Settings!$A$14:$A$43,B935)&gt;0,"Holiday posting | ","")&amp;IF(B935&gt;Settings!$C$8,"Posted after close | ","")&amp;IF(OR(B935&lt;Settings!$C$6,B935&gt;Settings!$C$7),"Outside period | ","")&amp;IF(COUNTIF(Settings!$E$14:$E$43,C935&amp;"")&gt;0,"Sensitive account | ","")&amp;IF(AND(MAX(N(E935),N(F935))&gt;=Settings!$C$9,MOD(MAX(N(E935),N(F935)),Settings!$C$10)=0),"Round amount | ",""),LEN(IF(K935="No","Does not balance | ","")&amp;IF(I935="","Not approved | ",IF(UPPER(TRIM(H935))=UPPER(TRIM(I935)),"Self-approved | ",""))&amp;IF(J935="","No support | ","")&amp;IF(WEEKDAY(B935,2)&gt;5,"Weekend posting | ","")&amp;IF(COUNTIF(Settings!$A$14:$A$43,B935)&gt;0,"Holiday posting | ","")&amp;IF(B935&gt;Settings!$C$8,"Posted after close | ","")&amp;IF(OR(B935&lt;Settings!$C$6,B935&gt;Settings!$C$7),"Outside period | ","")&amp;IF(COUNTIF(Settings!$E$14:$E$43,C935&amp;"")&gt;0,"Sensitive account | ","")&amp;IF(AND(MAX(N(E935),N(F935))&gt;=Settings!$C$9,MOD(MAX(N(E935),N(F935)),Settings!$C$10)=0),"Round amount | ",""))-3)))</f>
        <v/>
      </c>
      <c r="M935" s="21" t="str">
        <f aca="false">IF(A935="","",IF(COUNTIF($A$9:A935,A935)=1,MAX($M$8:M934)+1,""))</f>
        <v/>
      </c>
    </row>
    <row r="936" customFormat="false" ht="15" hidden="false" customHeight="false" outlineLevel="0" collapsed="false">
      <c r="A936" s="8"/>
      <c r="B936" s="17"/>
      <c r="C936" s="19"/>
      <c r="D936" s="8"/>
      <c r="E936" s="18"/>
      <c r="F936" s="18"/>
      <c r="G936" s="8"/>
      <c r="H936" s="8"/>
      <c r="I936" s="8"/>
      <c r="J936" s="8"/>
      <c r="K936" s="10" t="str">
        <f aca="false">IF(A936="","",IF(ABS(SUMIFS($E$9:$E$2008,$A$9:$A$2008,A936)-SUMIFS($F$9:$F$2008,$A$9:$A$2008,A936))&lt;0.5,"Yes","No"))</f>
        <v/>
      </c>
      <c r="L936" s="10" t="str">
        <f aca="false">IF(A936="","",IF(IF(K936="No","Does not balance | ","")&amp;IF(I936="","Not approved | ",IF(UPPER(TRIM(H936))=UPPER(TRIM(I936)),"Self-approved | ",""))&amp;IF(J936="","No support | ","")&amp;IF(WEEKDAY(B936,2)&gt;5,"Weekend posting | ","")&amp;IF(COUNTIF(Settings!$A$14:$A$43,B936)&gt;0,"Holiday posting | ","")&amp;IF(B936&gt;Settings!$C$8,"Posted after close | ","")&amp;IF(OR(B936&lt;Settings!$C$6,B936&gt;Settings!$C$7),"Outside period | ","")&amp;IF(COUNTIF(Settings!$E$14:$E$43,C936&amp;"")&gt;0,"Sensitive account | ","")&amp;IF(AND(MAX(N(E936),N(F936))&gt;=Settings!$C$9,MOD(MAX(N(E936),N(F936)),Settings!$C$10)=0),"Round amount | ","")="","",LEFT(IF(K936="No","Does not balance | ","")&amp;IF(I936="","Not approved | ",IF(UPPER(TRIM(H936))=UPPER(TRIM(I936)),"Self-approved | ",""))&amp;IF(J936="","No support | ","")&amp;IF(WEEKDAY(B936,2)&gt;5,"Weekend posting | ","")&amp;IF(COUNTIF(Settings!$A$14:$A$43,B936)&gt;0,"Holiday posting | ","")&amp;IF(B936&gt;Settings!$C$8,"Posted after close | ","")&amp;IF(OR(B936&lt;Settings!$C$6,B936&gt;Settings!$C$7),"Outside period | ","")&amp;IF(COUNTIF(Settings!$E$14:$E$43,C936&amp;"")&gt;0,"Sensitive account | ","")&amp;IF(AND(MAX(N(E936),N(F936))&gt;=Settings!$C$9,MOD(MAX(N(E936),N(F936)),Settings!$C$10)=0),"Round amount | ",""),LEN(IF(K936="No","Does not balance | ","")&amp;IF(I936="","Not approved | ",IF(UPPER(TRIM(H936))=UPPER(TRIM(I936)),"Self-approved | ",""))&amp;IF(J936="","No support | ","")&amp;IF(WEEKDAY(B936,2)&gt;5,"Weekend posting | ","")&amp;IF(COUNTIF(Settings!$A$14:$A$43,B936)&gt;0,"Holiday posting | ","")&amp;IF(B936&gt;Settings!$C$8,"Posted after close | ","")&amp;IF(OR(B936&lt;Settings!$C$6,B936&gt;Settings!$C$7),"Outside period | ","")&amp;IF(COUNTIF(Settings!$E$14:$E$43,C936&amp;"")&gt;0,"Sensitive account | ","")&amp;IF(AND(MAX(N(E936),N(F936))&gt;=Settings!$C$9,MOD(MAX(N(E936),N(F936)),Settings!$C$10)=0),"Round amount | ",""))-3)))</f>
        <v/>
      </c>
      <c r="M936" s="21" t="str">
        <f aca="false">IF(A936="","",IF(COUNTIF($A$9:A936,A936)=1,MAX($M$8:M935)+1,""))</f>
        <v/>
      </c>
    </row>
    <row r="937" customFormat="false" ht="15" hidden="false" customHeight="false" outlineLevel="0" collapsed="false">
      <c r="A937" s="8"/>
      <c r="B937" s="17"/>
      <c r="C937" s="19"/>
      <c r="D937" s="8"/>
      <c r="E937" s="18"/>
      <c r="F937" s="18"/>
      <c r="G937" s="8"/>
      <c r="H937" s="8"/>
      <c r="I937" s="8"/>
      <c r="J937" s="8"/>
      <c r="K937" s="10" t="str">
        <f aca="false">IF(A937="","",IF(ABS(SUMIFS($E$9:$E$2008,$A$9:$A$2008,A937)-SUMIFS($F$9:$F$2008,$A$9:$A$2008,A937))&lt;0.5,"Yes","No"))</f>
        <v/>
      </c>
      <c r="L937" s="10" t="str">
        <f aca="false">IF(A937="","",IF(IF(K937="No","Does not balance | ","")&amp;IF(I937="","Not approved | ",IF(UPPER(TRIM(H937))=UPPER(TRIM(I937)),"Self-approved | ",""))&amp;IF(J937="","No support | ","")&amp;IF(WEEKDAY(B937,2)&gt;5,"Weekend posting | ","")&amp;IF(COUNTIF(Settings!$A$14:$A$43,B937)&gt;0,"Holiday posting | ","")&amp;IF(B937&gt;Settings!$C$8,"Posted after close | ","")&amp;IF(OR(B937&lt;Settings!$C$6,B937&gt;Settings!$C$7),"Outside period | ","")&amp;IF(COUNTIF(Settings!$E$14:$E$43,C937&amp;"")&gt;0,"Sensitive account | ","")&amp;IF(AND(MAX(N(E937),N(F937))&gt;=Settings!$C$9,MOD(MAX(N(E937),N(F937)),Settings!$C$10)=0),"Round amount | ","")="","",LEFT(IF(K937="No","Does not balance | ","")&amp;IF(I937="","Not approved | ",IF(UPPER(TRIM(H937))=UPPER(TRIM(I937)),"Self-approved | ",""))&amp;IF(J937="","No support | ","")&amp;IF(WEEKDAY(B937,2)&gt;5,"Weekend posting | ","")&amp;IF(COUNTIF(Settings!$A$14:$A$43,B937)&gt;0,"Holiday posting | ","")&amp;IF(B937&gt;Settings!$C$8,"Posted after close | ","")&amp;IF(OR(B937&lt;Settings!$C$6,B937&gt;Settings!$C$7),"Outside period | ","")&amp;IF(COUNTIF(Settings!$E$14:$E$43,C937&amp;"")&gt;0,"Sensitive account | ","")&amp;IF(AND(MAX(N(E937),N(F937))&gt;=Settings!$C$9,MOD(MAX(N(E937),N(F937)),Settings!$C$10)=0),"Round amount | ",""),LEN(IF(K937="No","Does not balance | ","")&amp;IF(I937="","Not approved | ",IF(UPPER(TRIM(H937))=UPPER(TRIM(I937)),"Self-approved | ",""))&amp;IF(J937="","No support | ","")&amp;IF(WEEKDAY(B937,2)&gt;5,"Weekend posting | ","")&amp;IF(COUNTIF(Settings!$A$14:$A$43,B937)&gt;0,"Holiday posting | ","")&amp;IF(B937&gt;Settings!$C$8,"Posted after close | ","")&amp;IF(OR(B937&lt;Settings!$C$6,B937&gt;Settings!$C$7),"Outside period | ","")&amp;IF(COUNTIF(Settings!$E$14:$E$43,C937&amp;"")&gt;0,"Sensitive account | ","")&amp;IF(AND(MAX(N(E937),N(F937))&gt;=Settings!$C$9,MOD(MAX(N(E937),N(F937)),Settings!$C$10)=0),"Round amount | ",""))-3)))</f>
        <v/>
      </c>
      <c r="M937" s="21" t="str">
        <f aca="false">IF(A937="","",IF(COUNTIF($A$9:A937,A937)=1,MAX($M$8:M936)+1,""))</f>
        <v/>
      </c>
    </row>
    <row r="938" customFormat="false" ht="15" hidden="false" customHeight="false" outlineLevel="0" collapsed="false">
      <c r="A938" s="8"/>
      <c r="B938" s="17"/>
      <c r="C938" s="19"/>
      <c r="D938" s="8"/>
      <c r="E938" s="18"/>
      <c r="F938" s="18"/>
      <c r="G938" s="8"/>
      <c r="H938" s="8"/>
      <c r="I938" s="8"/>
      <c r="J938" s="8"/>
      <c r="K938" s="10" t="str">
        <f aca="false">IF(A938="","",IF(ABS(SUMIFS($E$9:$E$2008,$A$9:$A$2008,A938)-SUMIFS($F$9:$F$2008,$A$9:$A$2008,A938))&lt;0.5,"Yes","No"))</f>
        <v/>
      </c>
      <c r="L938" s="10" t="str">
        <f aca="false">IF(A938="","",IF(IF(K938="No","Does not balance | ","")&amp;IF(I938="","Not approved | ",IF(UPPER(TRIM(H938))=UPPER(TRIM(I938)),"Self-approved | ",""))&amp;IF(J938="","No support | ","")&amp;IF(WEEKDAY(B938,2)&gt;5,"Weekend posting | ","")&amp;IF(COUNTIF(Settings!$A$14:$A$43,B938)&gt;0,"Holiday posting | ","")&amp;IF(B938&gt;Settings!$C$8,"Posted after close | ","")&amp;IF(OR(B938&lt;Settings!$C$6,B938&gt;Settings!$C$7),"Outside period | ","")&amp;IF(COUNTIF(Settings!$E$14:$E$43,C938&amp;"")&gt;0,"Sensitive account | ","")&amp;IF(AND(MAX(N(E938),N(F938))&gt;=Settings!$C$9,MOD(MAX(N(E938),N(F938)),Settings!$C$10)=0),"Round amount | ","")="","",LEFT(IF(K938="No","Does not balance | ","")&amp;IF(I938="","Not approved | ",IF(UPPER(TRIM(H938))=UPPER(TRIM(I938)),"Self-approved | ",""))&amp;IF(J938="","No support | ","")&amp;IF(WEEKDAY(B938,2)&gt;5,"Weekend posting | ","")&amp;IF(COUNTIF(Settings!$A$14:$A$43,B938)&gt;0,"Holiday posting | ","")&amp;IF(B938&gt;Settings!$C$8,"Posted after close | ","")&amp;IF(OR(B938&lt;Settings!$C$6,B938&gt;Settings!$C$7),"Outside period | ","")&amp;IF(COUNTIF(Settings!$E$14:$E$43,C938&amp;"")&gt;0,"Sensitive account | ","")&amp;IF(AND(MAX(N(E938),N(F938))&gt;=Settings!$C$9,MOD(MAX(N(E938),N(F938)),Settings!$C$10)=0),"Round amount | ",""),LEN(IF(K938="No","Does not balance | ","")&amp;IF(I938="","Not approved | ",IF(UPPER(TRIM(H938))=UPPER(TRIM(I938)),"Self-approved | ",""))&amp;IF(J938="","No support | ","")&amp;IF(WEEKDAY(B938,2)&gt;5,"Weekend posting | ","")&amp;IF(COUNTIF(Settings!$A$14:$A$43,B938)&gt;0,"Holiday posting | ","")&amp;IF(B938&gt;Settings!$C$8,"Posted after close | ","")&amp;IF(OR(B938&lt;Settings!$C$6,B938&gt;Settings!$C$7),"Outside period | ","")&amp;IF(COUNTIF(Settings!$E$14:$E$43,C938&amp;"")&gt;0,"Sensitive account | ","")&amp;IF(AND(MAX(N(E938),N(F938))&gt;=Settings!$C$9,MOD(MAX(N(E938),N(F938)),Settings!$C$10)=0),"Round amount | ",""))-3)))</f>
        <v/>
      </c>
      <c r="M938" s="21" t="str">
        <f aca="false">IF(A938="","",IF(COUNTIF($A$9:A938,A938)=1,MAX($M$8:M937)+1,""))</f>
        <v/>
      </c>
    </row>
    <row r="939" customFormat="false" ht="15" hidden="false" customHeight="false" outlineLevel="0" collapsed="false">
      <c r="A939" s="8"/>
      <c r="B939" s="17"/>
      <c r="C939" s="19"/>
      <c r="D939" s="8"/>
      <c r="E939" s="18"/>
      <c r="F939" s="18"/>
      <c r="G939" s="8"/>
      <c r="H939" s="8"/>
      <c r="I939" s="8"/>
      <c r="J939" s="8"/>
      <c r="K939" s="10" t="str">
        <f aca="false">IF(A939="","",IF(ABS(SUMIFS($E$9:$E$2008,$A$9:$A$2008,A939)-SUMIFS($F$9:$F$2008,$A$9:$A$2008,A939))&lt;0.5,"Yes","No"))</f>
        <v/>
      </c>
      <c r="L939" s="10" t="str">
        <f aca="false">IF(A939="","",IF(IF(K939="No","Does not balance | ","")&amp;IF(I939="","Not approved | ",IF(UPPER(TRIM(H939))=UPPER(TRIM(I939)),"Self-approved | ",""))&amp;IF(J939="","No support | ","")&amp;IF(WEEKDAY(B939,2)&gt;5,"Weekend posting | ","")&amp;IF(COUNTIF(Settings!$A$14:$A$43,B939)&gt;0,"Holiday posting | ","")&amp;IF(B939&gt;Settings!$C$8,"Posted after close | ","")&amp;IF(OR(B939&lt;Settings!$C$6,B939&gt;Settings!$C$7),"Outside period | ","")&amp;IF(COUNTIF(Settings!$E$14:$E$43,C939&amp;"")&gt;0,"Sensitive account | ","")&amp;IF(AND(MAX(N(E939),N(F939))&gt;=Settings!$C$9,MOD(MAX(N(E939),N(F939)),Settings!$C$10)=0),"Round amount | ","")="","",LEFT(IF(K939="No","Does not balance | ","")&amp;IF(I939="","Not approved | ",IF(UPPER(TRIM(H939))=UPPER(TRIM(I939)),"Self-approved | ",""))&amp;IF(J939="","No support | ","")&amp;IF(WEEKDAY(B939,2)&gt;5,"Weekend posting | ","")&amp;IF(COUNTIF(Settings!$A$14:$A$43,B939)&gt;0,"Holiday posting | ","")&amp;IF(B939&gt;Settings!$C$8,"Posted after close | ","")&amp;IF(OR(B939&lt;Settings!$C$6,B939&gt;Settings!$C$7),"Outside period | ","")&amp;IF(COUNTIF(Settings!$E$14:$E$43,C939&amp;"")&gt;0,"Sensitive account | ","")&amp;IF(AND(MAX(N(E939),N(F939))&gt;=Settings!$C$9,MOD(MAX(N(E939),N(F939)),Settings!$C$10)=0),"Round amount | ",""),LEN(IF(K939="No","Does not balance | ","")&amp;IF(I939="","Not approved | ",IF(UPPER(TRIM(H939))=UPPER(TRIM(I939)),"Self-approved | ",""))&amp;IF(J939="","No support | ","")&amp;IF(WEEKDAY(B939,2)&gt;5,"Weekend posting | ","")&amp;IF(COUNTIF(Settings!$A$14:$A$43,B939)&gt;0,"Holiday posting | ","")&amp;IF(B939&gt;Settings!$C$8,"Posted after close | ","")&amp;IF(OR(B939&lt;Settings!$C$6,B939&gt;Settings!$C$7),"Outside period | ","")&amp;IF(COUNTIF(Settings!$E$14:$E$43,C939&amp;"")&gt;0,"Sensitive account | ","")&amp;IF(AND(MAX(N(E939),N(F939))&gt;=Settings!$C$9,MOD(MAX(N(E939),N(F939)),Settings!$C$10)=0),"Round amount | ",""))-3)))</f>
        <v/>
      </c>
      <c r="M939" s="21" t="str">
        <f aca="false">IF(A939="","",IF(COUNTIF($A$9:A939,A939)=1,MAX($M$8:M938)+1,""))</f>
        <v/>
      </c>
    </row>
    <row r="940" customFormat="false" ht="15" hidden="false" customHeight="false" outlineLevel="0" collapsed="false">
      <c r="A940" s="8"/>
      <c r="B940" s="17"/>
      <c r="C940" s="19"/>
      <c r="D940" s="8"/>
      <c r="E940" s="18"/>
      <c r="F940" s="18"/>
      <c r="G940" s="8"/>
      <c r="H940" s="8"/>
      <c r="I940" s="8"/>
      <c r="J940" s="8"/>
      <c r="K940" s="10" t="str">
        <f aca="false">IF(A940="","",IF(ABS(SUMIFS($E$9:$E$2008,$A$9:$A$2008,A940)-SUMIFS($F$9:$F$2008,$A$9:$A$2008,A940))&lt;0.5,"Yes","No"))</f>
        <v/>
      </c>
      <c r="L940" s="10" t="str">
        <f aca="false">IF(A940="","",IF(IF(K940="No","Does not balance | ","")&amp;IF(I940="","Not approved | ",IF(UPPER(TRIM(H940))=UPPER(TRIM(I940)),"Self-approved | ",""))&amp;IF(J940="","No support | ","")&amp;IF(WEEKDAY(B940,2)&gt;5,"Weekend posting | ","")&amp;IF(COUNTIF(Settings!$A$14:$A$43,B940)&gt;0,"Holiday posting | ","")&amp;IF(B940&gt;Settings!$C$8,"Posted after close | ","")&amp;IF(OR(B940&lt;Settings!$C$6,B940&gt;Settings!$C$7),"Outside period | ","")&amp;IF(COUNTIF(Settings!$E$14:$E$43,C940&amp;"")&gt;0,"Sensitive account | ","")&amp;IF(AND(MAX(N(E940),N(F940))&gt;=Settings!$C$9,MOD(MAX(N(E940),N(F940)),Settings!$C$10)=0),"Round amount | ","")="","",LEFT(IF(K940="No","Does not balance | ","")&amp;IF(I940="","Not approved | ",IF(UPPER(TRIM(H940))=UPPER(TRIM(I940)),"Self-approved | ",""))&amp;IF(J940="","No support | ","")&amp;IF(WEEKDAY(B940,2)&gt;5,"Weekend posting | ","")&amp;IF(COUNTIF(Settings!$A$14:$A$43,B940)&gt;0,"Holiday posting | ","")&amp;IF(B940&gt;Settings!$C$8,"Posted after close | ","")&amp;IF(OR(B940&lt;Settings!$C$6,B940&gt;Settings!$C$7),"Outside period | ","")&amp;IF(COUNTIF(Settings!$E$14:$E$43,C940&amp;"")&gt;0,"Sensitive account | ","")&amp;IF(AND(MAX(N(E940),N(F940))&gt;=Settings!$C$9,MOD(MAX(N(E940),N(F940)),Settings!$C$10)=0),"Round amount | ",""),LEN(IF(K940="No","Does not balance | ","")&amp;IF(I940="","Not approved | ",IF(UPPER(TRIM(H940))=UPPER(TRIM(I940)),"Self-approved | ",""))&amp;IF(J940="","No support | ","")&amp;IF(WEEKDAY(B940,2)&gt;5,"Weekend posting | ","")&amp;IF(COUNTIF(Settings!$A$14:$A$43,B940)&gt;0,"Holiday posting | ","")&amp;IF(B940&gt;Settings!$C$8,"Posted after close | ","")&amp;IF(OR(B940&lt;Settings!$C$6,B940&gt;Settings!$C$7),"Outside period | ","")&amp;IF(COUNTIF(Settings!$E$14:$E$43,C940&amp;"")&gt;0,"Sensitive account | ","")&amp;IF(AND(MAX(N(E940),N(F940))&gt;=Settings!$C$9,MOD(MAX(N(E940),N(F940)),Settings!$C$10)=0),"Round amount | ",""))-3)))</f>
        <v/>
      </c>
      <c r="M940" s="21" t="str">
        <f aca="false">IF(A940="","",IF(COUNTIF($A$9:A940,A940)=1,MAX($M$8:M939)+1,""))</f>
        <v/>
      </c>
    </row>
    <row r="941" customFormat="false" ht="15" hidden="false" customHeight="false" outlineLevel="0" collapsed="false">
      <c r="A941" s="8"/>
      <c r="B941" s="17"/>
      <c r="C941" s="19"/>
      <c r="D941" s="8"/>
      <c r="E941" s="18"/>
      <c r="F941" s="18"/>
      <c r="G941" s="8"/>
      <c r="H941" s="8"/>
      <c r="I941" s="8"/>
      <c r="J941" s="8"/>
      <c r="K941" s="10" t="str">
        <f aca="false">IF(A941="","",IF(ABS(SUMIFS($E$9:$E$2008,$A$9:$A$2008,A941)-SUMIFS($F$9:$F$2008,$A$9:$A$2008,A941))&lt;0.5,"Yes","No"))</f>
        <v/>
      </c>
      <c r="L941" s="10" t="str">
        <f aca="false">IF(A941="","",IF(IF(K941="No","Does not balance | ","")&amp;IF(I941="","Not approved | ",IF(UPPER(TRIM(H941))=UPPER(TRIM(I941)),"Self-approved | ",""))&amp;IF(J941="","No support | ","")&amp;IF(WEEKDAY(B941,2)&gt;5,"Weekend posting | ","")&amp;IF(COUNTIF(Settings!$A$14:$A$43,B941)&gt;0,"Holiday posting | ","")&amp;IF(B941&gt;Settings!$C$8,"Posted after close | ","")&amp;IF(OR(B941&lt;Settings!$C$6,B941&gt;Settings!$C$7),"Outside period | ","")&amp;IF(COUNTIF(Settings!$E$14:$E$43,C941&amp;"")&gt;0,"Sensitive account | ","")&amp;IF(AND(MAX(N(E941),N(F941))&gt;=Settings!$C$9,MOD(MAX(N(E941),N(F941)),Settings!$C$10)=0),"Round amount | ","")="","",LEFT(IF(K941="No","Does not balance | ","")&amp;IF(I941="","Not approved | ",IF(UPPER(TRIM(H941))=UPPER(TRIM(I941)),"Self-approved | ",""))&amp;IF(J941="","No support | ","")&amp;IF(WEEKDAY(B941,2)&gt;5,"Weekend posting | ","")&amp;IF(COUNTIF(Settings!$A$14:$A$43,B941)&gt;0,"Holiday posting | ","")&amp;IF(B941&gt;Settings!$C$8,"Posted after close | ","")&amp;IF(OR(B941&lt;Settings!$C$6,B941&gt;Settings!$C$7),"Outside period | ","")&amp;IF(COUNTIF(Settings!$E$14:$E$43,C941&amp;"")&gt;0,"Sensitive account | ","")&amp;IF(AND(MAX(N(E941),N(F941))&gt;=Settings!$C$9,MOD(MAX(N(E941),N(F941)),Settings!$C$10)=0),"Round amount | ",""),LEN(IF(K941="No","Does not balance | ","")&amp;IF(I941="","Not approved | ",IF(UPPER(TRIM(H941))=UPPER(TRIM(I941)),"Self-approved | ",""))&amp;IF(J941="","No support | ","")&amp;IF(WEEKDAY(B941,2)&gt;5,"Weekend posting | ","")&amp;IF(COUNTIF(Settings!$A$14:$A$43,B941)&gt;0,"Holiday posting | ","")&amp;IF(B941&gt;Settings!$C$8,"Posted after close | ","")&amp;IF(OR(B941&lt;Settings!$C$6,B941&gt;Settings!$C$7),"Outside period | ","")&amp;IF(COUNTIF(Settings!$E$14:$E$43,C941&amp;"")&gt;0,"Sensitive account | ","")&amp;IF(AND(MAX(N(E941),N(F941))&gt;=Settings!$C$9,MOD(MAX(N(E941),N(F941)),Settings!$C$10)=0),"Round amount | ",""))-3)))</f>
        <v/>
      </c>
      <c r="M941" s="21" t="str">
        <f aca="false">IF(A941="","",IF(COUNTIF($A$9:A941,A941)=1,MAX($M$8:M940)+1,""))</f>
        <v/>
      </c>
    </row>
    <row r="942" customFormat="false" ht="15" hidden="false" customHeight="false" outlineLevel="0" collapsed="false">
      <c r="A942" s="8"/>
      <c r="B942" s="17"/>
      <c r="C942" s="19"/>
      <c r="D942" s="8"/>
      <c r="E942" s="18"/>
      <c r="F942" s="18"/>
      <c r="G942" s="8"/>
      <c r="H942" s="8"/>
      <c r="I942" s="8"/>
      <c r="J942" s="8"/>
      <c r="K942" s="10" t="str">
        <f aca="false">IF(A942="","",IF(ABS(SUMIFS($E$9:$E$2008,$A$9:$A$2008,A942)-SUMIFS($F$9:$F$2008,$A$9:$A$2008,A942))&lt;0.5,"Yes","No"))</f>
        <v/>
      </c>
      <c r="L942" s="10" t="str">
        <f aca="false">IF(A942="","",IF(IF(K942="No","Does not balance | ","")&amp;IF(I942="","Not approved | ",IF(UPPER(TRIM(H942))=UPPER(TRIM(I942)),"Self-approved | ",""))&amp;IF(J942="","No support | ","")&amp;IF(WEEKDAY(B942,2)&gt;5,"Weekend posting | ","")&amp;IF(COUNTIF(Settings!$A$14:$A$43,B942)&gt;0,"Holiday posting | ","")&amp;IF(B942&gt;Settings!$C$8,"Posted after close | ","")&amp;IF(OR(B942&lt;Settings!$C$6,B942&gt;Settings!$C$7),"Outside period | ","")&amp;IF(COUNTIF(Settings!$E$14:$E$43,C942&amp;"")&gt;0,"Sensitive account | ","")&amp;IF(AND(MAX(N(E942),N(F942))&gt;=Settings!$C$9,MOD(MAX(N(E942),N(F942)),Settings!$C$10)=0),"Round amount | ","")="","",LEFT(IF(K942="No","Does not balance | ","")&amp;IF(I942="","Not approved | ",IF(UPPER(TRIM(H942))=UPPER(TRIM(I942)),"Self-approved | ",""))&amp;IF(J942="","No support | ","")&amp;IF(WEEKDAY(B942,2)&gt;5,"Weekend posting | ","")&amp;IF(COUNTIF(Settings!$A$14:$A$43,B942)&gt;0,"Holiday posting | ","")&amp;IF(B942&gt;Settings!$C$8,"Posted after close | ","")&amp;IF(OR(B942&lt;Settings!$C$6,B942&gt;Settings!$C$7),"Outside period | ","")&amp;IF(COUNTIF(Settings!$E$14:$E$43,C942&amp;"")&gt;0,"Sensitive account | ","")&amp;IF(AND(MAX(N(E942),N(F942))&gt;=Settings!$C$9,MOD(MAX(N(E942),N(F942)),Settings!$C$10)=0),"Round amount | ",""),LEN(IF(K942="No","Does not balance | ","")&amp;IF(I942="","Not approved | ",IF(UPPER(TRIM(H942))=UPPER(TRIM(I942)),"Self-approved | ",""))&amp;IF(J942="","No support | ","")&amp;IF(WEEKDAY(B942,2)&gt;5,"Weekend posting | ","")&amp;IF(COUNTIF(Settings!$A$14:$A$43,B942)&gt;0,"Holiday posting | ","")&amp;IF(B942&gt;Settings!$C$8,"Posted after close | ","")&amp;IF(OR(B942&lt;Settings!$C$6,B942&gt;Settings!$C$7),"Outside period | ","")&amp;IF(COUNTIF(Settings!$E$14:$E$43,C942&amp;"")&gt;0,"Sensitive account | ","")&amp;IF(AND(MAX(N(E942),N(F942))&gt;=Settings!$C$9,MOD(MAX(N(E942),N(F942)),Settings!$C$10)=0),"Round amount | ",""))-3)))</f>
        <v/>
      </c>
      <c r="M942" s="21" t="str">
        <f aca="false">IF(A942="","",IF(COUNTIF($A$9:A942,A942)=1,MAX($M$8:M941)+1,""))</f>
        <v/>
      </c>
    </row>
    <row r="943" customFormat="false" ht="15" hidden="false" customHeight="false" outlineLevel="0" collapsed="false">
      <c r="A943" s="8"/>
      <c r="B943" s="17"/>
      <c r="C943" s="19"/>
      <c r="D943" s="8"/>
      <c r="E943" s="18"/>
      <c r="F943" s="18"/>
      <c r="G943" s="8"/>
      <c r="H943" s="8"/>
      <c r="I943" s="8"/>
      <c r="J943" s="8"/>
      <c r="K943" s="10" t="str">
        <f aca="false">IF(A943="","",IF(ABS(SUMIFS($E$9:$E$2008,$A$9:$A$2008,A943)-SUMIFS($F$9:$F$2008,$A$9:$A$2008,A943))&lt;0.5,"Yes","No"))</f>
        <v/>
      </c>
      <c r="L943" s="10" t="str">
        <f aca="false">IF(A943="","",IF(IF(K943="No","Does not balance | ","")&amp;IF(I943="","Not approved | ",IF(UPPER(TRIM(H943))=UPPER(TRIM(I943)),"Self-approved | ",""))&amp;IF(J943="","No support | ","")&amp;IF(WEEKDAY(B943,2)&gt;5,"Weekend posting | ","")&amp;IF(COUNTIF(Settings!$A$14:$A$43,B943)&gt;0,"Holiday posting | ","")&amp;IF(B943&gt;Settings!$C$8,"Posted after close | ","")&amp;IF(OR(B943&lt;Settings!$C$6,B943&gt;Settings!$C$7),"Outside period | ","")&amp;IF(COUNTIF(Settings!$E$14:$E$43,C943&amp;"")&gt;0,"Sensitive account | ","")&amp;IF(AND(MAX(N(E943),N(F943))&gt;=Settings!$C$9,MOD(MAX(N(E943),N(F943)),Settings!$C$10)=0),"Round amount | ","")="","",LEFT(IF(K943="No","Does not balance | ","")&amp;IF(I943="","Not approved | ",IF(UPPER(TRIM(H943))=UPPER(TRIM(I943)),"Self-approved | ",""))&amp;IF(J943="","No support | ","")&amp;IF(WEEKDAY(B943,2)&gt;5,"Weekend posting | ","")&amp;IF(COUNTIF(Settings!$A$14:$A$43,B943)&gt;0,"Holiday posting | ","")&amp;IF(B943&gt;Settings!$C$8,"Posted after close | ","")&amp;IF(OR(B943&lt;Settings!$C$6,B943&gt;Settings!$C$7),"Outside period | ","")&amp;IF(COUNTIF(Settings!$E$14:$E$43,C943&amp;"")&gt;0,"Sensitive account | ","")&amp;IF(AND(MAX(N(E943),N(F943))&gt;=Settings!$C$9,MOD(MAX(N(E943),N(F943)),Settings!$C$10)=0),"Round amount | ",""),LEN(IF(K943="No","Does not balance | ","")&amp;IF(I943="","Not approved | ",IF(UPPER(TRIM(H943))=UPPER(TRIM(I943)),"Self-approved | ",""))&amp;IF(J943="","No support | ","")&amp;IF(WEEKDAY(B943,2)&gt;5,"Weekend posting | ","")&amp;IF(COUNTIF(Settings!$A$14:$A$43,B943)&gt;0,"Holiday posting | ","")&amp;IF(B943&gt;Settings!$C$8,"Posted after close | ","")&amp;IF(OR(B943&lt;Settings!$C$6,B943&gt;Settings!$C$7),"Outside period | ","")&amp;IF(COUNTIF(Settings!$E$14:$E$43,C943&amp;"")&gt;0,"Sensitive account | ","")&amp;IF(AND(MAX(N(E943),N(F943))&gt;=Settings!$C$9,MOD(MAX(N(E943),N(F943)),Settings!$C$10)=0),"Round amount | ",""))-3)))</f>
        <v/>
      </c>
      <c r="M943" s="21" t="str">
        <f aca="false">IF(A943="","",IF(COUNTIF($A$9:A943,A943)=1,MAX($M$8:M942)+1,""))</f>
        <v/>
      </c>
    </row>
    <row r="944" customFormat="false" ht="15" hidden="false" customHeight="false" outlineLevel="0" collapsed="false">
      <c r="A944" s="8"/>
      <c r="B944" s="17"/>
      <c r="C944" s="19"/>
      <c r="D944" s="8"/>
      <c r="E944" s="18"/>
      <c r="F944" s="18"/>
      <c r="G944" s="8"/>
      <c r="H944" s="8"/>
      <c r="I944" s="8"/>
      <c r="J944" s="8"/>
      <c r="K944" s="10" t="str">
        <f aca="false">IF(A944="","",IF(ABS(SUMIFS($E$9:$E$2008,$A$9:$A$2008,A944)-SUMIFS($F$9:$F$2008,$A$9:$A$2008,A944))&lt;0.5,"Yes","No"))</f>
        <v/>
      </c>
      <c r="L944" s="10" t="str">
        <f aca="false">IF(A944="","",IF(IF(K944="No","Does not balance | ","")&amp;IF(I944="","Not approved | ",IF(UPPER(TRIM(H944))=UPPER(TRIM(I944)),"Self-approved | ",""))&amp;IF(J944="","No support | ","")&amp;IF(WEEKDAY(B944,2)&gt;5,"Weekend posting | ","")&amp;IF(COUNTIF(Settings!$A$14:$A$43,B944)&gt;0,"Holiday posting | ","")&amp;IF(B944&gt;Settings!$C$8,"Posted after close | ","")&amp;IF(OR(B944&lt;Settings!$C$6,B944&gt;Settings!$C$7),"Outside period | ","")&amp;IF(COUNTIF(Settings!$E$14:$E$43,C944&amp;"")&gt;0,"Sensitive account | ","")&amp;IF(AND(MAX(N(E944),N(F944))&gt;=Settings!$C$9,MOD(MAX(N(E944),N(F944)),Settings!$C$10)=0),"Round amount | ","")="","",LEFT(IF(K944="No","Does not balance | ","")&amp;IF(I944="","Not approved | ",IF(UPPER(TRIM(H944))=UPPER(TRIM(I944)),"Self-approved | ",""))&amp;IF(J944="","No support | ","")&amp;IF(WEEKDAY(B944,2)&gt;5,"Weekend posting | ","")&amp;IF(COUNTIF(Settings!$A$14:$A$43,B944)&gt;0,"Holiday posting | ","")&amp;IF(B944&gt;Settings!$C$8,"Posted after close | ","")&amp;IF(OR(B944&lt;Settings!$C$6,B944&gt;Settings!$C$7),"Outside period | ","")&amp;IF(COUNTIF(Settings!$E$14:$E$43,C944&amp;"")&gt;0,"Sensitive account | ","")&amp;IF(AND(MAX(N(E944),N(F944))&gt;=Settings!$C$9,MOD(MAX(N(E944),N(F944)),Settings!$C$10)=0),"Round amount | ",""),LEN(IF(K944="No","Does not balance | ","")&amp;IF(I944="","Not approved | ",IF(UPPER(TRIM(H944))=UPPER(TRIM(I944)),"Self-approved | ",""))&amp;IF(J944="","No support | ","")&amp;IF(WEEKDAY(B944,2)&gt;5,"Weekend posting | ","")&amp;IF(COUNTIF(Settings!$A$14:$A$43,B944)&gt;0,"Holiday posting | ","")&amp;IF(B944&gt;Settings!$C$8,"Posted after close | ","")&amp;IF(OR(B944&lt;Settings!$C$6,B944&gt;Settings!$C$7),"Outside period | ","")&amp;IF(COUNTIF(Settings!$E$14:$E$43,C944&amp;"")&gt;0,"Sensitive account | ","")&amp;IF(AND(MAX(N(E944),N(F944))&gt;=Settings!$C$9,MOD(MAX(N(E944),N(F944)),Settings!$C$10)=0),"Round amount | ",""))-3)))</f>
        <v/>
      </c>
      <c r="M944" s="21" t="str">
        <f aca="false">IF(A944="","",IF(COUNTIF($A$9:A944,A944)=1,MAX($M$8:M943)+1,""))</f>
        <v/>
      </c>
    </row>
    <row r="945" customFormat="false" ht="15" hidden="false" customHeight="false" outlineLevel="0" collapsed="false">
      <c r="A945" s="8"/>
      <c r="B945" s="17"/>
      <c r="C945" s="19"/>
      <c r="D945" s="8"/>
      <c r="E945" s="18"/>
      <c r="F945" s="18"/>
      <c r="G945" s="8"/>
      <c r="H945" s="8"/>
      <c r="I945" s="8"/>
      <c r="J945" s="8"/>
      <c r="K945" s="10" t="str">
        <f aca="false">IF(A945="","",IF(ABS(SUMIFS($E$9:$E$2008,$A$9:$A$2008,A945)-SUMIFS($F$9:$F$2008,$A$9:$A$2008,A945))&lt;0.5,"Yes","No"))</f>
        <v/>
      </c>
      <c r="L945" s="10" t="str">
        <f aca="false">IF(A945="","",IF(IF(K945="No","Does not balance | ","")&amp;IF(I945="","Not approved | ",IF(UPPER(TRIM(H945))=UPPER(TRIM(I945)),"Self-approved | ",""))&amp;IF(J945="","No support | ","")&amp;IF(WEEKDAY(B945,2)&gt;5,"Weekend posting | ","")&amp;IF(COUNTIF(Settings!$A$14:$A$43,B945)&gt;0,"Holiday posting | ","")&amp;IF(B945&gt;Settings!$C$8,"Posted after close | ","")&amp;IF(OR(B945&lt;Settings!$C$6,B945&gt;Settings!$C$7),"Outside period | ","")&amp;IF(COUNTIF(Settings!$E$14:$E$43,C945&amp;"")&gt;0,"Sensitive account | ","")&amp;IF(AND(MAX(N(E945),N(F945))&gt;=Settings!$C$9,MOD(MAX(N(E945),N(F945)),Settings!$C$10)=0),"Round amount | ","")="","",LEFT(IF(K945="No","Does not balance | ","")&amp;IF(I945="","Not approved | ",IF(UPPER(TRIM(H945))=UPPER(TRIM(I945)),"Self-approved | ",""))&amp;IF(J945="","No support | ","")&amp;IF(WEEKDAY(B945,2)&gt;5,"Weekend posting | ","")&amp;IF(COUNTIF(Settings!$A$14:$A$43,B945)&gt;0,"Holiday posting | ","")&amp;IF(B945&gt;Settings!$C$8,"Posted after close | ","")&amp;IF(OR(B945&lt;Settings!$C$6,B945&gt;Settings!$C$7),"Outside period | ","")&amp;IF(COUNTIF(Settings!$E$14:$E$43,C945&amp;"")&gt;0,"Sensitive account | ","")&amp;IF(AND(MAX(N(E945),N(F945))&gt;=Settings!$C$9,MOD(MAX(N(E945),N(F945)),Settings!$C$10)=0),"Round amount | ",""),LEN(IF(K945="No","Does not balance | ","")&amp;IF(I945="","Not approved | ",IF(UPPER(TRIM(H945))=UPPER(TRIM(I945)),"Self-approved | ",""))&amp;IF(J945="","No support | ","")&amp;IF(WEEKDAY(B945,2)&gt;5,"Weekend posting | ","")&amp;IF(COUNTIF(Settings!$A$14:$A$43,B945)&gt;0,"Holiday posting | ","")&amp;IF(B945&gt;Settings!$C$8,"Posted after close | ","")&amp;IF(OR(B945&lt;Settings!$C$6,B945&gt;Settings!$C$7),"Outside period | ","")&amp;IF(COUNTIF(Settings!$E$14:$E$43,C945&amp;"")&gt;0,"Sensitive account | ","")&amp;IF(AND(MAX(N(E945),N(F945))&gt;=Settings!$C$9,MOD(MAX(N(E945),N(F945)),Settings!$C$10)=0),"Round amount | ",""))-3)))</f>
        <v/>
      </c>
      <c r="M945" s="21" t="str">
        <f aca="false">IF(A945="","",IF(COUNTIF($A$9:A945,A945)=1,MAX($M$8:M944)+1,""))</f>
        <v/>
      </c>
    </row>
    <row r="946" customFormat="false" ht="15" hidden="false" customHeight="false" outlineLevel="0" collapsed="false">
      <c r="A946" s="8"/>
      <c r="B946" s="17"/>
      <c r="C946" s="19"/>
      <c r="D946" s="8"/>
      <c r="E946" s="18"/>
      <c r="F946" s="18"/>
      <c r="G946" s="8"/>
      <c r="H946" s="8"/>
      <c r="I946" s="8"/>
      <c r="J946" s="8"/>
      <c r="K946" s="10" t="str">
        <f aca="false">IF(A946="","",IF(ABS(SUMIFS($E$9:$E$2008,$A$9:$A$2008,A946)-SUMIFS($F$9:$F$2008,$A$9:$A$2008,A946))&lt;0.5,"Yes","No"))</f>
        <v/>
      </c>
      <c r="L946" s="10" t="str">
        <f aca="false">IF(A946="","",IF(IF(K946="No","Does not balance | ","")&amp;IF(I946="","Not approved | ",IF(UPPER(TRIM(H946))=UPPER(TRIM(I946)),"Self-approved | ",""))&amp;IF(J946="","No support | ","")&amp;IF(WEEKDAY(B946,2)&gt;5,"Weekend posting | ","")&amp;IF(COUNTIF(Settings!$A$14:$A$43,B946)&gt;0,"Holiday posting | ","")&amp;IF(B946&gt;Settings!$C$8,"Posted after close | ","")&amp;IF(OR(B946&lt;Settings!$C$6,B946&gt;Settings!$C$7),"Outside period | ","")&amp;IF(COUNTIF(Settings!$E$14:$E$43,C946&amp;"")&gt;0,"Sensitive account | ","")&amp;IF(AND(MAX(N(E946),N(F946))&gt;=Settings!$C$9,MOD(MAX(N(E946),N(F946)),Settings!$C$10)=0),"Round amount | ","")="","",LEFT(IF(K946="No","Does not balance | ","")&amp;IF(I946="","Not approved | ",IF(UPPER(TRIM(H946))=UPPER(TRIM(I946)),"Self-approved | ",""))&amp;IF(J946="","No support | ","")&amp;IF(WEEKDAY(B946,2)&gt;5,"Weekend posting | ","")&amp;IF(COUNTIF(Settings!$A$14:$A$43,B946)&gt;0,"Holiday posting | ","")&amp;IF(B946&gt;Settings!$C$8,"Posted after close | ","")&amp;IF(OR(B946&lt;Settings!$C$6,B946&gt;Settings!$C$7),"Outside period | ","")&amp;IF(COUNTIF(Settings!$E$14:$E$43,C946&amp;"")&gt;0,"Sensitive account | ","")&amp;IF(AND(MAX(N(E946),N(F946))&gt;=Settings!$C$9,MOD(MAX(N(E946),N(F946)),Settings!$C$10)=0),"Round amount | ",""),LEN(IF(K946="No","Does not balance | ","")&amp;IF(I946="","Not approved | ",IF(UPPER(TRIM(H946))=UPPER(TRIM(I946)),"Self-approved | ",""))&amp;IF(J946="","No support | ","")&amp;IF(WEEKDAY(B946,2)&gt;5,"Weekend posting | ","")&amp;IF(COUNTIF(Settings!$A$14:$A$43,B946)&gt;0,"Holiday posting | ","")&amp;IF(B946&gt;Settings!$C$8,"Posted after close | ","")&amp;IF(OR(B946&lt;Settings!$C$6,B946&gt;Settings!$C$7),"Outside period | ","")&amp;IF(COUNTIF(Settings!$E$14:$E$43,C946&amp;"")&gt;0,"Sensitive account | ","")&amp;IF(AND(MAX(N(E946),N(F946))&gt;=Settings!$C$9,MOD(MAX(N(E946),N(F946)),Settings!$C$10)=0),"Round amount | ",""))-3)))</f>
        <v/>
      </c>
      <c r="M946" s="21" t="str">
        <f aca="false">IF(A946="","",IF(COUNTIF($A$9:A946,A946)=1,MAX($M$8:M945)+1,""))</f>
        <v/>
      </c>
    </row>
    <row r="947" customFormat="false" ht="15" hidden="false" customHeight="false" outlineLevel="0" collapsed="false">
      <c r="A947" s="8"/>
      <c r="B947" s="17"/>
      <c r="C947" s="19"/>
      <c r="D947" s="8"/>
      <c r="E947" s="18"/>
      <c r="F947" s="18"/>
      <c r="G947" s="8"/>
      <c r="H947" s="8"/>
      <c r="I947" s="8"/>
      <c r="J947" s="8"/>
      <c r="K947" s="10" t="str">
        <f aca="false">IF(A947="","",IF(ABS(SUMIFS($E$9:$E$2008,$A$9:$A$2008,A947)-SUMIFS($F$9:$F$2008,$A$9:$A$2008,A947))&lt;0.5,"Yes","No"))</f>
        <v/>
      </c>
      <c r="L947" s="10" t="str">
        <f aca="false">IF(A947="","",IF(IF(K947="No","Does not balance | ","")&amp;IF(I947="","Not approved | ",IF(UPPER(TRIM(H947))=UPPER(TRIM(I947)),"Self-approved | ",""))&amp;IF(J947="","No support | ","")&amp;IF(WEEKDAY(B947,2)&gt;5,"Weekend posting | ","")&amp;IF(COUNTIF(Settings!$A$14:$A$43,B947)&gt;0,"Holiday posting | ","")&amp;IF(B947&gt;Settings!$C$8,"Posted after close | ","")&amp;IF(OR(B947&lt;Settings!$C$6,B947&gt;Settings!$C$7),"Outside period | ","")&amp;IF(COUNTIF(Settings!$E$14:$E$43,C947&amp;"")&gt;0,"Sensitive account | ","")&amp;IF(AND(MAX(N(E947),N(F947))&gt;=Settings!$C$9,MOD(MAX(N(E947),N(F947)),Settings!$C$10)=0),"Round amount | ","")="","",LEFT(IF(K947="No","Does not balance | ","")&amp;IF(I947="","Not approved | ",IF(UPPER(TRIM(H947))=UPPER(TRIM(I947)),"Self-approved | ",""))&amp;IF(J947="","No support | ","")&amp;IF(WEEKDAY(B947,2)&gt;5,"Weekend posting | ","")&amp;IF(COUNTIF(Settings!$A$14:$A$43,B947)&gt;0,"Holiday posting | ","")&amp;IF(B947&gt;Settings!$C$8,"Posted after close | ","")&amp;IF(OR(B947&lt;Settings!$C$6,B947&gt;Settings!$C$7),"Outside period | ","")&amp;IF(COUNTIF(Settings!$E$14:$E$43,C947&amp;"")&gt;0,"Sensitive account | ","")&amp;IF(AND(MAX(N(E947),N(F947))&gt;=Settings!$C$9,MOD(MAX(N(E947),N(F947)),Settings!$C$10)=0),"Round amount | ",""),LEN(IF(K947="No","Does not balance | ","")&amp;IF(I947="","Not approved | ",IF(UPPER(TRIM(H947))=UPPER(TRIM(I947)),"Self-approved | ",""))&amp;IF(J947="","No support | ","")&amp;IF(WEEKDAY(B947,2)&gt;5,"Weekend posting | ","")&amp;IF(COUNTIF(Settings!$A$14:$A$43,B947)&gt;0,"Holiday posting | ","")&amp;IF(B947&gt;Settings!$C$8,"Posted after close | ","")&amp;IF(OR(B947&lt;Settings!$C$6,B947&gt;Settings!$C$7),"Outside period | ","")&amp;IF(COUNTIF(Settings!$E$14:$E$43,C947&amp;"")&gt;0,"Sensitive account | ","")&amp;IF(AND(MAX(N(E947),N(F947))&gt;=Settings!$C$9,MOD(MAX(N(E947),N(F947)),Settings!$C$10)=0),"Round amount | ",""))-3)))</f>
        <v/>
      </c>
      <c r="M947" s="21" t="str">
        <f aca="false">IF(A947="","",IF(COUNTIF($A$9:A947,A947)=1,MAX($M$8:M946)+1,""))</f>
        <v/>
      </c>
    </row>
    <row r="948" customFormat="false" ht="15" hidden="false" customHeight="false" outlineLevel="0" collapsed="false">
      <c r="A948" s="8"/>
      <c r="B948" s="17"/>
      <c r="C948" s="19"/>
      <c r="D948" s="8"/>
      <c r="E948" s="18"/>
      <c r="F948" s="18"/>
      <c r="G948" s="8"/>
      <c r="H948" s="8"/>
      <c r="I948" s="8"/>
      <c r="J948" s="8"/>
      <c r="K948" s="10" t="str">
        <f aca="false">IF(A948="","",IF(ABS(SUMIFS($E$9:$E$2008,$A$9:$A$2008,A948)-SUMIFS($F$9:$F$2008,$A$9:$A$2008,A948))&lt;0.5,"Yes","No"))</f>
        <v/>
      </c>
      <c r="L948" s="10" t="str">
        <f aca="false">IF(A948="","",IF(IF(K948="No","Does not balance | ","")&amp;IF(I948="","Not approved | ",IF(UPPER(TRIM(H948))=UPPER(TRIM(I948)),"Self-approved | ",""))&amp;IF(J948="","No support | ","")&amp;IF(WEEKDAY(B948,2)&gt;5,"Weekend posting | ","")&amp;IF(COUNTIF(Settings!$A$14:$A$43,B948)&gt;0,"Holiday posting | ","")&amp;IF(B948&gt;Settings!$C$8,"Posted after close | ","")&amp;IF(OR(B948&lt;Settings!$C$6,B948&gt;Settings!$C$7),"Outside period | ","")&amp;IF(COUNTIF(Settings!$E$14:$E$43,C948&amp;"")&gt;0,"Sensitive account | ","")&amp;IF(AND(MAX(N(E948),N(F948))&gt;=Settings!$C$9,MOD(MAX(N(E948),N(F948)),Settings!$C$10)=0),"Round amount | ","")="","",LEFT(IF(K948="No","Does not balance | ","")&amp;IF(I948="","Not approved | ",IF(UPPER(TRIM(H948))=UPPER(TRIM(I948)),"Self-approved | ",""))&amp;IF(J948="","No support | ","")&amp;IF(WEEKDAY(B948,2)&gt;5,"Weekend posting | ","")&amp;IF(COUNTIF(Settings!$A$14:$A$43,B948)&gt;0,"Holiday posting | ","")&amp;IF(B948&gt;Settings!$C$8,"Posted after close | ","")&amp;IF(OR(B948&lt;Settings!$C$6,B948&gt;Settings!$C$7),"Outside period | ","")&amp;IF(COUNTIF(Settings!$E$14:$E$43,C948&amp;"")&gt;0,"Sensitive account | ","")&amp;IF(AND(MAX(N(E948),N(F948))&gt;=Settings!$C$9,MOD(MAX(N(E948),N(F948)),Settings!$C$10)=0),"Round amount | ",""),LEN(IF(K948="No","Does not balance | ","")&amp;IF(I948="","Not approved | ",IF(UPPER(TRIM(H948))=UPPER(TRIM(I948)),"Self-approved | ",""))&amp;IF(J948="","No support | ","")&amp;IF(WEEKDAY(B948,2)&gt;5,"Weekend posting | ","")&amp;IF(COUNTIF(Settings!$A$14:$A$43,B948)&gt;0,"Holiday posting | ","")&amp;IF(B948&gt;Settings!$C$8,"Posted after close | ","")&amp;IF(OR(B948&lt;Settings!$C$6,B948&gt;Settings!$C$7),"Outside period | ","")&amp;IF(COUNTIF(Settings!$E$14:$E$43,C948&amp;"")&gt;0,"Sensitive account | ","")&amp;IF(AND(MAX(N(E948),N(F948))&gt;=Settings!$C$9,MOD(MAX(N(E948),N(F948)),Settings!$C$10)=0),"Round amount | ",""))-3)))</f>
        <v/>
      </c>
      <c r="M948" s="21" t="str">
        <f aca="false">IF(A948="","",IF(COUNTIF($A$9:A948,A948)=1,MAX($M$8:M947)+1,""))</f>
        <v/>
      </c>
    </row>
    <row r="949" customFormat="false" ht="15" hidden="false" customHeight="false" outlineLevel="0" collapsed="false">
      <c r="A949" s="8"/>
      <c r="B949" s="17"/>
      <c r="C949" s="19"/>
      <c r="D949" s="8"/>
      <c r="E949" s="18"/>
      <c r="F949" s="18"/>
      <c r="G949" s="8"/>
      <c r="H949" s="8"/>
      <c r="I949" s="8"/>
      <c r="J949" s="8"/>
      <c r="K949" s="10" t="str">
        <f aca="false">IF(A949="","",IF(ABS(SUMIFS($E$9:$E$2008,$A$9:$A$2008,A949)-SUMIFS($F$9:$F$2008,$A$9:$A$2008,A949))&lt;0.5,"Yes","No"))</f>
        <v/>
      </c>
      <c r="L949" s="10" t="str">
        <f aca="false">IF(A949="","",IF(IF(K949="No","Does not balance | ","")&amp;IF(I949="","Not approved | ",IF(UPPER(TRIM(H949))=UPPER(TRIM(I949)),"Self-approved | ",""))&amp;IF(J949="","No support | ","")&amp;IF(WEEKDAY(B949,2)&gt;5,"Weekend posting | ","")&amp;IF(COUNTIF(Settings!$A$14:$A$43,B949)&gt;0,"Holiday posting | ","")&amp;IF(B949&gt;Settings!$C$8,"Posted after close | ","")&amp;IF(OR(B949&lt;Settings!$C$6,B949&gt;Settings!$C$7),"Outside period | ","")&amp;IF(COUNTIF(Settings!$E$14:$E$43,C949&amp;"")&gt;0,"Sensitive account | ","")&amp;IF(AND(MAX(N(E949),N(F949))&gt;=Settings!$C$9,MOD(MAX(N(E949),N(F949)),Settings!$C$10)=0),"Round amount | ","")="","",LEFT(IF(K949="No","Does not balance | ","")&amp;IF(I949="","Not approved | ",IF(UPPER(TRIM(H949))=UPPER(TRIM(I949)),"Self-approved | ",""))&amp;IF(J949="","No support | ","")&amp;IF(WEEKDAY(B949,2)&gt;5,"Weekend posting | ","")&amp;IF(COUNTIF(Settings!$A$14:$A$43,B949)&gt;0,"Holiday posting | ","")&amp;IF(B949&gt;Settings!$C$8,"Posted after close | ","")&amp;IF(OR(B949&lt;Settings!$C$6,B949&gt;Settings!$C$7),"Outside period | ","")&amp;IF(COUNTIF(Settings!$E$14:$E$43,C949&amp;"")&gt;0,"Sensitive account | ","")&amp;IF(AND(MAX(N(E949),N(F949))&gt;=Settings!$C$9,MOD(MAX(N(E949),N(F949)),Settings!$C$10)=0),"Round amount | ",""),LEN(IF(K949="No","Does not balance | ","")&amp;IF(I949="","Not approved | ",IF(UPPER(TRIM(H949))=UPPER(TRIM(I949)),"Self-approved | ",""))&amp;IF(J949="","No support | ","")&amp;IF(WEEKDAY(B949,2)&gt;5,"Weekend posting | ","")&amp;IF(COUNTIF(Settings!$A$14:$A$43,B949)&gt;0,"Holiday posting | ","")&amp;IF(B949&gt;Settings!$C$8,"Posted after close | ","")&amp;IF(OR(B949&lt;Settings!$C$6,B949&gt;Settings!$C$7),"Outside period | ","")&amp;IF(COUNTIF(Settings!$E$14:$E$43,C949&amp;"")&gt;0,"Sensitive account | ","")&amp;IF(AND(MAX(N(E949),N(F949))&gt;=Settings!$C$9,MOD(MAX(N(E949),N(F949)),Settings!$C$10)=0),"Round amount | ",""))-3)))</f>
        <v/>
      </c>
      <c r="M949" s="21" t="str">
        <f aca="false">IF(A949="","",IF(COUNTIF($A$9:A949,A949)=1,MAX($M$8:M948)+1,""))</f>
        <v/>
      </c>
    </row>
    <row r="950" customFormat="false" ht="15" hidden="false" customHeight="false" outlineLevel="0" collapsed="false">
      <c r="A950" s="8"/>
      <c r="B950" s="17"/>
      <c r="C950" s="19"/>
      <c r="D950" s="8"/>
      <c r="E950" s="18"/>
      <c r="F950" s="18"/>
      <c r="G950" s="8"/>
      <c r="H950" s="8"/>
      <c r="I950" s="8"/>
      <c r="J950" s="8"/>
      <c r="K950" s="10" t="str">
        <f aca="false">IF(A950="","",IF(ABS(SUMIFS($E$9:$E$2008,$A$9:$A$2008,A950)-SUMIFS($F$9:$F$2008,$A$9:$A$2008,A950))&lt;0.5,"Yes","No"))</f>
        <v/>
      </c>
      <c r="L950" s="10" t="str">
        <f aca="false">IF(A950="","",IF(IF(K950="No","Does not balance | ","")&amp;IF(I950="","Not approved | ",IF(UPPER(TRIM(H950))=UPPER(TRIM(I950)),"Self-approved | ",""))&amp;IF(J950="","No support | ","")&amp;IF(WEEKDAY(B950,2)&gt;5,"Weekend posting | ","")&amp;IF(COUNTIF(Settings!$A$14:$A$43,B950)&gt;0,"Holiday posting | ","")&amp;IF(B950&gt;Settings!$C$8,"Posted after close | ","")&amp;IF(OR(B950&lt;Settings!$C$6,B950&gt;Settings!$C$7),"Outside period | ","")&amp;IF(COUNTIF(Settings!$E$14:$E$43,C950&amp;"")&gt;0,"Sensitive account | ","")&amp;IF(AND(MAX(N(E950),N(F950))&gt;=Settings!$C$9,MOD(MAX(N(E950),N(F950)),Settings!$C$10)=0),"Round amount | ","")="","",LEFT(IF(K950="No","Does not balance | ","")&amp;IF(I950="","Not approved | ",IF(UPPER(TRIM(H950))=UPPER(TRIM(I950)),"Self-approved | ",""))&amp;IF(J950="","No support | ","")&amp;IF(WEEKDAY(B950,2)&gt;5,"Weekend posting | ","")&amp;IF(COUNTIF(Settings!$A$14:$A$43,B950)&gt;0,"Holiday posting | ","")&amp;IF(B950&gt;Settings!$C$8,"Posted after close | ","")&amp;IF(OR(B950&lt;Settings!$C$6,B950&gt;Settings!$C$7),"Outside period | ","")&amp;IF(COUNTIF(Settings!$E$14:$E$43,C950&amp;"")&gt;0,"Sensitive account | ","")&amp;IF(AND(MAX(N(E950),N(F950))&gt;=Settings!$C$9,MOD(MAX(N(E950),N(F950)),Settings!$C$10)=0),"Round amount | ",""),LEN(IF(K950="No","Does not balance | ","")&amp;IF(I950="","Not approved | ",IF(UPPER(TRIM(H950))=UPPER(TRIM(I950)),"Self-approved | ",""))&amp;IF(J950="","No support | ","")&amp;IF(WEEKDAY(B950,2)&gt;5,"Weekend posting | ","")&amp;IF(COUNTIF(Settings!$A$14:$A$43,B950)&gt;0,"Holiday posting | ","")&amp;IF(B950&gt;Settings!$C$8,"Posted after close | ","")&amp;IF(OR(B950&lt;Settings!$C$6,B950&gt;Settings!$C$7),"Outside period | ","")&amp;IF(COUNTIF(Settings!$E$14:$E$43,C950&amp;"")&gt;0,"Sensitive account | ","")&amp;IF(AND(MAX(N(E950),N(F950))&gt;=Settings!$C$9,MOD(MAX(N(E950),N(F950)),Settings!$C$10)=0),"Round amount | ",""))-3)))</f>
        <v/>
      </c>
      <c r="M950" s="21" t="str">
        <f aca="false">IF(A950="","",IF(COUNTIF($A$9:A950,A950)=1,MAX($M$8:M949)+1,""))</f>
        <v/>
      </c>
    </row>
    <row r="951" customFormat="false" ht="15" hidden="false" customHeight="false" outlineLevel="0" collapsed="false">
      <c r="A951" s="8"/>
      <c r="B951" s="17"/>
      <c r="C951" s="19"/>
      <c r="D951" s="8"/>
      <c r="E951" s="18"/>
      <c r="F951" s="18"/>
      <c r="G951" s="8"/>
      <c r="H951" s="8"/>
      <c r="I951" s="8"/>
      <c r="J951" s="8"/>
      <c r="K951" s="10" t="str">
        <f aca="false">IF(A951="","",IF(ABS(SUMIFS($E$9:$E$2008,$A$9:$A$2008,A951)-SUMIFS($F$9:$F$2008,$A$9:$A$2008,A951))&lt;0.5,"Yes","No"))</f>
        <v/>
      </c>
      <c r="L951" s="10" t="str">
        <f aca="false">IF(A951="","",IF(IF(K951="No","Does not balance | ","")&amp;IF(I951="","Not approved | ",IF(UPPER(TRIM(H951))=UPPER(TRIM(I951)),"Self-approved | ",""))&amp;IF(J951="","No support | ","")&amp;IF(WEEKDAY(B951,2)&gt;5,"Weekend posting | ","")&amp;IF(COUNTIF(Settings!$A$14:$A$43,B951)&gt;0,"Holiday posting | ","")&amp;IF(B951&gt;Settings!$C$8,"Posted after close | ","")&amp;IF(OR(B951&lt;Settings!$C$6,B951&gt;Settings!$C$7),"Outside period | ","")&amp;IF(COUNTIF(Settings!$E$14:$E$43,C951&amp;"")&gt;0,"Sensitive account | ","")&amp;IF(AND(MAX(N(E951),N(F951))&gt;=Settings!$C$9,MOD(MAX(N(E951),N(F951)),Settings!$C$10)=0),"Round amount | ","")="","",LEFT(IF(K951="No","Does not balance | ","")&amp;IF(I951="","Not approved | ",IF(UPPER(TRIM(H951))=UPPER(TRIM(I951)),"Self-approved | ",""))&amp;IF(J951="","No support | ","")&amp;IF(WEEKDAY(B951,2)&gt;5,"Weekend posting | ","")&amp;IF(COUNTIF(Settings!$A$14:$A$43,B951)&gt;0,"Holiday posting | ","")&amp;IF(B951&gt;Settings!$C$8,"Posted after close | ","")&amp;IF(OR(B951&lt;Settings!$C$6,B951&gt;Settings!$C$7),"Outside period | ","")&amp;IF(COUNTIF(Settings!$E$14:$E$43,C951&amp;"")&gt;0,"Sensitive account | ","")&amp;IF(AND(MAX(N(E951),N(F951))&gt;=Settings!$C$9,MOD(MAX(N(E951),N(F951)),Settings!$C$10)=0),"Round amount | ",""),LEN(IF(K951="No","Does not balance | ","")&amp;IF(I951="","Not approved | ",IF(UPPER(TRIM(H951))=UPPER(TRIM(I951)),"Self-approved | ",""))&amp;IF(J951="","No support | ","")&amp;IF(WEEKDAY(B951,2)&gt;5,"Weekend posting | ","")&amp;IF(COUNTIF(Settings!$A$14:$A$43,B951)&gt;0,"Holiday posting | ","")&amp;IF(B951&gt;Settings!$C$8,"Posted after close | ","")&amp;IF(OR(B951&lt;Settings!$C$6,B951&gt;Settings!$C$7),"Outside period | ","")&amp;IF(COUNTIF(Settings!$E$14:$E$43,C951&amp;"")&gt;0,"Sensitive account | ","")&amp;IF(AND(MAX(N(E951),N(F951))&gt;=Settings!$C$9,MOD(MAX(N(E951),N(F951)),Settings!$C$10)=0),"Round amount | ",""))-3)))</f>
        <v/>
      </c>
      <c r="M951" s="21" t="str">
        <f aca="false">IF(A951="","",IF(COUNTIF($A$9:A951,A951)=1,MAX($M$8:M950)+1,""))</f>
        <v/>
      </c>
    </row>
    <row r="952" customFormat="false" ht="15" hidden="false" customHeight="false" outlineLevel="0" collapsed="false">
      <c r="A952" s="8"/>
      <c r="B952" s="17"/>
      <c r="C952" s="19"/>
      <c r="D952" s="8"/>
      <c r="E952" s="18"/>
      <c r="F952" s="18"/>
      <c r="G952" s="8"/>
      <c r="H952" s="8"/>
      <c r="I952" s="8"/>
      <c r="J952" s="8"/>
      <c r="K952" s="10" t="str">
        <f aca="false">IF(A952="","",IF(ABS(SUMIFS($E$9:$E$2008,$A$9:$A$2008,A952)-SUMIFS($F$9:$F$2008,$A$9:$A$2008,A952))&lt;0.5,"Yes","No"))</f>
        <v/>
      </c>
      <c r="L952" s="10" t="str">
        <f aca="false">IF(A952="","",IF(IF(K952="No","Does not balance | ","")&amp;IF(I952="","Not approved | ",IF(UPPER(TRIM(H952))=UPPER(TRIM(I952)),"Self-approved | ",""))&amp;IF(J952="","No support | ","")&amp;IF(WEEKDAY(B952,2)&gt;5,"Weekend posting | ","")&amp;IF(COUNTIF(Settings!$A$14:$A$43,B952)&gt;0,"Holiday posting | ","")&amp;IF(B952&gt;Settings!$C$8,"Posted after close | ","")&amp;IF(OR(B952&lt;Settings!$C$6,B952&gt;Settings!$C$7),"Outside period | ","")&amp;IF(COUNTIF(Settings!$E$14:$E$43,C952&amp;"")&gt;0,"Sensitive account | ","")&amp;IF(AND(MAX(N(E952),N(F952))&gt;=Settings!$C$9,MOD(MAX(N(E952),N(F952)),Settings!$C$10)=0),"Round amount | ","")="","",LEFT(IF(K952="No","Does not balance | ","")&amp;IF(I952="","Not approved | ",IF(UPPER(TRIM(H952))=UPPER(TRIM(I952)),"Self-approved | ",""))&amp;IF(J952="","No support | ","")&amp;IF(WEEKDAY(B952,2)&gt;5,"Weekend posting | ","")&amp;IF(COUNTIF(Settings!$A$14:$A$43,B952)&gt;0,"Holiday posting | ","")&amp;IF(B952&gt;Settings!$C$8,"Posted after close | ","")&amp;IF(OR(B952&lt;Settings!$C$6,B952&gt;Settings!$C$7),"Outside period | ","")&amp;IF(COUNTIF(Settings!$E$14:$E$43,C952&amp;"")&gt;0,"Sensitive account | ","")&amp;IF(AND(MAX(N(E952),N(F952))&gt;=Settings!$C$9,MOD(MAX(N(E952),N(F952)),Settings!$C$10)=0),"Round amount | ",""),LEN(IF(K952="No","Does not balance | ","")&amp;IF(I952="","Not approved | ",IF(UPPER(TRIM(H952))=UPPER(TRIM(I952)),"Self-approved | ",""))&amp;IF(J952="","No support | ","")&amp;IF(WEEKDAY(B952,2)&gt;5,"Weekend posting | ","")&amp;IF(COUNTIF(Settings!$A$14:$A$43,B952)&gt;0,"Holiday posting | ","")&amp;IF(B952&gt;Settings!$C$8,"Posted after close | ","")&amp;IF(OR(B952&lt;Settings!$C$6,B952&gt;Settings!$C$7),"Outside period | ","")&amp;IF(COUNTIF(Settings!$E$14:$E$43,C952&amp;"")&gt;0,"Sensitive account | ","")&amp;IF(AND(MAX(N(E952),N(F952))&gt;=Settings!$C$9,MOD(MAX(N(E952),N(F952)),Settings!$C$10)=0),"Round amount | ",""))-3)))</f>
        <v/>
      </c>
      <c r="M952" s="21" t="str">
        <f aca="false">IF(A952="","",IF(COUNTIF($A$9:A952,A952)=1,MAX($M$8:M951)+1,""))</f>
        <v/>
      </c>
    </row>
    <row r="953" customFormat="false" ht="15" hidden="false" customHeight="false" outlineLevel="0" collapsed="false">
      <c r="A953" s="8"/>
      <c r="B953" s="17"/>
      <c r="C953" s="19"/>
      <c r="D953" s="8"/>
      <c r="E953" s="18"/>
      <c r="F953" s="18"/>
      <c r="G953" s="8"/>
      <c r="H953" s="8"/>
      <c r="I953" s="8"/>
      <c r="J953" s="8"/>
      <c r="K953" s="10" t="str">
        <f aca="false">IF(A953="","",IF(ABS(SUMIFS($E$9:$E$2008,$A$9:$A$2008,A953)-SUMIFS($F$9:$F$2008,$A$9:$A$2008,A953))&lt;0.5,"Yes","No"))</f>
        <v/>
      </c>
      <c r="L953" s="10" t="str">
        <f aca="false">IF(A953="","",IF(IF(K953="No","Does not balance | ","")&amp;IF(I953="","Not approved | ",IF(UPPER(TRIM(H953))=UPPER(TRIM(I953)),"Self-approved | ",""))&amp;IF(J953="","No support | ","")&amp;IF(WEEKDAY(B953,2)&gt;5,"Weekend posting | ","")&amp;IF(COUNTIF(Settings!$A$14:$A$43,B953)&gt;0,"Holiday posting | ","")&amp;IF(B953&gt;Settings!$C$8,"Posted after close | ","")&amp;IF(OR(B953&lt;Settings!$C$6,B953&gt;Settings!$C$7),"Outside period | ","")&amp;IF(COUNTIF(Settings!$E$14:$E$43,C953&amp;"")&gt;0,"Sensitive account | ","")&amp;IF(AND(MAX(N(E953),N(F953))&gt;=Settings!$C$9,MOD(MAX(N(E953),N(F953)),Settings!$C$10)=0),"Round amount | ","")="","",LEFT(IF(K953="No","Does not balance | ","")&amp;IF(I953="","Not approved | ",IF(UPPER(TRIM(H953))=UPPER(TRIM(I953)),"Self-approved | ",""))&amp;IF(J953="","No support | ","")&amp;IF(WEEKDAY(B953,2)&gt;5,"Weekend posting | ","")&amp;IF(COUNTIF(Settings!$A$14:$A$43,B953)&gt;0,"Holiday posting | ","")&amp;IF(B953&gt;Settings!$C$8,"Posted after close | ","")&amp;IF(OR(B953&lt;Settings!$C$6,B953&gt;Settings!$C$7),"Outside period | ","")&amp;IF(COUNTIF(Settings!$E$14:$E$43,C953&amp;"")&gt;0,"Sensitive account | ","")&amp;IF(AND(MAX(N(E953),N(F953))&gt;=Settings!$C$9,MOD(MAX(N(E953),N(F953)),Settings!$C$10)=0),"Round amount | ",""),LEN(IF(K953="No","Does not balance | ","")&amp;IF(I953="","Not approved | ",IF(UPPER(TRIM(H953))=UPPER(TRIM(I953)),"Self-approved | ",""))&amp;IF(J953="","No support | ","")&amp;IF(WEEKDAY(B953,2)&gt;5,"Weekend posting | ","")&amp;IF(COUNTIF(Settings!$A$14:$A$43,B953)&gt;0,"Holiday posting | ","")&amp;IF(B953&gt;Settings!$C$8,"Posted after close | ","")&amp;IF(OR(B953&lt;Settings!$C$6,B953&gt;Settings!$C$7),"Outside period | ","")&amp;IF(COUNTIF(Settings!$E$14:$E$43,C953&amp;"")&gt;0,"Sensitive account | ","")&amp;IF(AND(MAX(N(E953),N(F953))&gt;=Settings!$C$9,MOD(MAX(N(E953),N(F953)),Settings!$C$10)=0),"Round amount | ",""))-3)))</f>
        <v/>
      </c>
      <c r="M953" s="21" t="str">
        <f aca="false">IF(A953="","",IF(COUNTIF($A$9:A953,A953)=1,MAX($M$8:M952)+1,""))</f>
        <v/>
      </c>
    </row>
    <row r="954" customFormat="false" ht="15" hidden="false" customHeight="false" outlineLevel="0" collapsed="false">
      <c r="A954" s="8"/>
      <c r="B954" s="17"/>
      <c r="C954" s="19"/>
      <c r="D954" s="8"/>
      <c r="E954" s="18"/>
      <c r="F954" s="18"/>
      <c r="G954" s="8"/>
      <c r="H954" s="8"/>
      <c r="I954" s="8"/>
      <c r="J954" s="8"/>
      <c r="K954" s="10" t="str">
        <f aca="false">IF(A954="","",IF(ABS(SUMIFS($E$9:$E$2008,$A$9:$A$2008,A954)-SUMIFS($F$9:$F$2008,$A$9:$A$2008,A954))&lt;0.5,"Yes","No"))</f>
        <v/>
      </c>
      <c r="L954" s="10" t="str">
        <f aca="false">IF(A954="","",IF(IF(K954="No","Does not balance | ","")&amp;IF(I954="","Not approved | ",IF(UPPER(TRIM(H954))=UPPER(TRIM(I954)),"Self-approved | ",""))&amp;IF(J954="","No support | ","")&amp;IF(WEEKDAY(B954,2)&gt;5,"Weekend posting | ","")&amp;IF(COUNTIF(Settings!$A$14:$A$43,B954)&gt;0,"Holiday posting | ","")&amp;IF(B954&gt;Settings!$C$8,"Posted after close | ","")&amp;IF(OR(B954&lt;Settings!$C$6,B954&gt;Settings!$C$7),"Outside period | ","")&amp;IF(COUNTIF(Settings!$E$14:$E$43,C954&amp;"")&gt;0,"Sensitive account | ","")&amp;IF(AND(MAX(N(E954),N(F954))&gt;=Settings!$C$9,MOD(MAX(N(E954),N(F954)),Settings!$C$10)=0),"Round amount | ","")="","",LEFT(IF(K954="No","Does not balance | ","")&amp;IF(I954="","Not approved | ",IF(UPPER(TRIM(H954))=UPPER(TRIM(I954)),"Self-approved | ",""))&amp;IF(J954="","No support | ","")&amp;IF(WEEKDAY(B954,2)&gt;5,"Weekend posting | ","")&amp;IF(COUNTIF(Settings!$A$14:$A$43,B954)&gt;0,"Holiday posting | ","")&amp;IF(B954&gt;Settings!$C$8,"Posted after close | ","")&amp;IF(OR(B954&lt;Settings!$C$6,B954&gt;Settings!$C$7),"Outside period | ","")&amp;IF(COUNTIF(Settings!$E$14:$E$43,C954&amp;"")&gt;0,"Sensitive account | ","")&amp;IF(AND(MAX(N(E954),N(F954))&gt;=Settings!$C$9,MOD(MAX(N(E954),N(F954)),Settings!$C$10)=0),"Round amount | ",""),LEN(IF(K954="No","Does not balance | ","")&amp;IF(I954="","Not approved | ",IF(UPPER(TRIM(H954))=UPPER(TRIM(I954)),"Self-approved | ",""))&amp;IF(J954="","No support | ","")&amp;IF(WEEKDAY(B954,2)&gt;5,"Weekend posting | ","")&amp;IF(COUNTIF(Settings!$A$14:$A$43,B954)&gt;0,"Holiday posting | ","")&amp;IF(B954&gt;Settings!$C$8,"Posted after close | ","")&amp;IF(OR(B954&lt;Settings!$C$6,B954&gt;Settings!$C$7),"Outside period | ","")&amp;IF(COUNTIF(Settings!$E$14:$E$43,C954&amp;"")&gt;0,"Sensitive account | ","")&amp;IF(AND(MAX(N(E954),N(F954))&gt;=Settings!$C$9,MOD(MAX(N(E954),N(F954)),Settings!$C$10)=0),"Round amount | ",""))-3)))</f>
        <v/>
      </c>
      <c r="M954" s="21" t="str">
        <f aca="false">IF(A954="","",IF(COUNTIF($A$9:A954,A954)=1,MAX($M$8:M953)+1,""))</f>
        <v/>
      </c>
    </row>
    <row r="955" customFormat="false" ht="15" hidden="false" customHeight="false" outlineLevel="0" collapsed="false">
      <c r="A955" s="8"/>
      <c r="B955" s="17"/>
      <c r="C955" s="19"/>
      <c r="D955" s="8"/>
      <c r="E955" s="18"/>
      <c r="F955" s="18"/>
      <c r="G955" s="8"/>
      <c r="H955" s="8"/>
      <c r="I955" s="8"/>
      <c r="J955" s="8"/>
      <c r="K955" s="10" t="str">
        <f aca="false">IF(A955="","",IF(ABS(SUMIFS($E$9:$E$2008,$A$9:$A$2008,A955)-SUMIFS($F$9:$F$2008,$A$9:$A$2008,A955))&lt;0.5,"Yes","No"))</f>
        <v/>
      </c>
      <c r="L955" s="10" t="str">
        <f aca="false">IF(A955="","",IF(IF(K955="No","Does not balance | ","")&amp;IF(I955="","Not approved | ",IF(UPPER(TRIM(H955))=UPPER(TRIM(I955)),"Self-approved | ",""))&amp;IF(J955="","No support | ","")&amp;IF(WEEKDAY(B955,2)&gt;5,"Weekend posting | ","")&amp;IF(COUNTIF(Settings!$A$14:$A$43,B955)&gt;0,"Holiday posting | ","")&amp;IF(B955&gt;Settings!$C$8,"Posted after close | ","")&amp;IF(OR(B955&lt;Settings!$C$6,B955&gt;Settings!$C$7),"Outside period | ","")&amp;IF(COUNTIF(Settings!$E$14:$E$43,C955&amp;"")&gt;0,"Sensitive account | ","")&amp;IF(AND(MAX(N(E955),N(F955))&gt;=Settings!$C$9,MOD(MAX(N(E955),N(F955)),Settings!$C$10)=0),"Round amount | ","")="","",LEFT(IF(K955="No","Does not balance | ","")&amp;IF(I955="","Not approved | ",IF(UPPER(TRIM(H955))=UPPER(TRIM(I955)),"Self-approved | ",""))&amp;IF(J955="","No support | ","")&amp;IF(WEEKDAY(B955,2)&gt;5,"Weekend posting | ","")&amp;IF(COUNTIF(Settings!$A$14:$A$43,B955)&gt;0,"Holiday posting | ","")&amp;IF(B955&gt;Settings!$C$8,"Posted after close | ","")&amp;IF(OR(B955&lt;Settings!$C$6,B955&gt;Settings!$C$7),"Outside period | ","")&amp;IF(COUNTIF(Settings!$E$14:$E$43,C955&amp;"")&gt;0,"Sensitive account | ","")&amp;IF(AND(MAX(N(E955),N(F955))&gt;=Settings!$C$9,MOD(MAX(N(E955),N(F955)),Settings!$C$10)=0),"Round amount | ",""),LEN(IF(K955="No","Does not balance | ","")&amp;IF(I955="","Not approved | ",IF(UPPER(TRIM(H955))=UPPER(TRIM(I955)),"Self-approved | ",""))&amp;IF(J955="","No support | ","")&amp;IF(WEEKDAY(B955,2)&gt;5,"Weekend posting | ","")&amp;IF(COUNTIF(Settings!$A$14:$A$43,B955)&gt;0,"Holiday posting | ","")&amp;IF(B955&gt;Settings!$C$8,"Posted after close | ","")&amp;IF(OR(B955&lt;Settings!$C$6,B955&gt;Settings!$C$7),"Outside period | ","")&amp;IF(COUNTIF(Settings!$E$14:$E$43,C955&amp;"")&gt;0,"Sensitive account | ","")&amp;IF(AND(MAX(N(E955),N(F955))&gt;=Settings!$C$9,MOD(MAX(N(E955),N(F955)),Settings!$C$10)=0),"Round amount | ",""))-3)))</f>
        <v/>
      </c>
      <c r="M955" s="21" t="str">
        <f aca="false">IF(A955="","",IF(COUNTIF($A$9:A955,A955)=1,MAX($M$8:M954)+1,""))</f>
        <v/>
      </c>
    </row>
    <row r="956" customFormat="false" ht="15" hidden="false" customHeight="false" outlineLevel="0" collapsed="false">
      <c r="A956" s="8"/>
      <c r="B956" s="17"/>
      <c r="C956" s="19"/>
      <c r="D956" s="8"/>
      <c r="E956" s="18"/>
      <c r="F956" s="18"/>
      <c r="G956" s="8"/>
      <c r="H956" s="8"/>
      <c r="I956" s="8"/>
      <c r="J956" s="8"/>
      <c r="K956" s="10" t="str">
        <f aca="false">IF(A956="","",IF(ABS(SUMIFS($E$9:$E$2008,$A$9:$A$2008,A956)-SUMIFS($F$9:$F$2008,$A$9:$A$2008,A956))&lt;0.5,"Yes","No"))</f>
        <v/>
      </c>
      <c r="L956" s="10" t="str">
        <f aca="false">IF(A956="","",IF(IF(K956="No","Does not balance | ","")&amp;IF(I956="","Not approved | ",IF(UPPER(TRIM(H956))=UPPER(TRIM(I956)),"Self-approved | ",""))&amp;IF(J956="","No support | ","")&amp;IF(WEEKDAY(B956,2)&gt;5,"Weekend posting | ","")&amp;IF(COUNTIF(Settings!$A$14:$A$43,B956)&gt;0,"Holiday posting | ","")&amp;IF(B956&gt;Settings!$C$8,"Posted after close | ","")&amp;IF(OR(B956&lt;Settings!$C$6,B956&gt;Settings!$C$7),"Outside period | ","")&amp;IF(COUNTIF(Settings!$E$14:$E$43,C956&amp;"")&gt;0,"Sensitive account | ","")&amp;IF(AND(MAX(N(E956),N(F956))&gt;=Settings!$C$9,MOD(MAX(N(E956),N(F956)),Settings!$C$10)=0),"Round amount | ","")="","",LEFT(IF(K956="No","Does not balance | ","")&amp;IF(I956="","Not approved | ",IF(UPPER(TRIM(H956))=UPPER(TRIM(I956)),"Self-approved | ",""))&amp;IF(J956="","No support | ","")&amp;IF(WEEKDAY(B956,2)&gt;5,"Weekend posting | ","")&amp;IF(COUNTIF(Settings!$A$14:$A$43,B956)&gt;0,"Holiday posting | ","")&amp;IF(B956&gt;Settings!$C$8,"Posted after close | ","")&amp;IF(OR(B956&lt;Settings!$C$6,B956&gt;Settings!$C$7),"Outside period | ","")&amp;IF(COUNTIF(Settings!$E$14:$E$43,C956&amp;"")&gt;0,"Sensitive account | ","")&amp;IF(AND(MAX(N(E956),N(F956))&gt;=Settings!$C$9,MOD(MAX(N(E956),N(F956)),Settings!$C$10)=0),"Round amount | ",""),LEN(IF(K956="No","Does not balance | ","")&amp;IF(I956="","Not approved | ",IF(UPPER(TRIM(H956))=UPPER(TRIM(I956)),"Self-approved | ",""))&amp;IF(J956="","No support | ","")&amp;IF(WEEKDAY(B956,2)&gt;5,"Weekend posting | ","")&amp;IF(COUNTIF(Settings!$A$14:$A$43,B956)&gt;0,"Holiday posting | ","")&amp;IF(B956&gt;Settings!$C$8,"Posted after close | ","")&amp;IF(OR(B956&lt;Settings!$C$6,B956&gt;Settings!$C$7),"Outside period | ","")&amp;IF(COUNTIF(Settings!$E$14:$E$43,C956&amp;"")&gt;0,"Sensitive account | ","")&amp;IF(AND(MAX(N(E956),N(F956))&gt;=Settings!$C$9,MOD(MAX(N(E956),N(F956)),Settings!$C$10)=0),"Round amount | ",""))-3)))</f>
        <v/>
      </c>
      <c r="M956" s="21" t="str">
        <f aca="false">IF(A956="","",IF(COUNTIF($A$9:A956,A956)=1,MAX($M$8:M955)+1,""))</f>
        <v/>
      </c>
    </row>
    <row r="957" customFormat="false" ht="15" hidden="false" customHeight="false" outlineLevel="0" collapsed="false">
      <c r="A957" s="8"/>
      <c r="B957" s="17"/>
      <c r="C957" s="19"/>
      <c r="D957" s="8"/>
      <c r="E957" s="18"/>
      <c r="F957" s="18"/>
      <c r="G957" s="8"/>
      <c r="H957" s="8"/>
      <c r="I957" s="8"/>
      <c r="J957" s="8"/>
      <c r="K957" s="10" t="str">
        <f aca="false">IF(A957="","",IF(ABS(SUMIFS($E$9:$E$2008,$A$9:$A$2008,A957)-SUMIFS($F$9:$F$2008,$A$9:$A$2008,A957))&lt;0.5,"Yes","No"))</f>
        <v/>
      </c>
      <c r="L957" s="10" t="str">
        <f aca="false">IF(A957="","",IF(IF(K957="No","Does not balance | ","")&amp;IF(I957="","Not approved | ",IF(UPPER(TRIM(H957))=UPPER(TRIM(I957)),"Self-approved | ",""))&amp;IF(J957="","No support | ","")&amp;IF(WEEKDAY(B957,2)&gt;5,"Weekend posting | ","")&amp;IF(COUNTIF(Settings!$A$14:$A$43,B957)&gt;0,"Holiday posting | ","")&amp;IF(B957&gt;Settings!$C$8,"Posted after close | ","")&amp;IF(OR(B957&lt;Settings!$C$6,B957&gt;Settings!$C$7),"Outside period | ","")&amp;IF(COUNTIF(Settings!$E$14:$E$43,C957&amp;"")&gt;0,"Sensitive account | ","")&amp;IF(AND(MAX(N(E957),N(F957))&gt;=Settings!$C$9,MOD(MAX(N(E957),N(F957)),Settings!$C$10)=0),"Round amount | ","")="","",LEFT(IF(K957="No","Does not balance | ","")&amp;IF(I957="","Not approved | ",IF(UPPER(TRIM(H957))=UPPER(TRIM(I957)),"Self-approved | ",""))&amp;IF(J957="","No support | ","")&amp;IF(WEEKDAY(B957,2)&gt;5,"Weekend posting | ","")&amp;IF(COUNTIF(Settings!$A$14:$A$43,B957)&gt;0,"Holiday posting | ","")&amp;IF(B957&gt;Settings!$C$8,"Posted after close | ","")&amp;IF(OR(B957&lt;Settings!$C$6,B957&gt;Settings!$C$7),"Outside period | ","")&amp;IF(COUNTIF(Settings!$E$14:$E$43,C957&amp;"")&gt;0,"Sensitive account | ","")&amp;IF(AND(MAX(N(E957),N(F957))&gt;=Settings!$C$9,MOD(MAX(N(E957),N(F957)),Settings!$C$10)=0),"Round amount | ",""),LEN(IF(K957="No","Does not balance | ","")&amp;IF(I957="","Not approved | ",IF(UPPER(TRIM(H957))=UPPER(TRIM(I957)),"Self-approved | ",""))&amp;IF(J957="","No support | ","")&amp;IF(WEEKDAY(B957,2)&gt;5,"Weekend posting | ","")&amp;IF(COUNTIF(Settings!$A$14:$A$43,B957)&gt;0,"Holiday posting | ","")&amp;IF(B957&gt;Settings!$C$8,"Posted after close | ","")&amp;IF(OR(B957&lt;Settings!$C$6,B957&gt;Settings!$C$7),"Outside period | ","")&amp;IF(COUNTIF(Settings!$E$14:$E$43,C957&amp;"")&gt;0,"Sensitive account | ","")&amp;IF(AND(MAX(N(E957),N(F957))&gt;=Settings!$C$9,MOD(MAX(N(E957),N(F957)),Settings!$C$10)=0),"Round amount | ",""))-3)))</f>
        <v/>
      </c>
      <c r="M957" s="21" t="str">
        <f aca="false">IF(A957="","",IF(COUNTIF($A$9:A957,A957)=1,MAX($M$8:M956)+1,""))</f>
        <v/>
      </c>
    </row>
    <row r="958" customFormat="false" ht="15" hidden="false" customHeight="false" outlineLevel="0" collapsed="false">
      <c r="A958" s="8"/>
      <c r="B958" s="17"/>
      <c r="C958" s="19"/>
      <c r="D958" s="8"/>
      <c r="E958" s="18"/>
      <c r="F958" s="18"/>
      <c r="G958" s="8"/>
      <c r="H958" s="8"/>
      <c r="I958" s="8"/>
      <c r="J958" s="8"/>
      <c r="K958" s="10" t="str">
        <f aca="false">IF(A958="","",IF(ABS(SUMIFS($E$9:$E$2008,$A$9:$A$2008,A958)-SUMIFS($F$9:$F$2008,$A$9:$A$2008,A958))&lt;0.5,"Yes","No"))</f>
        <v/>
      </c>
      <c r="L958" s="10" t="str">
        <f aca="false">IF(A958="","",IF(IF(K958="No","Does not balance | ","")&amp;IF(I958="","Not approved | ",IF(UPPER(TRIM(H958))=UPPER(TRIM(I958)),"Self-approved | ",""))&amp;IF(J958="","No support | ","")&amp;IF(WEEKDAY(B958,2)&gt;5,"Weekend posting | ","")&amp;IF(COUNTIF(Settings!$A$14:$A$43,B958)&gt;0,"Holiday posting | ","")&amp;IF(B958&gt;Settings!$C$8,"Posted after close | ","")&amp;IF(OR(B958&lt;Settings!$C$6,B958&gt;Settings!$C$7),"Outside period | ","")&amp;IF(COUNTIF(Settings!$E$14:$E$43,C958&amp;"")&gt;0,"Sensitive account | ","")&amp;IF(AND(MAX(N(E958),N(F958))&gt;=Settings!$C$9,MOD(MAX(N(E958),N(F958)),Settings!$C$10)=0),"Round amount | ","")="","",LEFT(IF(K958="No","Does not balance | ","")&amp;IF(I958="","Not approved | ",IF(UPPER(TRIM(H958))=UPPER(TRIM(I958)),"Self-approved | ",""))&amp;IF(J958="","No support | ","")&amp;IF(WEEKDAY(B958,2)&gt;5,"Weekend posting | ","")&amp;IF(COUNTIF(Settings!$A$14:$A$43,B958)&gt;0,"Holiday posting | ","")&amp;IF(B958&gt;Settings!$C$8,"Posted after close | ","")&amp;IF(OR(B958&lt;Settings!$C$6,B958&gt;Settings!$C$7),"Outside period | ","")&amp;IF(COUNTIF(Settings!$E$14:$E$43,C958&amp;"")&gt;0,"Sensitive account | ","")&amp;IF(AND(MAX(N(E958),N(F958))&gt;=Settings!$C$9,MOD(MAX(N(E958),N(F958)),Settings!$C$10)=0),"Round amount | ",""),LEN(IF(K958="No","Does not balance | ","")&amp;IF(I958="","Not approved | ",IF(UPPER(TRIM(H958))=UPPER(TRIM(I958)),"Self-approved | ",""))&amp;IF(J958="","No support | ","")&amp;IF(WEEKDAY(B958,2)&gt;5,"Weekend posting | ","")&amp;IF(COUNTIF(Settings!$A$14:$A$43,B958)&gt;0,"Holiday posting | ","")&amp;IF(B958&gt;Settings!$C$8,"Posted after close | ","")&amp;IF(OR(B958&lt;Settings!$C$6,B958&gt;Settings!$C$7),"Outside period | ","")&amp;IF(COUNTIF(Settings!$E$14:$E$43,C958&amp;"")&gt;0,"Sensitive account | ","")&amp;IF(AND(MAX(N(E958),N(F958))&gt;=Settings!$C$9,MOD(MAX(N(E958),N(F958)),Settings!$C$10)=0),"Round amount | ",""))-3)))</f>
        <v/>
      </c>
      <c r="M958" s="21" t="str">
        <f aca="false">IF(A958="","",IF(COUNTIF($A$9:A958,A958)=1,MAX($M$8:M957)+1,""))</f>
        <v/>
      </c>
    </row>
    <row r="959" customFormat="false" ht="15" hidden="false" customHeight="false" outlineLevel="0" collapsed="false">
      <c r="A959" s="8"/>
      <c r="B959" s="17"/>
      <c r="C959" s="19"/>
      <c r="D959" s="8"/>
      <c r="E959" s="18"/>
      <c r="F959" s="18"/>
      <c r="G959" s="8"/>
      <c r="H959" s="8"/>
      <c r="I959" s="8"/>
      <c r="J959" s="8"/>
      <c r="K959" s="10" t="str">
        <f aca="false">IF(A959="","",IF(ABS(SUMIFS($E$9:$E$2008,$A$9:$A$2008,A959)-SUMIFS($F$9:$F$2008,$A$9:$A$2008,A959))&lt;0.5,"Yes","No"))</f>
        <v/>
      </c>
      <c r="L959" s="10" t="str">
        <f aca="false">IF(A959="","",IF(IF(K959="No","Does not balance | ","")&amp;IF(I959="","Not approved | ",IF(UPPER(TRIM(H959))=UPPER(TRIM(I959)),"Self-approved | ",""))&amp;IF(J959="","No support | ","")&amp;IF(WEEKDAY(B959,2)&gt;5,"Weekend posting | ","")&amp;IF(COUNTIF(Settings!$A$14:$A$43,B959)&gt;0,"Holiday posting | ","")&amp;IF(B959&gt;Settings!$C$8,"Posted after close | ","")&amp;IF(OR(B959&lt;Settings!$C$6,B959&gt;Settings!$C$7),"Outside period | ","")&amp;IF(COUNTIF(Settings!$E$14:$E$43,C959&amp;"")&gt;0,"Sensitive account | ","")&amp;IF(AND(MAX(N(E959),N(F959))&gt;=Settings!$C$9,MOD(MAX(N(E959),N(F959)),Settings!$C$10)=0),"Round amount | ","")="","",LEFT(IF(K959="No","Does not balance | ","")&amp;IF(I959="","Not approved | ",IF(UPPER(TRIM(H959))=UPPER(TRIM(I959)),"Self-approved | ",""))&amp;IF(J959="","No support | ","")&amp;IF(WEEKDAY(B959,2)&gt;5,"Weekend posting | ","")&amp;IF(COUNTIF(Settings!$A$14:$A$43,B959)&gt;0,"Holiday posting | ","")&amp;IF(B959&gt;Settings!$C$8,"Posted after close | ","")&amp;IF(OR(B959&lt;Settings!$C$6,B959&gt;Settings!$C$7),"Outside period | ","")&amp;IF(COUNTIF(Settings!$E$14:$E$43,C959&amp;"")&gt;0,"Sensitive account | ","")&amp;IF(AND(MAX(N(E959),N(F959))&gt;=Settings!$C$9,MOD(MAX(N(E959),N(F959)),Settings!$C$10)=0),"Round amount | ",""),LEN(IF(K959="No","Does not balance | ","")&amp;IF(I959="","Not approved | ",IF(UPPER(TRIM(H959))=UPPER(TRIM(I959)),"Self-approved | ",""))&amp;IF(J959="","No support | ","")&amp;IF(WEEKDAY(B959,2)&gt;5,"Weekend posting | ","")&amp;IF(COUNTIF(Settings!$A$14:$A$43,B959)&gt;0,"Holiday posting | ","")&amp;IF(B959&gt;Settings!$C$8,"Posted after close | ","")&amp;IF(OR(B959&lt;Settings!$C$6,B959&gt;Settings!$C$7),"Outside period | ","")&amp;IF(COUNTIF(Settings!$E$14:$E$43,C959&amp;"")&gt;0,"Sensitive account | ","")&amp;IF(AND(MAX(N(E959),N(F959))&gt;=Settings!$C$9,MOD(MAX(N(E959),N(F959)),Settings!$C$10)=0),"Round amount | ",""))-3)))</f>
        <v/>
      </c>
      <c r="M959" s="21" t="str">
        <f aca="false">IF(A959="","",IF(COUNTIF($A$9:A959,A959)=1,MAX($M$8:M958)+1,""))</f>
        <v/>
      </c>
    </row>
    <row r="960" customFormat="false" ht="15" hidden="false" customHeight="false" outlineLevel="0" collapsed="false">
      <c r="A960" s="8"/>
      <c r="B960" s="17"/>
      <c r="C960" s="19"/>
      <c r="D960" s="8"/>
      <c r="E960" s="18"/>
      <c r="F960" s="18"/>
      <c r="G960" s="8"/>
      <c r="H960" s="8"/>
      <c r="I960" s="8"/>
      <c r="J960" s="8"/>
      <c r="K960" s="10" t="str">
        <f aca="false">IF(A960="","",IF(ABS(SUMIFS($E$9:$E$2008,$A$9:$A$2008,A960)-SUMIFS($F$9:$F$2008,$A$9:$A$2008,A960))&lt;0.5,"Yes","No"))</f>
        <v/>
      </c>
      <c r="L960" s="10" t="str">
        <f aca="false">IF(A960="","",IF(IF(K960="No","Does not balance | ","")&amp;IF(I960="","Not approved | ",IF(UPPER(TRIM(H960))=UPPER(TRIM(I960)),"Self-approved | ",""))&amp;IF(J960="","No support | ","")&amp;IF(WEEKDAY(B960,2)&gt;5,"Weekend posting | ","")&amp;IF(COUNTIF(Settings!$A$14:$A$43,B960)&gt;0,"Holiday posting | ","")&amp;IF(B960&gt;Settings!$C$8,"Posted after close | ","")&amp;IF(OR(B960&lt;Settings!$C$6,B960&gt;Settings!$C$7),"Outside period | ","")&amp;IF(COUNTIF(Settings!$E$14:$E$43,C960&amp;"")&gt;0,"Sensitive account | ","")&amp;IF(AND(MAX(N(E960),N(F960))&gt;=Settings!$C$9,MOD(MAX(N(E960),N(F960)),Settings!$C$10)=0),"Round amount | ","")="","",LEFT(IF(K960="No","Does not balance | ","")&amp;IF(I960="","Not approved | ",IF(UPPER(TRIM(H960))=UPPER(TRIM(I960)),"Self-approved | ",""))&amp;IF(J960="","No support | ","")&amp;IF(WEEKDAY(B960,2)&gt;5,"Weekend posting | ","")&amp;IF(COUNTIF(Settings!$A$14:$A$43,B960)&gt;0,"Holiday posting | ","")&amp;IF(B960&gt;Settings!$C$8,"Posted after close | ","")&amp;IF(OR(B960&lt;Settings!$C$6,B960&gt;Settings!$C$7),"Outside period | ","")&amp;IF(COUNTIF(Settings!$E$14:$E$43,C960&amp;"")&gt;0,"Sensitive account | ","")&amp;IF(AND(MAX(N(E960),N(F960))&gt;=Settings!$C$9,MOD(MAX(N(E960),N(F960)),Settings!$C$10)=0),"Round amount | ",""),LEN(IF(K960="No","Does not balance | ","")&amp;IF(I960="","Not approved | ",IF(UPPER(TRIM(H960))=UPPER(TRIM(I960)),"Self-approved | ",""))&amp;IF(J960="","No support | ","")&amp;IF(WEEKDAY(B960,2)&gt;5,"Weekend posting | ","")&amp;IF(COUNTIF(Settings!$A$14:$A$43,B960)&gt;0,"Holiday posting | ","")&amp;IF(B960&gt;Settings!$C$8,"Posted after close | ","")&amp;IF(OR(B960&lt;Settings!$C$6,B960&gt;Settings!$C$7),"Outside period | ","")&amp;IF(COUNTIF(Settings!$E$14:$E$43,C960&amp;"")&gt;0,"Sensitive account | ","")&amp;IF(AND(MAX(N(E960),N(F960))&gt;=Settings!$C$9,MOD(MAX(N(E960),N(F960)),Settings!$C$10)=0),"Round amount | ",""))-3)))</f>
        <v/>
      </c>
      <c r="M960" s="21" t="str">
        <f aca="false">IF(A960="","",IF(COUNTIF($A$9:A960,A960)=1,MAX($M$8:M959)+1,""))</f>
        <v/>
      </c>
    </row>
    <row r="961" customFormat="false" ht="15" hidden="false" customHeight="false" outlineLevel="0" collapsed="false">
      <c r="A961" s="8"/>
      <c r="B961" s="17"/>
      <c r="C961" s="19"/>
      <c r="D961" s="8"/>
      <c r="E961" s="18"/>
      <c r="F961" s="18"/>
      <c r="G961" s="8"/>
      <c r="H961" s="8"/>
      <c r="I961" s="8"/>
      <c r="J961" s="8"/>
      <c r="K961" s="10" t="str">
        <f aca="false">IF(A961="","",IF(ABS(SUMIFS($E$9:$E$2008,$A$9:$A$2008,A961)-SUMIFS($F$9:$F$2008,$A$9:$A$2008,A961))&lt;0.5,"Yes","No"))</f>
        <v/>
      </c>
      <c r="L961" s="10" t="str">
        <f aca="false">IF(A961="","",IF(IF(K961="No","Does not balance | ","")&amp;IF(I961="","Not approved | ",IF(UPPER(TRIM(H961))=UPPER(TRIM(I961)),"Self-approved | ",""))&amp;IF(J961="","No support | ","")&amp;IF(WEEKDAY(B961,2)&gt;5,"Weekend posting | ","")&amp;IF(COUNTIF(Settings!$A$14:$A$43,B961)&gt;0,"Holiday posting | ","")&amp;IF(B961&gt;Settings!$C$8,"Posted after close | ","")&amp;IF(OR(B961&lt;Settings!$C$6,B961&gt;Settings!$C$7),"Outside period | ","")&amp;IF(COUNTIF(Settings!$E$14:$E$43,C961&amp;"")&gt;0,"Sensitive account | ","")&amp;IF(AND(MAX(N(E961),N(F961))&gt;=Settings!$C$9,MOD(MAX(N(E961),N(F961)),Settings!$C$10)=0),"Round amount | ","")="","",LEFT(IF(K961="No","Does not balance | ","")&amp;IF(I961="","Not approved | ",IF(UPPER(TRIM(H961))=UPPER(TRIM(I961)),"Self-approved | ",""))&amp;IF(J961="","No support | ","")&amp;IF(WEEKDAY(B961,2)&gt;5,"Weekend posting | ","")&amp;IF(COUNTIF(Settings!$A$14:$A$43,B961)&gt;0,"Holiday posting | ","")&amp;IF(B961&gt;Settings!$C$8,"Posted after close | ","")&amp;IF(OR(B961&lt;Settings!$C$6,B961&gt;Settings!$C$7),"Outside period | ","")&amp;IF(COUNTIF(Settings!$E$14:$E$43,C961&amp;"")&gt;0,"Sensitive account | ","")&amp;IF(AND(MAX(N(E961),N(F961))&gt;=Settings!$C$9,MOD(MAX(N(E961),N(F961)),Settings!$C$10)=0),"Round amount | ",""),LEN(IF(K961="No","Does not balance | ","")&amp;IF(I961="","Not approved | ",IF(UPPER(TRIM(H961))=UPPER(TRIM(I961)),"Self-approved | ",""))&amp;IF(J961="","No support | ","")&amp;IF(WEEKDAY(B961,2)&gt;5,"Weekend posting | ","")&amp;IF(COUNTIF(Settings!$A$14:$A$43,B961)&gt;0,"Holiday posting | ","")&amp;IF(B961&gt;Settings!$C$8,"Posted after close | ","")&amp;IF(OR(B961&lt;Settings!$C$6,B961&gt;Settings!$C$7),"Outside period | ","")&amp;IF(COUNTIF(Settings!$E$14:$E$43,C961&amp;"")&gt;0,"Sensitive account | ","")&amp;IF(AND(MAX(N(E961),N(F961))&gt;=Settings!$C$9,MOD(MAX(N(E961),N(F961)),Settings!$C$10)=0),"Round amount | ",""))-3)))</f>
        <v/>
      </c>
      <c r="M961" s="21" t="str">
        <f aca="false">IF(A961="","",IF(COUNTIF($A$9:A961,A961)=1,MAX($M$8:M960)+1,""))</f>
        <v/>
      </c>
    </row>
    <row r="962" customFormat="false" ht="15" hidden="false" customHeight="false" outlineLevel="0" collapsed="false">
      <c r="A962" s="8"/>
      <c r="B962" s="17"/>
      <c r="C962" s="19"/>
      <c r="D962" s="8"/>
      <c r="E962" s="18"/>
      <c r="F962" s="18"/>
      <c r="G962" s="8"/>
      <c r="H962" s="8"/>
      <c r="I962" s="8"/>
      <c r="J962" s="8"/>
      <c r="K962" s="10" t="str">
        <f aca="false">IF(A962="","",IF(ABS(SUMIFS($E$9:$E$2008,$A$9:$A$2008,A962)-SUMIFS($F$9:$F$2008,$A$9:$A$2008,A962))&lt;0.5,"Yes","No"))</f>
        <v/>
      </c>
      <c r="L962" s="10" t="str">
        <f aca="false">IF(A962="","",IF(IF(K962="No","Does not balance | ","")&amp;IF(I962="","Not approved | ",IF(UPPER(TRIM(H962))=UPPER(TRIM(I962)),"Self-approved | ",""))&amp;IF(J962="","No support | ","")&amp;IF(WEEKDAY(B962,2)&gt;5,"Weekend posting | ","")&amp;IF(COUNTIF(Settings!$A$14:$A$43,B962)&gt;0,"Holiday posting | ","")&amp;IF(B962&gt;Settings!$C$8,"Posted after close | ","")&amp;IF(OR(B962&lt;Settings!$C$6,B962&gt;Settings!$C$7),"Outside period | ","")&amp;IF(COUNTIF(Settings!$E$14:$E$43,C962&amp;"")&gt;0,"Sensitive account | ","")&amp;IF(AND(MAX(N(E962),N(F962))&gt;=Settings!$C$9,MOD(MAX(N(E962),N(F962)),Settings!$C$10)=0),"Round amount | ","")="","",LEFT(IF(K962="No","Does not balance | ","")&amp;IF(I962="","Not approved | ",IF(UPPER(TRIM(H962))=UPPER(TRIM(I962)),"Self-approved | ",""))&amp;IF(J962="","No support | ","")&amp;IF(WEEKDAY(B962,2)&gt;5,"Weekend posting | ","")&amp;IF(COUNTIF(Settings!$A$14:$A$43,B962)&gt;0,"Holiday posting | ","")&amp;IF(B962&gt;Settings!$C$8,"Posted after close | ","")&amp;IF(OR(B962&lt;Settings!$C$6,B962&gt;Settings!$C$7),"Outside period | ","")&amp;IF(COUNTIF(Settings!$E$14:$E$43,C962&amp;"")&gt;0,"Sensitive account | ","")&amp;IF(AND(MAX(N(E962),N(F962))&gt;=Settings!$C$9,MOD(MAX(N(E962),N(F962)),Settings!$C$10)=0),"Round amount | ",""),LEN(IF(K962="No","Does not balance | ","")&amp;IF(I962="","Not approved | ",IF(UPPER(TRIM(H962))=UPPER(TRIM(I962)),"Self-approved | ",""))&amp;IF(J962="","No support | ","")&amp;IF(WEEKDAY(B962,2)&gt;5,"Weekend posting | ","")&amp;IF(COUNTIF(Settings!$A$14:$A$43,B962)&gt;0,"Holiday posting | ","")&amp;IF(B962&gt;Settings!$C$8,"Posted after close | ","")&amp;IF(OR(B962&lt;Settings!$C$6,B962&gt;Settings!$C$7),"Outside period | ","")&amp;IF(COUNTIF(Settings!$E$14:$E$43,C962&amp;"")&gt;0,"Sensitive account | ","")&amp;IF(AND(MAX(N(E962),N(F962))&gt;=Settings!$C$9,MOD(MAX(N(E962),N(F962)),Settings!$C$10)=0),"Round amount | ",""))-3)))</f>
        <v/>
      </c>
      <c r="M962" s="21" t="str">
        <f aca="false">IF(A962="","",IF(COUNTIF($A$9:A962,A962)=1,MAX($M$8:M961)+1,""))</f>
        <v/>
      </c>
    </row>
    <row r="963" customFormat="false" ht="15" hidden="false" customHeight="false" outlineLevel="0" collapsed="false">
      <c r="A963" s="8"/>
      <c r="B963" s="17"/>
      <c r="C963" s="19"/>
      <c r="D963" s="8"/>
      <c r="E963" s="18"/>
      <c r="F963" s="18"/>
      <c r="G963" s="8"/>
      <c r="H963" s="8"/>
      <c r="I963" s="8"/>
      <c r="J963" s="8"/>
      <c r="K963" s="10" t="str">
        <f aca="false">IF(A963="","",IF(ABS(SUMIFS($E$9:$E$2008,$A$9:$A$2008,A963)-SUMIFS($F$9:$F$2008,$A$9:$A$2008,A963))&lt;0.5,"Yes","No"))</f>
        <v/>
      </c>
      <c r="L963" s="10" t="str">
        <f aca="false">IF(A963="","",IF(IF(K963="No","Does not balance | ","")&amp;IF(I963="","Not approved | ",IF(UPPER(TRIM(H963))=UPPER(TRIM(I963)),"Self-approved | ",""))&amp;IF(J963="","No support | ","")&amp;IF(WEEKDAY(B963,2)&gt;5,"Weekend posting | ","")&amp;IF(COUNTIF(Settings!$A$14:$A$43,B963)&gt;0,"Holiday posting | ","")&amp;IF(B963&gt;Settings!$C$8,"Posted after close | ","")&amp;IF(OR(B963&lt;Settings!$C$6,B963&gt;Settings!$C$7),"Outside period | ","")&amp;IF(COUNTIF(Settings!$E$14:$E$43,C963&amp;"")&gt;0,"Sensitive account | ","")&amp;IF(AND(MAX(N(E963),N(F963))&gt;=Settings!$C$9,MOD(MAX(N(E963),N(F963)),Settings!$C$10)=0),"Round amount | ","")="","",LEFT(IF(K963="No","Does not balance | ","")&amp;IF(I963="","Not approved | ",IF(UPPER(TRIM(H963))=UPPER(TRIM(I963)),"Self-approved | ",""))&amp;IF(J963="","No support | ","")&amp;IF(WEEKDAY(B963,2)&gt;5,"Weekend posting | ","")&amp;IF(COUNTIF(Settings!$A$14:$A$43,B963)&gt;0,"Holiday posting | ","")&amp;IF(B963&gt;Settings!$C$8,"Posted after close | ","")&amp;IF(OR(B963&lt;Settings!$C$6,B963&gt;Settings!$C$7),"Outside period | ","")&amp;IF(COUNTIF(Settings!$E$14:$E$43,C963&amp;"")&gt;0,"Sensitive account | ","")&amp;IF(AND(MAX(N(E963),N(F963))&gt;=Settings!$C$9,MOD(MAX(N(E963),N(F963)),Settings!$C$10)=0),"Round amount | ",""),LEN(IF(K963="No","Does not balance | ","")&amp;IF(I963="","Not approved | ",IF(UPPER(TRIM(H963))=UPPER(TRIM(I963)),"Self-approved | ",""))&amp;IF(J963="","No support | ","")&amp;IF(WEEKDAY(B963,2)&gt;5,"Weekend posting | ","")&amp;IF(COUNTIF(Settings!$A$14:$A$43,B963)&gt;0,"Holiday posting | ","")&amp;IF(B963&gt;Settings!$C$8,"Posted after close | ","")&amp;IF(OR(B963&lt;Settings!$C$6,B963&gt;Settings!$C$7),"Outside period | ","")&amp;IF(COUNTIF(Settings!$E$14:$E$43,C963&amp;"")&gt;0,"Sensitive account | ","")&amp;IF(AND(MAX(N(E963),N(F963))&gt;=Settings!$C$9,MOD(MAX(N(E963),N(F963)),Settings!$C$10)=0),"Round amount | ",""))-3)))</f>
        <v/>
      </c>
      <c r="M963" s="21" t="str">
        <f aca="false">IF(A963="","",IF(COUNTIF($A$9:A963,A963)=1,MAX($M$8:M962)+1,""))</f>
        <v/>
      </c>
    </row>
    <row r="964" customFormat="false" ht="15" hidden="false" customHeight="false" outlineLevel="0" collapsed="false">
      <c r="A964" s="8"/>
      <c r="B964" s="17"/>
      <c r="C964" s="19"/>
      <c r="D964" s="8"/>
      <c r="E964" s="18"/>
      <c r="F964" s="18"/>
      <c r="G964" s="8"/>
      <c r="H964" s="8"/>
      <c r="I964" s="8"/>
      <c r="J964" s="8"/>
      <c r="K964" s="10" t="str">
        <f aca="false">IF(A964="","",IF(ABS(SUMIFS($E$9:$E$2008,$A$9:$A$2008,A964)-SUMIFS($F$9:$F$2008,$A$9:$A$2008,A964))&lt;0.5,"Yes","No"))</f>
        <v/>
      </c>
      <c r="L964" s="10" t="str">
        <f aca="false">IF(A964="","",IF(IF(K964="No","Does not balance | ","")&amp;IF(I964="","Not approved | ",IF(UPPER(TRIM(H964))=UPPER(TRIM(I964)),"Self-approved | ",""))&amp;IF(J964="","No support | ","")&amp;IF(WEEKDAY(B964,2)&gt;5,"Weekend posting | ","")&amp;IF(COUNTIF(Settings!$A$14:$A$43,B964)&gt;0,"Holiday posting | ","")&amp;IF(B964&gt;Settings!$C$8,"Posted after close | ","")&amp;IF(OR(B964&lt;Settings!$C$6,B964&gt;Settings!$C$7),"Outside period | ","")&amp;IF(COUNTIF(Settings!$E$14:$E$43,C964&amp;"")&gt;0,"Sensitive account | ","")&amp;IF(AND(MAX(N(E964),N(F964))&gt;=Settings!$C$9,MOD(MAX(N(E964),N(F964)),Settings!$C$10)=0),"Round amount | ","")="","",LEFT(IF(K964="No","Does not balance | ","")&amp;IF(I964="","Not approved | ",IF(UPPER(TRIM(H964))=UPPER(TRIM(I964)),"Self-approved | ",""))&amp;IF(J964="","No support | ","")&amp;IF(WEEKDAY(B964,2)&gt;5,"Weekend posting | ","")&amp;IF(COUNTIF(Settings!$A$14:$A$43,B964)&gt;0,"Holiday posting | ","")&amp;IF(B964&gt;Settings!$C$8,"Posted after close | ","")&amp;IF(OR(B964&lt;Settings!$C$6,B964&gt;Settings!$C$7),"Outside period | ","")&amp;IF(COUNTIF(Settings!$E$14:$E$43,C964&amp;"")&gt;0,"Sensitive account | ","")&amp;IF(AND(MAX(N(E964),N(F964))&gt;=Settings!$C$9,MOD(MAX(N(E964),N(F964)),Settings!$C$10)=0),"Round amount | ",""),LEN(IF(K964="No","Does not balance | ","")&amp;IF(I964="","Not approved | ",IF(UPPER(TRIM(H964))=UPPER(TRIM(I964)),"Self-approved | ",""))&amp;IF(J964="","No support | ","")&amp;IF(WEEKDAY(B964,2)&gt;5,"Weekend posting | ","")&amp;IF(COUNTIF(Settings!$A$14:$A$43,B964)&gt;0,"Holiday posting | ","")&amp;IF(B964&gt;Settings!$C$8,"Posted after close | ","")&amp;IF(OR(B964&lt;Settings!$C$6,B964&gt;Settings!$C$7),"Outside period | ","")&amp;IF(COUNTIF(Settings!$E$14:$E$43,C964&amp;"")&gt;0,"Sensitive account | ","")&amp;IF(AND(MAX(N(E964),N(F964))&gt;=Settings!$C$9,MOD(MAX(N(E964),N(F964)),Settings!$C$10)=0),"Round amount | ",""))-3)))</f>
        <v/>
      </c>
      <c r="M964" s="21" t="str">
        <f aca="false">IF(A964="","",IF(COUNTIF($A$9:A964,A964)=1,MAX($M$8:M963)+1,""))</f>
        <v/>
      </c>
    </row>
    <row r="965" customFormat="false" ht="15" hidden="false" customHeight="false" outlineLevel="0" collapsed="false">
      <c r="A965" s="8"/>
      <c r="B965" s="17"/>
      <c r="C965" s="19"/>
      <c r="D965" s="8"/>
      <c r="E965" s="18"/>
      <c r="F965" s="18"/>
      <c r="G965" s="8"/>
      <c r="H965" s="8"/>
      <c r="I965" s="8"/>
      <c r="J965" s="8"/>
      <c r="K965" s="10" t="str">
        <f aca="false">IF(A965="","",IF(ABS(SUMIFS($E$9:$E$2008,$A$9:$A$2008,A965)-SUMIFS($F$9:$F$2008,$A$9:$A$2008,A965))&lt;0.5,"Yes","No"))</f>
        <v/>
      </c>
      <c r="L965" s="10" t="str">
        <f aca="false">IF(A965="","",IF(IF(K965="No","Does not balance | ","")&amp;IF(I965="","Not approved | ",IF(UPPER(TRIM(H965))=UPPER(TRIM(I965)),"Self-approved | ",""))&amp;IF(J965="","No support | ","")&amp;IF(WEEKDAY(B965,2)&gt;5,"Weekend posting | ","")&amp;IF(COUNTIF(Settings!$A$14:$A$43,B965)&gt;0,"Holiday posting | ","")&amp;IF(B965&gt;Settings!$C$8,"Posted after close | ","")&amp;IF(OR(B965&lt;Settings!$C$6,B965&gt;Settings!$C$7),"Outside period | ","")&amp;IF(COUNTIF(Settings!$E$14:$E$43,C965&amp;"")&gt;0,"Sensitive account | ","")&amp;IF(AND(MAX(N(E965),N(F965))&gt;=Settings!$C$9,MOD(MAX(N(E965),N(F965)),Settings!$C$10)=0),"Round amount | ","")="","",LEFT(IF(K965="No","Does not balance | ","")&amp;IF(I965="","Not approved | ",IF(UPPER(TRIM(H965))=UPPER(TRIM(I965)),"Self-approved | ",""))&amp;IF(J965="","No support | ","")&amp;IF(WEEKDAY(B965,2)&gt;5,"Weekend posting | ","")&amp;IF(COUNTIF(Settings!$A$14:$A$43,B965)&gt;0,"Holiday posting | ","")&amp;IF(B965&gt;Settings!$C$8,"Posted after close | ","")&amp;IF(OR(B965&lt;Settings!$C$6,B965&gt;Settings!$C$7),"Outside period | ","")&amp;IF(COUNTIF(Settings!$E$14:$E$43,C965&amp;"")&gt;0,"Sensitive account | ","")&amp;IF(AND(MAX(N(E965),N(F965))&gt;=Settings!$C$9,MOD(MAX(N(E965),N(F965)),Settings!$C$10)=0),"Round amount | ",""),LEN(IF(K965="No","Does not balance | ","")&amp;IF(I965="","Not approved | ",IF(UPPER(TRIM(H965))=UPPER(TRIM(I965)),"Self-approved | ",""))&amp;IF(J965="","No support | ","")&amp;IF(WEEKDAY(B965,2)&gt;5,"Weekend posting | ","")&amp;IF(COUNTIF(Settings!$A$14:$A$43,B965)&gt;0,"Holiday posting | ","")&amp;IF(B965&gt;Settings!$C$8,"Posted after close | ","")&amp;IF(OR(B965&lt;Settings!$C$6,B965&gt;Settings!$C$7),"Outside period | ","")&amp;IF(COUNTIF(Settings!$E$14:$E$43,C965&amp;"")&gt;0,"Sensitive account | ","")&amp;IF(AND(MAX(N(E965),N(F965))&gt;=Settings!$C$9,MOD(MAX(N(E965),N(F965)),Settings!$C$10)=0),"Round amount | ",""))-3)))</f>
        <v/>
      </c>
      <c r="M965" s="21" t="str">
        <f aca="false">IF(A965="","",IF(COUNTIF($A$9:A965,A965)=1,MAX($M$8:M964)+1,""))</f>
        <v/>
      </c>
    </row>
    <row r="966" customFormat="false" ht="15" hidden="false" customHeight="false" outlineLevel="0" collapsed="false">
      <c r="A966" s="8"/>
      <c r="B966" s="17"/>
      <c r="C966" s="19"/>
      <c r="D966" s="8"/>
      <c r="E966" s="18"/>
      <c r="F966" s="18"/>
      <c r="G966" s="8"/>
      <c r="H966" s="8"/>
      <c r="I966" s="8"/>
      <c r="J966" s="8"/>
      <c r="K966" s="10" t="str">
        <f aca="false">IF(A966="","",IF(ABS(SUMIFS($E$9:$E$2008,$A$9:$A$2008,A966)-SUMIFS($F$9:$F$2008,$A$9:$A$2008,A966))&lt;0.5,"Yes","No"))</f>
        <v/>
      </c>
      <c r="L966" s="10" t="str">
        <f aca="false">IF(A966="","",IF(IF(K966="No","Does not balance | ","")&amp;IF(I966="","Not approved | ",IF(UPPER(TRIM(H966))=UPPER(TRIM(I966)),"Self-approved | ",""))&amp;IF(J966="","No support | ","")&amp;IF(WEEKDAY(B966,2)&gt;5,"Weekend posting | ","")&amp;IF(COUNTIF(Settings!$A$14:$A$43,B966)&gt;0,"Holiday posting | ","")&amp;IF(B966&gt;Settings!$C$8,"Posted after close | ","")&amp;IF(OR(B966&lt;Settings!$C$6,B966&gt;Settings!$C$7),"Outside period | ","")&amp;IF(COUNTIF(Settings!$E$14:$E$43,C966&amp;"")&gt;0,"Sensitive account | ","")&amp;IF(AND(MAX(N(E966),N(F966))&gt;=Settings!$C$9,MOD(MAX(N(E966),N(F966)),Settings!$C$10)=0),"Round amount | ","")="","",LEFT(IF(K966="No","Does not balance | ","")&amp;IF(I966="","Not approved | ",IF(UPPER(TRIM(H966))=UPPER(TRIM(I966)),"Self-approved | ",""))&amp;IF(J966="","No support | ","")&amp;IF(WEEKDAY(B966,2)&gt;5,"Weekend posting | ","")&amp;IF(COUNTIF(Settings!$A$14:$A$43,B966)&gt;0,"Holiday posting | ","")&amp;IF(B966&gt;Settings!$C$8,"Posted after close | ","")&amp;IF(OR(B966&lt;Settings!$C$6,B966&gt;Settings!$C$7),"Outside period | ","")&amp;IF(COUNTIF(Settings!$E$14:$E$43,C966&amp;"")&gt;0,"Sensitive account | ","")&amp;IF(AND(MAX(N(E966),N(F966))&gt;=Settings!$C$9,MOD(MAX(N(E966),N(F966)),Settings!$C$10)=0),"Round amount | ",""),LEN(IF(K966="No","Does not balance | ","")&amp;IF(I966="","Not approved | ",IF(UPPER(TRIM(H966))=UPPER(TRIM(I966)),"Self-approved | ",""))&amp;IF(J966="","No support | ","")&amp;IF(WEEKDAY(B966,2)&gt;5,"Weekend posting | ","")&amp;IF(COUNTIF(Settings!$A$14:$A$43,B966)&gt;0,"Holiday posting | ","")&amp;IF(B966&gt;Settings!$C$8,"Posted after close | ","")&amp;IF(OR(B966&lt;Settings!$C$6,B966&gt;Settings!$C$7),"Outside period | ","")&amp;IF(COUNTIF(Settings!$E$14:$E$43,C966&amp;"")&gt;0,"Sensitive account | ","")&amp;IF(AND(MAX(N(E966),N(F966))&gt;=Settings!$C$9,MOD(MAX(N(E966),N(F966)),Settings!$C$10)=0),"Round amount | ",""))-3)))</f>
        <v/>
      </c>
      <c r="M966" s="21" t="str">
        <f aca="false">IF(A966="","",IF(COUNTIF($A$9:A966,A966)=1,MAX($M$8:M965)+1,""))</f>
        <v/>
      </c>
    </row>
    <row r="967" customFormat="false" ht="15" hidden="false" customHeight="false" outlineLevel="0" collapsed="false">
      <c r="A967" s="8"/>
      <c r="B967" s="17"/>
      <c r="C967" s="19"/>
      <c r="D967" s="8"/>
      <c r="E967" s="18"/>
      <c r="F967" s="18"/>
      <c r="G967" s="8"/>
      <c r="H967" s="8"/>
      <c r="I967" s="8"/>
      <c r="J967" s="8"/>
      <c r="K967" s="10" t="str">
        <f aca="false">IF(A967="","",IF(ABS(SUMIFS($E$9:$E$2008,$A$9:$A$2008,A967)-SUMIFS($F$9:$F$2008,$A$9:$A$2008,A967))&lt;0.5,"Yes","No"))</f>
        <v/>
      </c>
      <c r="L967" s="10" t="str">
        <f aca="false">IF(A967="","",IF(IF(K967="No","Does not balance | ","")&amp;IF(I967="","Not approved | ",IF(UPPER(TRIM(H967))=UPPER(TRIM(I967)),"Self-approved | ",""))&amp;IF(J967="","No support | ","")&amp;IF(WEEKDAY(B967,2)&gt;5,"Weekend posting | ","")&amp;IF(COUNTIF(Settings!$A$14:$A$43,B967)&gt;0,"Holiday posting | ","")&amp;IF(B967&gt;Settings!$C$8,"Posted after close | ","")&amp;IF(OR(B967&lt;Settings!$C$6,B967&gt;Settings!$C$7),"Outside period | ","")&amp;IF(COUNTIF(Settings!$E$14:$E$43,C967&amp;"")&gt;0,"Sensitive account | ","")&amp;IF(AND(MAX(N(E967),N(F967))&gt;=Settings!$C$9,MOD(MAX(N(E967),N(F967)),Settings!$C$10)=0),"Round amount | ","")="","",LEFT(IF(K967="No","Does not balance | ","")&amp;IF(I967="","Not approved | ",IF(UPPER(TRIM(H967))=UPPER(TRIM(I967)),"Self-approved | ",""))&amp;IF(J967="","No support | ","")&amp;IF(WEEKDAY(B967,2)&gt;5,"Weekend posting | ","")&amp;IF(COUNTIF(Settings!$A$14:$A$43,B967)&gt;0,"Holiday posting | ","")&amp;IF(B967&gt;Settings!$C$8,"Posted after close | ","")&amp;IF(OR(B967&lt;Settings!$C$6,B967&gt;Settings!$C$7),"Outside period | ","")&amp;IF(COUNTIF(Settings!$E$14:$E$43,C967&amp;"")&gt;0,"Sensitive account | ","")&amp;IF(AND(MAX(N(E967),N(F967))&gt;=Settings!$C$9,MOD(MAX(N(E967),N(F967)),Settings!$C$10)=0),"Round amount | ",""),LEN(IF(K967="No","Does not balance | ","")&amp;IF(I967="","Not approved | ",IF(UPPER(TRIM(H967))=UPPER(TRIM(I967)),"Self-approved | ",""))&amp;IF(J967="","No support | ","")&amp;IF(WEEKDAY(B967,2)&gt;5,"Weekend posting | ","")&amp;IF(COUNTIF(Settings!$A$14:$A$43,B967)&gt;0,"Holiday posting | ","")&amp;IF(B967&gt;Settings!$C$8,"Posted after close | ","")&amp;IF(OR(B967&lt;Settings!$C$6,B967&gt;Settings!$C$7),"Outside period | ","")&amp;IF(COUNTIF(Settings!$E$14:$E$43,C967&amp;"")&gt;0,"Sensitive account | ","")&amp;IF(AND(MAX(N(E967),N(F967))&gt;=Settings!$C$9,MOD(MAX(N(E967),N(F967)),Settings!$C$10)=0),"Round amount | ",""))-3)))</f>
        <v/>
      </c>
      <c r="M967" s="21" t="str">
        <f aca="false">IF(A967="","",IF(COUNTIF($A$9:A967,A967)=1,MAX($M$8:M966)+1,""))</f>
        <v/>
      </c>
    </row>
    <row r="968" customFormat="false" ht="15" hidden="false" customHeight="false" outlineLevel="0" collapsed="false">
      <c r="A968" s="8"/>
      <c r="B968" s="17"/>
      <c r="C968" s="19"/>
      <c r="D968" s="8"/>
      <c r="E968" s="18"/>
      <c r="F968" s="18"/>
      <c r="G968" s="8"/>
      <c r="H968" s="8"/>
      <c r="I968" s="8"/>
      <c r="J968" s="8"/>
      <c r="K968" s="10" t="str">
        <f aca="false">IF(A968="","",IF(ABS(SUMIFS($E$9:$E$2008,$A$9:$A$2008,A968)-SUMIFS($F$9:$F$2008,$A$9:$A$2008,A968))&lt;0.5,"Yes","No"))</f>
        <v/>
      </c>
      <c r="L968" s="10" t="str">
        <f aca="false">IF(A968="","",IF(IF(K968="No","Does not balance | ","")&amp;IF(I968="","Not approved | ",IF(UPPER(TRIM(H968))=UPPER(TRIM(I968)),"Self-approved | ",""))&amp;IF(J968="","No support | ","")&amp;IF(WEEKDAY(B968,2)&gt;5,"Weekend posting | ","")&amp;IF(COUNTIF(Settings!$A$14:$A$43,B968)&gt;0,"Holiday posting | ","")&amp;IF(B968&gt;Settings!$C$8,"Posted after close | ","")&amp;IF(OR(B968&lt;Settings!$C$6,B968&gt;Settings!$C$7),"Outside period | ","")&amp;IF(COUNTIF(Settings!$E$14:$E$43,C968&amp;"")&gt;0,"Sensitive account | ","")&amp;IF(AND(MAX(N(E968),N(F968))&gt;=Settings!$C$9,MOD(MAX(N(E968),N(F968)),Settings!$C$10)=0),"Round amount | ","")="","",LEFT(IF(K968="No","Does not balance | ","")&amp;IF(I968="","Not approved | ",IF(UPPER(TRIM(H968))=UPPER(TRIM(I968)),"Self-approved | ",""))&amp;IF(J968="","No support | ","")&amp;IF(WEEKDAY(B968,2)&gt;5,"Weekend posting | ","")&amp;IF(COUNTIF(Settings!$A$14:$A$43,B968)&gt;0,"Holiday posting | ","")&amp;IF(B968&gt;Settings!$C$8,"Posted after close | ","")&amp;IF(OR(B968&lt;Settings!$C$6,B968&gt;Settings!$C$7),"Outside period | ","")&amp;IF(COUNTIF(Settings!$E$14:$E$43,C968&amp;"")&gt;0,"Sensitive account | ","")&amp;IF(AND(MAX(N(E968),N(F968))&gt;=Settings!$C$9,MOD(MAX(N(E968),N(F968)),Settings!$C$10)=0),"Round amount | ",""),LEN(IF(K968="No","Does not balance | ","")&amp;IF(I968="","Not approved | ",IF(UPPER(TRIM(H968))=UPPER(TRIM(I968)),"Self-approved | ",""))&amp;IF(J968="","No support | ","")&amp;IF(WEEKDAY(B968,2)&gt;5,"Weekend posting | ","")&amp;IF(COUNTIF(Settings!$A$14:$A$43,B968)&gt;0,"Holiday posting | ","")&amp;IF(B968&gt;Settings!$C$8,"Posted after close | ","")&amp;IF(OR(B968&lt;Settings!$C$6,B968&gt;Settings!$C$7),"Outside period | ","")&amp;IF(COUNTIF(Settings!$E$14:$E$43,C968&amp;"")&gt;0,"Sensitive account | ","")&amp;IF(AND(MAX(N(E968),N(F968))&gt;=Settings!$C$9,MOD(MAX(N(E968),N(F968)),Settings!$C$10)=0),"Round amount | ",""))-3)))</f>
        <v/>
      </c>
      <c r="M968" s="21" t="str">
        <f aca="false">IF(A968="","",IF(COUNTIF($A$9:A968,A968)=1,MAX($M$8:M967)+1,""))</f>
        <v/>
      </c>
    </row>
    <row r="969" customFormat="false" ht="15" hidden="false" customHeight="false" outlineLevel="0" collapsed="false">
      <c r="A969" s="8"/>
      <c r="B969" s="17"/>
      <c r="C969" s="19"/>
      <c r="D969" s="8"/>
      <c r="E969" s="18"/>
      <c r="F969" s="18"/>
      <c r="G969" s="8"/>
      <c r="H969" s="8"/>
      <c r="I969" s="8"/>
      <c r="J969" s="8"/>
      <c r="K969" s="10" t="str">
        <f aca="false">IF(A969="","",IF(ABS(SUMIFS($E$9:$E$2008,$A$9:$A$2008,A969)-SUMIFS($F$9:$F$2008,$A$9:$A$2008,A969))&lt;0.5,"Yes","No"))</f>
        <v/>
      </c>
      <c r="L969" s="10" t="str">
        <f aca="false">IF(A969="","",IF(IF(K969="No","Does not balance | ","")&amp;IF(I969="","Not approved | ",IF(UPPER(TRIM(H969))=UPPER(TRIM(I969)),"Self-approved | ",""))&amp;IF(J969="","No support | ","")&amp;IF(WEEKDAY(B969,2)&gt;5,"Weekend posting | ","")&amp;IF(COUNTIF(Settings!$A$14:$A$43,B969)&gt;0,"Holiday posting | ","")&amp;IF(B969&gt;Settings!$C$8,"Posted after close | ","")&amp;IF(OR(B969&lt;Settings!$C$6,B969&gt;Settings!$C$7),"Outside period | ","")&amp;IF(COUNTIF(Settings!$E$14:$E$43,C969&amp;"")&gt;0,"Sensitive account | ","")&amp;IF(AND(MAX(N(E969),N(F969))&gt;=Settings!$C$9,MOD(MAX(N(E969),N(F969)),Settings!$C$10)=0),"Round amount | ","")="","",LEFT(IF(K969="No","Does not balance | ","")&amp;IF(I969="","Not approved | ",IF(UPPER(TRIM(H969))=UPPER(TRIM(I969)),"Self-approved | ",""))&amp;IF(J969="","No support | ","")&amp;IF(WEEKDAY(B969,2)&gt;5,"Weekend posting | ","")&amp;IF(COUNTIF(Settings!$A$14:$A$43,B969)&gt;0,"Holiday posting | ","")&amp;IF(B969&gt;Settings!$C$8,"Posted after close | ","")&amp;IF(OR(B969&lt;Settings!$C$6,B969&gt;Settings!$C$7),"Outside period | ","")&amp;IF(COUNTIF(Settings!$E$14:$E$43,C969&amp;"")&gt;0,"Sensitive account | ","")&amp;IF(AND(MAX(N(E969),N(F969))&gt;=Settings!$C$9,MOD(MAX(N(E969),N(F969)),Settings!$C$10)=0),"Round amount | ",""),LEN(IF(K969="No","Does not balance | ","")&amp;IF(I969="","Not approved | ",IF(UPPER(TRIM(H969))=UPPER(TRIM(I969)),"Self-approved | ",""))&amp;IF(J969="","No support | ","")&amp;IF(WEEKDAY(B969,2)&gt;5,"Weekend posting | ","")&amp;IF(COUNTIF(Settings!$A$14:$A$43,B969)&gt;0,"Holiday posting | ","")&amp;IF(B969&gt;Settings!$C$8,"Posted after close | ","")&amp;IF(OR(B969&lt;Settings!$C$6,B969&gt;Settings!$C$7),"Outside period | ","")&amp;IF(COUNTIF(Settings!$E$14:$E$43,C969&amp;"")&gt;0,"Sensitive account | ","")&amp;IF(AND(MAX(N(E969),N(F969))&gt;=Settings!$C$9,MOD(MAX(N(E969),N(F969)),Settings!$C$10)=0),"Round amount | ",""))-3)))</f>
        <v/>
      </c>
      <c r="M969" s="21" t="str">
        <f aca="false">IF(A969="","",IF(COUNTIF($A$9:A969,A969)=1,MAX($M$8:M968)+1,""))</f>
        <v/>
      </c>
    </row>
    <row r="970" customFormat="false" ht="15" hidden="false" customHeight="false" outlineLevel="0" collapsed="false">
      <c r="A970" s="8"/>
      <c r="B970" s="17"/>
      <c r="C970" s="19"/>
      <c r="D970" s="8"/>
      <c r="E970" s="18"/>
      <c r="F970" s="18"/>
      <c r="G970" s="8"/>
      <c r="H970" s="8"/>
      <c r="I970" s="8"/>
      <c r="J970" s="8"/>
      <c r="K970" s="10" t="str">
        <f aca="false">IF(A970="","",IF(ABS(SUMIFS($E$9:$E$2008,$A$9:$A$2008,A970)-SUMIFS($F$9:$F$2008,$A$9:$A$2008,A970))&lt;0.5,"Yes","No"))</f>
        <v/>
      </c>
      <c r="L970" s="10" t="str">
        <f aca="false">IF(A970="","",IF(IF(K970="No","Does not balance | ","")&amp;IF(I970="","Not approved | ",IF(UPPER(TRIM(H970))=UPPER(TRIM(I970)),"Self-approved | ",""))&amp;IF(J970="","No support | ","")&amp;IF(WEEKDAY(B970,2)&gt;5,"Weekend posting | ","")&amp;IF(COUNTIF(Settings!$A$14:$A$43,B970)&gt;0,"Holiday posting | ","")&amp;IF(B970&gt;Settings!$C$8,"Posted after close | ","")&amp;IF(OR(B970&lt;Settings!$C$6,B970&gt;Settings!$C$7),"Outside period | ","")&amp;IF(COUNTIF(Settings!$E$14:$E$43,C970&amp;"")&gt;0,"Sensitive account | ","")&amp;IF(AND(MAX(N(E970),N(F970))&gt;=Settings!$C$9,MOD(MAX(N(E970),N(F970)),Settings!$C$10)=0),"Round amount | ","")="","",LEFT(IF(K970="No","Does not balance | ","")&amp;IF(I970="","Not approved | ",IF(UPPER(TRIM(H970))=UPPER(TRIM(I970)),"Self-approved | ",""))&amp;IF(J970="","No support | ","")&amp;IF(WEEKDAY(B970,2)&gt;5,"Weekend posting | ","")&amp;IF(COUNTIF(Settings!$A$14:$A$43,B970)&gt;0,"Holiday posting | ","")&amp;IF(B970&gt;Settings!$C$8,"Posted after close | ","")&amp;IF(OR(B970&lt;Settings!$C$6,B970&gt;Settings!$C$7),"Outside period | ","")&amp;IF(COUNTIF(Settings!$E$14:$E$43,C970&amp;"")&gt;0,"Sensitive account | ","")&amp;IF(AND(MAX(N(E970),N(F970))&gt;=Settings!$C$9,MOD(MAX(N(E970),N(F970)),Settings!$C$10)=0),"Round amount | ",""),LEN(IF(K970="No","Does not balance | ","")&amp;IF(I970="","Not approved | ",IF(UPPER(TRIM(H970))=UPPER(TRIM(I970)),"Self-approved | ",""))&amp;IF(J970="","No support | ","")&amp;IF(WEEKDAY(B970,2)&gt;5,"Weekend posting | ","")&amp;IF(COUNTIF(Settings!$A$14:$A$43,B970)&gt;0,"Holiday posting | ","")&amp;IF(B970&gt;Settings!$C$8,"Posted after close | ","")&amp;IF(OR(B970&lt;Settings!$C$6,B970&gt;Settings!$C$7),"Outside period | ","")&amp;IF(COUNTIF(Settings!$E$14:$E$43,C970&amp;"")&gt;0,"Sensitive account | ","")&amp;IF(AND(MAX(N(E970),N(F970))&gt;=Settings!$C$9,MOD(MAX(N(E970),N(F970)),Settings!$C$10)=0),"Round amount | ",""))-3)))</f>
        <v/>
      </c>
      <c r="M970" s="21" t="str">
        <f aca="false">IF(A970="","",IF(COUNTIF($A$9:A970,A970)=1,MAX($M$8:M969)+1,""))</f>
        <v/>
      </c>
    </row>
    <row r="971" customFormat="false" ht="15" hidden="false" customHeight="false" outlineLevel="0" collapsed="false">
      <c r="A971" s="8"/>
      <c r="B971" s="17"/>
      <c r="C971" s="19"/>
      <c r="D971" s="8"/>
      <c r="E971" s="18"/>
      <c r="F971" s="18"/>
      <c r="G971" s="8"/>
      <c r="H971" s="8"/>
      <c r="I971" s="8"/>
      <c r="J971" s="8"/>
      <c r="K971" s="10" t="str">
        <f aca="false">IF(A971="","",IF(ABS(SUMIFS($E$9:$E$2008,$A$9:$A$2008,A971)-SUMIFS($F$9:$F$2008,$A$9:$A$2008,A971))&lt;0.5,"Yes","No"))</f>
        <v/>
      </c>
      <c r="L971" s="10" t="str">
        <f aca="false">IF(A971="","",IF(IF(K971="No","Does not balance | ","")&amp;IF(I971="","Not approved | ",IF(UPPER(TRIM(H971))=UPPER(TRIM(I971)),"Self-approved | ",""))&amp;IF(J971="","No support | ","")&amp;IF(WEEKDAY(B971,2)&gt;5,"Weekend posting | ","")&amp;IF(COUNTIF(Settings!$A$14:$A$43,B971)&gt;0,"Holiday posting | ","")&amp;IF(B971&gt;Settings!$C$8,"Posted after close | ","")&amp;IF(OR(B971&lt;Settings!$C$6,B971&gt;Settings!$C$7),"Outside period | ","")&amp;IF(COUNTIF(Settings!$E$14:$E$43,C971&amp;"")&gt;0,"Sensitive account | ","")&amp;IF(AND(MAX(N(E971),N(F971))&gt;=Settings!$C$9,MOD(MAX(N(E971),N(F971)),Settings!$C$10)=0),"Round amount | ","")="","",LEFT(IF(K971="No","Does not balance | ","")&amp;IF(I971="","Not approved | ",IF(UPPER(TRIM(H971))=UPPER(TRIM(I971)),"Self-approved | ",""))&amp;IF(J971="","No support | ","")&amp;IF(WEEKDAY(B971,2)&gt;5,"Weekend posting | ","")&amp;IF(COUNTIF(Settings!$A$14:$A$43,B971)&gt;0,"Holiday posting | ","")&amp;IF(B971&gt;Settings!$C$8,"Posted after close | ","")&amp;IF(OR(B971&lt;Settings!$C$6,B971&gt;Settings!$C$7),"Outside period | ","")&amp;IF(COUNTIF(Settings!$E$14:$E$43,C971&amp;"")&gt;0,"Sensitive account | ","")&amp;IF(AND(MAX(N(E971),N(F971))&gt;=Settings!$C$9,MOD(MAX(N(E971),N(F971)),Settings!$C$10)=0),"Round amount | ",""),LEN(IF(K971="No","Does not balance | ","")&amp;IF(I971="","Not approved | ",IF(UPPER(TRIM(H971))=UPPER(TRIM(I971)),"Self-approved | ",""))&amp;IF(J971="","No support | ","")&amp;IF(WEEKDAY(B971,2)&gt;5,"Weekend posting | ","")&amp;IF(COUNTIF(Settings!$A$14:$A$43,B971)&gt;0,"Holiday posting | ","")&amp;IF(B971&gt;Settings!$C$8,"Posted after close | ","")&amp;IF(OR(B971&lt;Settings!$C$6,B971&gt;Settings!$C$7),"Outside period | ","")&amp;IF(COUNTIF(Settings!$E$14:$E$43,C971&amp;"")&gt;0,"Sensitive account | ","")&amp;IF(AND(MAX(N(E971),N(F971))&gt;=Settings!$C$9,MOD(MAX(N(E971),N(F971)),Settings!$C$10)=0),"Round amount | ",""))-3)))</f>
        <v/>
      </c>
      <c r="M971" s="21" t="str">
        <f aca="false">IF(A971="","",IF(COUNTIF($A$9:A971,A971)=1,MAX($M$8:M970)+1,""))</f>
        <v/>
      </c>
    </row>
    <row r="972" customFormat="false" ht="15" hidden="false" customHeight="false" outlineLevel="0" collapsed="false">
      <c r="A972" s="8"/>
      <c r="B972" s="17"/>
      <c r="C972" s="19"/>
      <c r="D972" s="8"/>
      <c r="E972" s="18"/>
      <c r="F972" s="18"/>
      <c r="G972" s="8"/>
      <c r="H972" s="8"/>
      <c r="I972" s="8"/>
      <c r="J972" s="8"/>
      <c r="K972" s="10" t="str">
        <f aca="false">IF(A972="","",IF(ABS(SUMIFS($E$9:$E$2008,$A$9:$A$2008,A972)-SUMIFS($F$9:$F$2008,$A$9:$A$2008,A972))&lt;0.5,"Yes","No"))</f>
        <v/>
      </c>
      <c r="L972" s="10" t="str">
        <f aca="false">IF(A972="","",IF(IF(K972="No","Does not balance | ","")&amp;IF(I972="","Not approved | ",IF(UPPER(TRIM(H972))=UPPER(TRIM(I972)),"Self-approved | ",""))&amp;IF(J972="","No support | ","")&amp;IF(WEEKDAY(B972,2)&gt;5,"Weekend posting | ","")&amp;IF(COUNTIF(Settings!$A$14:$A$43,B972)&gt;0,"Holiday posting | ","")&amp;IF(B972&gt;Settings!$C$8,"Posted after close | ","")&amp;IF(OR(B972&lt;Settings!$C$6,B972&gt;Settings!$C$7),"Outside period | ","")&amp;IF(COUNTIF(Settings!$E$14:$E$43,C972&amp;"")&gt;0,"Sensitive account | ","")&amp;IF(AND(MAX(N(E972),N(F972))&gt;=Settings!$C$9,MOD(MAX(N(E972),N(F972)),Settings!$C$10)=0),"Round amount | ","")="","",LEFT(IF(K972="No","Does not balance | ","")&amp;IF(I972="","Not approved | ",IF(UPPER(TRIM(H972))=UPPER(TRIM(I972)),"Self-approved | ",""))&amp;IF(J972="","No support | ","")&amp;IF(WEEKDAY(B972,2)&gt;5,"Weekend posting | ","")&amp;IF(COUNTIF(Settings!$A$14:$A$43,B972)&gt;0,"Holiday posting | ","")&amp;IF(B972&gt;Settings!$C$8,"Posted after close | ","")&amp;IF(OR(B972&lt;Settings!$C$6,B972&gt;Settings!$C$7),"Outside period | ","")&amp;IF(COUNTIF(Settings!$E$14:$E$43,C972&amp;"")&gt;0,"Sensitive account | ","")&amp;IF(AND(MAX(N(E972),N(F972))&gt;=Settings!$C$9,MOD(MAX(N(E972),N(F972)),Settings!$C$10)=0),"Round amount | ",""),LEN(IF(K972="No","Does not balance | ","")&amp;IF(I972="","Not approved | ",IF(UPPER(TRIM(H972))=UPPER(TRIM(I972)),"Self-approved | ",""))&amp;IF(J972="","No support | ","")&amp;IF(WEEKDAY(B972,2)&gt;5,"Weekend posting | ","")&amp;IF(COUNTIF(Settings!$A$14:$A$43,B972)&gt;0,"Holiday posting | ","")&amp;IF(B972&gt;Settings!$C$8,"Posted after close | ","")&amp;IF(OR(B972&lt;Settings!$C$6,B972&gt;Settings!$C$7),"Outside period | ","")&amp;IF(COUNTIF(Settings!$E$14:$E$43,C972&amp;"")&gt;0,"Sensitive account | ","")&amp;IF(AND(MAX(N(E972),N(F972))&gt;=Settings!$C$9,MOD(MAX(N(E972),N(F972)),Settings!$C$10)=0),"Round amount | ",""))-3)))</f>
        <v/>
      </c>
      <c r="M972" s="21" t="str">
        <f aca="false">IF(A972="","",IF(COUNTIF($A$9:A972,A972)=1,MAX($M$8:M971)+1,""))</f>
        <v/>
      </c>
    </row>
    <row r="973" customFormat="false" ht="15" hidden="false" customHeight="false" outlineLevel="0" collapsed="false">
      <c r="A973" s="8"/>
      <c r="B973" s="17"/>
      <c r="C973" s="19"/>
      <c r="D973" s="8"/>
      <c r="E973" s="18"/>
      <c r="F973" s="18"/>
      <c r="G973" s="8"/>
      <c r="H973" s="8"/>
      <c r="I973" s="8"/>
      <c r="J973" s="8"/>
      <c r="K973" s="10" t="str">
        <f aca="false">IF(A973="","",IF(ABS(SUMIFS($E$9:$E$2008,$A$9:$A$2008,A973)-SUMIFS($F$9:$F$2008,$A$9:$A$2008,A973))&lt;0.5,"Yes","No"))</f>
        <v/>
      </c>
      <c r="L973" s="10" t="str">
        <f aca="false">IF(A973="","",IF(IF(K973="No","Does not balance | ","")&amp;IF(I973="","Not approved | ",IF(UPPER(TRIM(H973))=UPPER(TRIM(I973)),"Self-approved | ",""))&amp;IF(J973="","No support | ","")&amp;IF(WEEKDAY(B973,2)&gt;5,"Weekend posting | ","")&amp;IF(COUNTIF(Settings!$A$14:$A$43,B973)&gt;0,"Holiday posting | ","")&amp;IF(B973&gt;Settings!$C$8,"Posted after close | ","")&amp;IF(OR(B973&lt;Settings!$C$6,B973&gt;Settings!$C$7),"Outside period | ","")&amp;IF(COUNTIF(Settings!$E$14:$E$43,C973&amp;"")&gt;0,"Sensitive account | ","")&amp;IF(AND(MAX(N(E973),N(F973))&gt;=Settings!$C$9,MOD(MAX(N(E973),N(F973)),Settings!$C$10)=0),"Round amount | ","")="","",LEFT(IF(K973="No","Does not balance | ","")&amp;IF(I973="","Not approved | ",IF(UPPER(TRIM(H973))=UPPER(TRIM(I973)),"Self-approved | ",""))&amp;IF(J973="","No support | ","")&amp;IF(WEEKDAY(B973,2)&gt;5,"Weekend posting | ","")&amp;IF(COUNTIF(Settings!$A$14:$A$43,B973)&gt;0,"Holiday posting | ","")&amp;IF(B973&gt;Settings!$C$8,"Posted after close | ","")&amp;IF(OR(B973&lt;Settings!$C$6,B973&gt;Settings!$C$7),"Outside period | ","")&amp;IF(COUNTIF(Settings!$E$14:$E$43,C973&amp;"")&gt;0,"Sensitive account | ","")&amp;IF(AND(MAX(N(E973),N(F973))&gt;=Settings!$C$9,MOD(MAX(N(E973),N(F973)),Settings!$C$10)=0),"Round amount | ",""),LEN(IF(K973="No","Does not balance | ","")&amp;IF(I973="","Not approved | ",IF(UPPER(TRIM(H973))=UPPER(TRIM(I973)),"Self-approved | ",""))&amp;IF(J973="","No support | ","")&amp;IF(WEEKDAY(B973,2)&gt;5,"Weekend posting | ","")&amp;IF(COUNTIF(Settings!$A$14:$A$43,B973)&gt;0,"Holiday posting | ","")&amp;IF(B973&gt;Settings!$C$8,"Posted after close | ","")&amp;IF(OR(B973&lt;Settings!$C$6,B973&gt;Settings!$C$7),"Outside period | ","")&amp;IF(COUNTIF(Settings!$E$14:$E$43,C973&amp;"")&gt;0,"Sensitive account | ","")&amp;IF(AND(MAX(N(E973),N(F973))&gt;=Settings!$C$9,MOD(MAX(N(E973),N(F973)),Settings!$C$10)=0),"Round amount | ",""))-3)))</f>
        <v/>
      </c>
      <c r="M973" s="21" t="str">
        <f aca="false">IF(A973="","",IF(COUNTIF($A$9:A973,A973)=1,MAX($M$8:M972)+1,""))</f>
        <v/>
      </c>
    </row>
    <row r="974" customFormat="false" ht="15" hidden="false" customHeight="false" outlineLevel="0" collapsed="false">
      <c r="A974" s="8"/>
      <c r="B974" s="17"/>
      <c r="C974" s="19"/>
      <c r="D974" s="8"/>
      <c r="E974" s="18"/>
      <c r="F974" s="18"/>
      <c r="G974" s="8"/>
      <c r="H974" s="8"/>
      <c r="I974" s="8"/>
      <c r="J974" s="8"/>
      <c r="K974" s="10" t="str">
        <f aca="false">IF(A974="","",IF(ABS(SUMIFS($E$9:$E$2008,$A$9:$A$2008,A974)-SUMIFS($F$9:$F$2008,$A$9:$A$2008,A974))&lt;0.5,"Yes","No"))</f>
        <v/>
      </c>
      <c r="L974" s="10" t="str">
        <f aca="false">IF(A974="","",IF(IF(K974="No","Does not balance | ","")&amp;IF(I974="","Not approved | ",IF(UPPER(TRIM(H974))=UPPER(TRIM(I974)),"Self-approved | ",""))&amp;IF(J974="","No support | ","")&amp;IF(WEEKDAY(B974,2)&gt;5,"Weekend posting | ","")&amp;IF(COUNTIF(Settings!$A$14:$A$43,B974)&gt;0,"Holiday posting | ","")&amp;IF(B974&gt;Settings!$C$8,"Posted after close | ","")&amp;IF(OR(B974&lt;Settings!$C$6,B974&gt;Settings!$C$7),"Outside period | ","")&amp;IF(COUNTIF(Settings!$E$14:$E$43,C974&amp;"")&gt;0,"Sensitive account | ","")&amp;IF(AND(MAX(N(E974),N(F974))&gt;=Settings!$C$9,MOD(MAX(N(E974),N(F974)),Settings!$C$10)=0),"Round amount | ","")="","",LEFT(IF(K974="No","Does not balance | ","")&amp;IF(I974="","Not approved | ",IF(UPPER(TRIM(H974))=UPPER(TRIM(I974)),"Self-approved | ",""))&amp;IF(J974="","No support | ","")&amp;IF(WEEKDAY(B974,2)&gt;5,"Weekend posting | ","")&amp;IF(COUNTIF(Settings!$A$14:$A$43,B974)&gt;0,"Holiday posting | ","")&amp;IF(B974&gt;Settings!$C$8,"Posted after close | ","")&amp;IF(OR(B974&lt;Settings!$C$6,B974&gt;Settings!$C$7),"Outside period | ","")&amp;IF(COUNTIF(Settings!$E$14:$E$43,C974&amp;"")&gt;0,"Sensitive account | ","")&amp;IF(AND(MAX(N(E974),N(F974))&gt;=Settings!$C$9,MOD(MAX(N(E974),N(F974)),Settings!$C$10)=0),"Round amount | ",""),LEN(IF(K974="No","Does not balance | ","")&amp;IF(I974="","Not approved | ",IF(UPPER(TRIM(H974))=UPPER(TRIM(I974)),"Self-approved | ",""))&amp;IF(J974="","No support | ","")&amp;IF(WEEKDAY(B974,2)&gt;5,"Weekend posting | ","")&amp;IF(COUNTIF(Settings!$A$14:$A$43,B974)&gt;0,"Holiday posting | ","")&amp;IF(B974&gt;Settings!$C$8,"Posted after close | ","")&amp;IF(OR(B974&lt;Settings!$C$6,B974&gt;Settings!$C$7),"Outside period | ","")&amp;IF(COUNTIF(Settings!$E$14:$E$43,C974&amp;"")&gt;0,"Sensitive account | ","")&amp;IF(AND(MAX(N(E974),N(F974))&gt;=Settings!$C$9,MOD(MAX(N(E974),N(F974)),Settings!$C$10)=0),"Round amount | ",""))-3)))</f>
        <v/>
      </c>
      <c r="M974" s="21" t="str">
        <f aca="false">IF(A974="","",IF(COUNTIF($A$9:A974,A974)=1,MAX($M$8:M973)+1,""))</f>
        <v/>
      </c>
    </row>
    <row r="975" customFormat="false" ht="15" hidden="false" customHeight="false" outlineLevel="0" collapsed="false">
      <c r="A975" s="8"/>
      <c r="B975" s="17"/>
      <c r="C975" s="19"/>
      <c r="D975" s="8"/>
      <c r="E975" s="18"/>
      <c r="F975" s="18"/>
      <c r="G975" s="8"/>
      <c r="H975" s="8"/>
      <c r="I975" s="8"/>
      <c r="J975" s="8"/>
      <c r="K975" s="10" t="str">
        <f aca="false">IF(A975="","",IF(ABS(SUMIFS($E$9:$E$2008,$A$9:$A$2008,A975)-SUMIFS($F$9:$F$2008,$A$9:$A$2008,A975))&lt;0.5,"Yes","No"))</f>
        <v/>
      </c>
      <c r="L975" s="10" t="str">
        <f aca="false">IF(A975="","",IF(IF(K975="No","Does not balance | ","")&amp;IF(I975="","Not approved | ",IF(UPPER(TRIM(H975))=UPPER(TRIM(I975)),"Self-approved | ",""))&amp;IF(J975="","No support | ","")&amp;IF(WEEKDAY(B975,2)&gt;5,"Weekend posting | ","")&amp;IF(COUNTIF(Settings!$A$14:$A$43,B975)&gt;0,"Holiday posting | ","")&amp;IF(B975&gt;Settings!$C$8,"Posted after close | ","")&amp;IF(OR(B975&lt;Settings!$C$6,B975&gt;Settings!$C$7),"Outside period | ","")&amp;IF(COUNTIF(Settings!$E$14:$E$43,C975&amp;"")&gt;0,"Sensitive account | ","")&amp;IF(AND(MAX(N(E975),N(F975))&gt;=Settings!$C$9,MOD(MAX(N(E975),N(F975)),Settings!$C$10)=0),"Round amount | ","")="","",LEFT(IF(K975="No","Does not balance | ","")&amp;IF(I975="","Not approved | ",IF(UPPER(TRIM(H975))=UPPER(TRIM(I975)),"Self-approved | ",""))&amp;IF(J975="","No support | ","")&amp;IF(WEEKDAY(B975,2)&gt;5,"Weekend posting | ","")&amp;IF(COUNTIF(Settings!$A$14:$A$43,B975)&gt;0,"Holiday posting | ","")&amp;IF(B975&gt;Settings!$C$8,"Posted after close | ","")&amp;IF(OR(B975&lt;Settings!$C$6,B975&gt;Settings!$C$7),"Outside period | ","")&amp;IF(COUNTIF(Settings!$E$14:$E$43,C975&amp;"")&gt;0,"Sensitive account | ","")&amp;IF(AND(MAX(N(E975),N(F975))&gt;=Settings!$C$9,MOD(MAX(N(E975),N(F975)),Settings!$C$10)=0),"Round amount | ",""),LEN(IF(K975="No","Does not balance | ","")&amp;IF(I975="","Not approved | ",IF(UPPER(TRIM(H975))=UPPER(TRIM(I975)),"Self-approved | ",""))&amp;IF(J975="","No support | ","")&amp;IF(WEEKDAY(B975,2)&gt;5,"Weekend posting | ","")&amp;IF(COUNTIF(Settings!$A$14:$A$43,B975)&gt;0,"Holiday posting | ","")&amp;IF(B975&gt;Settings!$C$8,"Posted after close | ","")&amp;IF(OR(B975&lt;Settings!$C$6,B975&gt;Settings!$C$7),"Outside period | ","")&amp;IF(COUNTIF(Settings!$E$14:$E$43,C975&amp;"")&gt;0,"Sensitive account | ","")&amp;IF(AND(MAX(N(E975),N(F975))&gt;=Settings!$C$9,MOD(MAX(N(E975),N(F975)),Settings!$C$10)=0),"Round amount | ",""))-3)))</f>
        <v/>
      </c>
      <c r="M975" s="21" t="str">
        <f aca="false">IF(A975="","",IF(COUNTIF($A$9:A975,A975)=1,MAX($M$8:M974)+1,""))</f>
        <v/>
      </c>
    </row>
    <row r="976" customFormat="false" ht="15" hidden="false" customHeight="false" outlineLevel="0" collapsed="false">
      <c r="A976" s="8"/>
      <c r="B976" s="17"/>
      <c r="C976" s="19"/>
      <c r="D976" s="8"/>
      <c r="E976" s="18"/>
      <c r="F976" s="18"/>
      <c r="G976" s="8"/>
      <c r="H976" s="8"/>
      <c r="I976" s="8"/>
      <c r="J976" s="8"/>
      <c r="K976" s="10" t="str">
        <f aca="false">IF(A976="","",IF(ABS(SUMIFS($E$9:$E$2008,$A$9:$A$2008,A976)-SUMIFS($F$9:$F$2008,$A$9:$A$2008,A976))&lt;0.5,"Yes","No"))</f>
        <v/>
      </c>
      <c r="L976" s="10" t="str">
        <f aca="false">IF(A976="","",IF(IF(K976="No","Does not balance | ","")&amp;IF(I976="","Not approved | ",IF(UPPER(TRIM(H976))=UPPER(TRIM(I976)),"Self-approved | ",""))&amp;IF(J976="","No support | ","")&amp;IF(WEEKDAY(B976,2)&gt;5,"Weekend posting | ","")&amp;IF(COUNTIF(Settings!$A$14:$A$43,B976)&gt;0,"Holiday posting | ","")&amp;IF(B976&gt;Settings!$C$8,"Posted after close | ","")&amp;IF(OR(B976&lt;Settings!$C$6,B976&gt;Settings!$C$7),"Outside period | ","")&amp;IF(COUNTIF(Settings!$E$14:$E$43,C976&amp;"")&gt;0,"Sensitive account | ","")&amp;IF(AND(MAX(N(E976),N(F976))&gt;=Settings!$C$9,MOD(MAX(N(E976),N(F976)),Settings!$C$10)=0),"Round amount | ","")="","",LEFT(IF(K976="No","Does not balance | ","")&amp;IF(I976="","Not approved | ",IF(UPPER(TRIM(H976))=UPPER(TRIM(I976)),"Self-approved | ",""))&amp;IF(J976="","No support | ","")&amp;IF(WEEKDAY(B976,2)&gt;5,"Weekend posting | ","")&amp;IF(COUNTIF(Settings!$A$14:$A$43,B976)&gt;0,"Holiday posting | ","")&amp;IF(B976&gt;Settings!$C$8,"Posted after close | ","")&amp;IF(OR(B976&lt;Settings!$C$6,B976&gt;Settings!$C$7),"Outside period | ","")&amp;IF(COUNTIF(Settings!$E$14:$E$43,C976&amp;"")&gt;0,"Sensitive account | ","")&amp;IF(AND(MAX(N(E976),N(F976))&gt;=Settings!$C$9,MOD(MAX(N(E976),N(F976)),Settings!$C$10)=0),"Round amount | ",""),LEN(IF(K976="No","Does not balance | ","")&amp;IF(I976="","Not approved | ",IF(UPPER(TRIM(H976))=UPPER(TRIM(I976)),"Self-approved | ",""))&amp;IF(J976="","No support | ","")&amp;IF(WEEKDAY(B976,2)&gt;5,"Weekend posting | ","")&amp;IF(COUNTIF(Settings!$A$14:$A$43,B976)&gt;0,"Holiday posting | ","")&amp;IF(B976&gt;Settings!$C$8,"Posted after close | ","")&amp;IF(OR(B976&lt;Settings!$C$6,B976&gt;Settings!$C$7),"Outside period | ","")&amp;IF(COUNTIF(Settings!$E$14:$E$43,C976&amp;"")&gt;0,"Sensitive account | ","")&amp;IF(AND(MAX(N(E976),N(F976))&gt;=Settings!$C$9,MOD(MAX(N(E976),N(F976)),Settings!$C$10)=0),"Round amount | ",""))-3)))</f>
        <v/>
      </c>
      <c r="M976" s="21" t="str">
        <f aca="false">IF(A976="","",IF(COUNTIF($A$9:A976,A976)=1,MAX($M$8:M975)+1,""))</f>
        <v/>
      </c>
    </row>
    <row r="977" customFormat="false" ht="15" hidden="false" customHeight="false" outlineLevel="0" collapsed="false">
      <c r="A977" s="8"/>
      <c r="B977" s="17"/>
      <c r="C977" s="19"/>
      <c r="D977" s="8"/>
      <c r="E977" s="18"/>
      <c r="F977" s="18"/>
      <c r="G977" s="8"/>
      <c r="H977" s="8"/>
      <c r="I977" s="8"/>
      <c r="J977" s="8"/>
      <c r="K977" s="10" t="str">
        <f aca="false">IF(A977="","",IF(ABS(SUMIFS($E$9:$E$2008,$A$9:$A$2008,A977)-SUMIFS($F$9:$F$2008,$A$9:$A$2008,A977))&lt;0.5,"Yes","No"))</f>
        <v/>
      </c>
      <c r="L977" s="10" t="str">
        <f aca="false">IF(A977="","",IF(IF(K977="No","Does not balance | ","")&amp;IF(I977="","Not approved | ",IF(UPPER(TRIM(H977))=UPPER(TRIM(I977)),"Self-approved | ",""))&amp;IF(J977="","No support | ","")&amp;IF(WEEKDAY(B977,2)&gt;5,"Weekend posting | ","")&amp;IF(COUNTIF(Settings!$A$14:$A$43,B977)&gt;0,"Holiday posting | ","")&amp;IF(B977&gt;Settings!$C$8,"Posted after close | ","")&amp;IF(OR(B977&lt;Settings!$C$6,B977&gt;Settings!$C$7),"Outside period | ","")&amp;IF(COUNTIF(Settings!$E$14:$E$43,C977&amp;"")&gt;0,"Sensitive account | ","")&amp;IF(AND(MAX(N(E977),N(F977))&gt;=Settings!$C$9,MOD(MAX(N(E977),N(F977)),Settings!$C$10)=0),"Round amount | ","")="","",LEFT(IF(K977="No","Does not balance | ","")&amp;IF(I977="","Not approved | ",IF(UPPER(TRIM(H977))=UPPER(TRIM(I977)),"Self-approved | ",""))&amp;IF(J977="","No support | ","")&amp;IF(WEEKDAY(B977,2)&gt;5,"Weekend posting | ","")&amp;IF(COUNTIF(Settings!$A$14:$A$43,B977)&gt;0,"Holiday posting | ","")&amp;IF(B977&gt;Settings!$C$8,"Posted after close | ","")&amp;IF(OR(B977&lt;Settings!$C$6,B977&gt;Settings!$C$7),"Outside period | ","")&amp;IF(COUNTIF(Settings!$E$14:$E$43,C977&amp;"")&gt;0,"Sensitive account | ","")&amp;IF(AND(MAX(N(E977),N(F977))&gt;=Settings!$C$9,MOD(MAX(N(E977),N(F977)),Settings!$C$10)=0),"Round amount | ",""),LEN(IF(K977="No","Does not balance | ","")&amp;IF(I977="","Not approved | ",IF(UPPER(TRIM(H977))=UPPER(TRIM(I977)),"Self-approved | ",""))&amp;IF(J977="","No support | ","")&amp;IF(WEEKDAY(B977,2)&gt;5,"Weekend posting | ","")&amp;IF(COUNTIF(Settings!$A$14:$A$43,B977)&gt;0,"Holiday posting | ","")&amp;IF(B977&gt;Settings!$C$8,"Posted after close | ","")&amp;IF(OR(B977&lt;Settings!$C$6,B977&gt;Settings!$C$7),"Outside period | ","")&amp;IF(COUNTIF(Settings!$E$14:$E$43,C977&amp;"")&gt;0,"Sensitive account | ","")&amp;IF(AND(MAX(N(E977),N(F977))&gt;=Settings!$C$9,MOD(MAX(N(E977),N(F977)),Settings!$C$10)=0),"Round amount | ",""))-3)))</f>
        <v/>
      </c>
      <c r="M977" s="21" t="str">
        <f aca="false">IF(A977="","",IF(COUNTIF($A$9:A977,A977)=1,MAX($M$8:M976)+1,""))</f>
        <v/>
      </c>
    </row>
    <row r="978" customFormat="false" ht="15" hidden="false" customHeight="false" outlineLevel="0" collapsed="false">
      <c r="A978" s="8"/>
      <c r="B978" s="17"/>
      <c r="C978" s="19"/>
      <c r="D978" s="8"/>
      <c r="E978" s="18"/>
      <c r="F978" s="18"/>
      <c r="G978" s="8"/>
      <c r="H978" s="8"/>
      <c r="I978" s="8"/>
      <c r="J978" s="8"/>
      <c r="K978" s="10" t="str">
        <f aca="false">IF(A978="","",IF(ABS(SUMIFS($E$9:$E$2008,$A$9:$A$2008,A978)-SUMIFS($F$9:$F$2008,$A$9:$A$2008,A978))&lt;0.5,"Yes","No"))</f>
        <v/>
      </c>
      <c r="L978" s="10" t="str">
        <f aca="false">IF(A978="","",IF(IF(K978="No","Does not balance | ","")&amp;IF(I978="","Not approved | ",IF(UPPER(TRIM(H978))=UPPER(TRIM(I978)),"Self-approved | ",""))&amp;IF(J978="","No support | ","")&amp;IF(WEEKDAY(B978,2)&gt;5,"Weekend posting | ","")&amp;IF(COUNTIF(Settings!$A$14:$A$43,B978)&gt;0,"Holiday posting | ","")&amp;IF(B978&gt;Settings!$C$8,"Posted after close | ","")&amp;IF(OR(B978&lt;Settings!$C$6,B978&gt;Settings!$C$7),"Outside period | ","")&amp;IF(COUNTIF(Settings!$E$14:$E$43,C978&amp;"")&gt;0,"Sensitive account | ","")&amp;IF(AND(MAX(N(E978),N(F978))&gt;=Settings!$C$9,MOD(MAX(N(E978),N(F978)),Settings!$C$10)=0),"Round amount | ","")="","",LEFT(IF(K978="No","Does not balance | ","")&amp;IF(I978="","Not approved | ",IF(UPPER(TRIM(H978))=UPPER(TRIM(I978)),"Self-approved | ",""))&amp;IF(J978="","No support | ","")&amp;IF(WEEKDAY(B978,2)&gt;5,"Weekend posting | ","")&amp;IF(COUNTIF(Settings!$A$14:$A$43,B978)&gt;0,"Holiday posting | ","")&amp;IF(B978&gt;Settings!$C$8,"Posted after close | ","")&amp;IF(OR(B978&lt;Settings!$C$6,B978&gt;Settings!$C$7),"Outside period | ","")&amp;IF(COUNTIF(Settings!$E$14:$E$43,C978&amp;"")&gt;0,"Sensitive account | ","")&amp;IF(AND(MAX(N(E978),N(F978))&gt;=Settings!$C$9,MOD(MAX(N(E978),N(F978)),Settings!$C$10)=0),"Round amount | ",""),LEN(IF(K978="No","Does not balance | ","")&amp;IF(I978="","Not approved | ",IF(UPPER(TRIM(H978))=UPPER(TRIM(I978)),"Self-approved | ",""))&amp;IF(J978="","No support | ","")&amp;IF(WEEKDAY(B978,2)&gt;5,"Weekend posting | ","")&amp;IF(COUNTIF(Settings!$A$14:$A$43,B978)&gt;0,"Holiday posting | ","")&amp;IF(B978&gt;Settings!$C$8,"Posted after close | ","")&amp;IF(OR(B978&lt;Settings!$C$6,B978&gt;Settings!$C$7),"Outside period | ","")&amp;IF(COUNTIF(Settings!$E$14:$E$43,C978&amp;"")&gt;0,"Sensitive account | ","")&amp;IF(AND(MAX(N(E978),N(F978))&gt;=Settings!$C$9,MOD(MAX(N(E978),N(F978)),Settings!$C$10)=0),"Round amount | ",""))-3)))</f>
        <v/>
      </c>
      <c r="M978" s="21" t="str">
        <f aca="false">IF(A978="","",IF(COUNTIF($A$9:A978,A978)=1,MAX($M$8:M977)+1,""))</f>
        <v/>
      </c>
    </row>
    <row r="979" customFormat="false" ht="15" hidden="false" customHeight="false" outlineLevel="0" collapsed="false">
      <c r="A979" s="8"/>
      <c r="B979" s="17"/>
      <c r="C979" s="19"/>
      <c r="D979" s="8"/>
      <c r="E979" s="18"/>
      <c r="F979" s="18"/>
      <c r="G979" s="8"/>
      <c r="H979" s="8"/>
      <c r="I979" s="8"/>
      <c r="J979" s="8"/>
      <c r="K979" s="10" t="str">
        <f aca="false">IF(A979="","",IF(ABS(SUMIFS($E$9:$E$2008,$A$9:$A$2008,A979)-SUMIFS($F$9:$F$2008,$A$9:$A$2008,A979))&lt;0.5,"Yes","No"))</f>
        <v/>
      </c>
      <c r="L979" s="10" t="str">
        <f aca="false">IF(A979="","",IF(IF(K979="No","Does not balance | ","")&amp;IF(I979="","Not approved | ",IF(UPPER(TRIM(H979))=UPPER(TRIM(I979)),"Self-approved | ",""))&amp;IF(J979="","No support | ","")&amp;IF(WEEKDAY(B979,2)&gt;5,"Weekend posting | ","")&amp;IF(COUNTIF(Settings!$A$14:$A$43,B979)&gt;0,"Holiday posting | ","")&amp;IF(B979&gt;Settings!$C$8,"Posted after close | ","")&amp;IF(OR(B979&lt;Settings!$C$6,B979&gt;Settings!$C$7),"Outside period | ","")&amp;IF(COUNTIF(Settings!$E$14:$E$43,C979&amp;"")&gt;0,"Sensitive account | ","")&amp;IF(AND(MAX(N(E979),N(F979))&gt;=Settings!$C$9,MOD(MAX(N(E979),N(F979)),Settings!$C$10)=0),"Round amount | ","")="","",LEFT(IF(K979="No","Does not balance | ","")&amp;IF(I979="","Not approved | ",IF(UPPER(TRIM(H979))=UPPER(TRIM(I979)),"Self-approved | ",""))&amp;IF(J979="","No support | ","")&amp;IF(WEEKDAY(B979,2)&gt;5,"Weekend posting | ","")&amp;IF(COUNTIF(Settings!$A$14:$A$43,B979)&gt;0,"Holiday posting | ","")&amp;IF(B979&gt;Settings!$C$8,"Posted after close | ","")&amp;IF(OR(B979&lt;Settings!$C$6,B979&gt;Settings!$C$7),"Outside period | ","")&amp;IF(COUNTIF(Settings!$E$14:$E$43,C979&amp;"")&gt;0,"Sensitive account | ","")&amp;IF(AND(MAX(N(E979),N(F979))&gt;=Settings!$C$9,MOD(MAX(N(E979),N(F979)),Settings!$C$10)=0),"Round amount | ",""),LEN(IF(K979="No","Does not balance | ","")&amp;IF(I979="","Not approved | ",IF(UPPER(TRIM(H979))=UPPER(TRIM(I979)),"Self-approved | ",""))&amp;IF(J979="","No support | ","")&amp;IF(WEEKDAY(B979,2)&gt;5,"Weekend posting | ","")&amp;IF(COUNTIF(Settings!$A$14:$A$43,B979)&gt;0,"Holiday posting | ","")&amp;IF(B979&gt;Settings!$C$8,"Posted after close | ","")&amp;IF(OR(B979&lt;Settings!$C$6,B979&gt;Settings!$C$7),"Outside period | ","")&amp;IF(COUNTIF(Settings!$E$14:$E$43,C979&amp;"")&gt;0,"Sensitive account | ","")&amp;IF(AND(MAX(N(E979),N(F979))&gt;=Settings!$C$9,MOD(MAX(N(E979),N(F979)),Settings!$C$10)=0),"Round amount | ",""))-3)))</f>
        <v/>
      </c>
      <c r="M979" s="21" t="str">
        <f aca="false">IF(A979="","",IF(COUNTIF($A$9:A979,A979)=1,MAX($M$8:M978)+1,""))</f>
        <v/>
      </c>
    </row>
    <row r="980" customFormat="false" ht="15" hidden="false" customHeight="false" outlineLevel="0" collapsed="false">
      <c r="A980" s="8"/>
      <c r="B980" s="17"/>
      <c r="C980" s="19"/>
      <c r="D980" s="8"/>
      <c r="E980" s="18"/>
      <c r="F980" s="18"/>
      <c r="G980" s="8"/>
      <c r="H980" s="8"/>
      <c r="I980" s="8"/>
      <c r="J980" s="8"/>
      <c r="K980" s="10" t="str">
        <f aca="false">IF(A980="","",IF(ABS(SUMIFS($E$9:$E$2008,$A$9:$A$2008,A980)-SUMIFS($F$9:$F$2008,$A$9:$A$2008,A980))&lt;0.5,"Yes","No"))</f>
        <v/>
      </c>
      <c r="L980" s="10" t="str">
        <f aca="false">IF(A980="","",IF(IF(K980="No","Does not balance | ","")&amp;IF(I980="","Not approved | ",IF(UPPER(TRIM(H980))=UPPER(TRIM(I980)),"Self-approved | ",""))&amp;IF(J980="","No support | ","")&amp;IF(WEEKDAY(B980,2)&gt;5,"Weekend posting | ","")&amp;IF(COUNTIF(Settings!$A$14:$A$43,B980)&gt;0,"Holiday posting | ","")&amp;IF(B980&gt;Settings!$C$8,"Posted after close | ","")&amp;IF(OR(B980&lt;Settings!$C$6,B980&gt;Settings!$C$7),"Outside period | ","")&amp;IF(COUNTIF(Settings!$E$14:$E$43,C980&amp;"")&gt;0,"Sensitive account | ","")&amp;IF(AND(MAX(N(E980),N(F980))&gt;=Settings!$C$9,MOD(MAX(N(E980),N(F980)),Settings!$C$10)=0),"Round amount | ","")="","",LEFT(IF(K980="No","Does not balance | ","")&amp;IF(I980="","Not approved | ",IF(UPPER(TRIM(H980))=UPPER(TRIM(I980)),"Self-approved | ",""))&amp;IF(J980="","No support | ","")&amp;IF(WEEKDAY(B980,2)&gt;5,"Weekend posting | ","")&amp;IF(COUNTIF(Settings!$A$14:$A$43,B980)&gt;0,"Holiday posting | ","")&amp;IF(B980&gt;Settings!$C$8,"Posted after close | ","")&amp;IF(OR(B980&lt;Settings!$C$6,B980&gt;Settings!$C$7),"Outside period | ","")&amp;IF(COUNTIF(Settings!$E$14:$E$43,C980&amp;"")&gt;0,"Sensitive account | ","")&amp;IF(AND(MAX(N(E980),N(F980))&gt;=Settings!$C$9,MOD(MAX(N(E980),N(F980)),Settings!$C$10)=0),"Round amount | ",""),LEN(IF(K980="No","Does not balance | ","")&amp;IF(I980="","Not approved | ",IF(UPPER(TRIM(H980))=UPPER(TRIM(I980)),"Self-approved | ",""))&amp;IF(J980="","No support | ","")&amp;IF(WEEKDAY(B980,2)&gt;5,"Weekend posting | ","")&amp;IF(COUNTIF(Settings!$A$14:$A$43,B980)&gt;0,"Holiday posting | ","")&amp;IF(B980&gt;Settings!$C$8,"Posted after close | ","")&amp;IF(OR(B980&lt;Settings!$C$6,B980&gt;Settings!$C$7),"Outside period | ","")&amp;IF(COUNTIF(Settings!$E$14:$E$43,C980&amp;"")&gt;0,"Sensitive account | ","")&amp;IF(AND(MAX(N(E980),N(F980))&gt;=Settings!$C$9,MOD(MAX(N(E980),N(F980)),Settings!$C$10)=0),"Round amount | ",""))-3)))</f>
        <v/>
      </c>
      <c r="M980" s="21" t="str">
        <f aca="false">IF(A980="","",IF(COUNTIF($A$9:A980,A980)=1,MAX($M$8:M979)+1,""))</f>
        <v/>
      </c>
    </row>
    <row r="981" customFormat="false" ht="15" hidden="false" customHeight="false" outlineLevel="0" collapsed="false">
      <c r="A981" s="8"/>
      <c r="B981" s="17"/>
      <c r="C981" s="19"/>
      <c r="D981" s="8"/>
      <c r="E981" s="18"/>
      <c r="F981" s="18"/>
      <c r="G981" s="8"/>
      <c r="H981" s="8"/>
      <c r="I981" s="8"/>
      <c r="J981" s="8"/>
      <c r="K981" s="10" t="str">
        <f aca="false">IF(A981="","",IF(ABS(SUMIFS($E$9:$E$2008,$A$9:$A$2008,A981)-SUMIFS($F$9:$F$2008,$A$9:$A$2008,A981))&lt;0.5,"Yes","No"))</f>
        <v/>
      </c>
      <c r="L981" s="10" t="str">
        <f aca="false">IF(A981="","",IF(IF(K981="No","Does not balance | ","")&amp;IF(I981="","Not approved | ",IF(UPPER(TRIM(H981))=UPPER(TRIM(I981)),"Self-approved | ",""))&amp;IF(J981="","No support | ","")&amp;IF(WEEKDAY(B981,2)&gt;5,"Weekend posting | ","")&amp;IF(COUNTIF(Settings!$A$14:$A$43,B981)&gt;0,"Holiday posting | ","")&amp;IF(B981&gt;Settings!$C$8,"Posted after close | ","")&amp;IF(OR(B981&lt;Settings!$C$6,B981&gt;Settings!$C$7),"Outside period | ","")&amp;IF(COUNTIF(Settings!$E$14:$E$43,C981&amp;"")&gt;0,"Sensitive account | ","")&amp;IF(AND(MAX(N(E981),N(F981))&gt;=Settings!$C$9,MOD(MAX(N(E981),N(F981)),Settings!$C$10)=0),"Round amount | ","")="","",LEFT(IF(K981="No","Does not balance | ","")&amp;IF(I981="","Not approved | ",IF(UPPER(TRIM(H981))=UPPER(TRIM(I981)),"Self-approved | ",""))&amp;IF(J981="","No support | ","")&amp;IF(WEEKDAY(B981,2)&gt;5,"Weekend posting | ","")&amp;IF(COUNTIF(Settings!$A$14:$A$43,B981)&gt;0,"Holiday posting | ","")&amp;IF(B981&gt;Settings!$C$8,"Posted after close | ","")&amp;IF(OR(B981&lt;Settings!$C$6,B981&gt;Settings!$C$7),"Outside period | ","")&amp;IF(COUNTIF(Settings!$E$14:$E$43,C981&amp;"")&gt;0,"Sensitive account | ","")&amp;IF(AND(MAX(N(E981),N(F981))&gt;=Settings!$C$9,MOD(MAX(N(E981),N(F981)),Settings!$C$10)=0),"Round amount | ",""),LEN(IF(K981="No","Does not balance | ","")&amp;IF(I981="","Not approved | ",IF(UPPER(TRIM(H981))=UPPER(TRIM(I981)),"Self-approved | ",""))&amp;IF(J981="","No support | ","")&amp;IF(WEEKDAY(B981,2)&gt;5,"Weekend posting | ","")&amp;IF(COUNTIF(Settings!$A$14:$A$43,B981)&gt;0,"Holiday posting | ","")&amp;IF(B981&gt;Settings!$C$8,"Posted after close | ","")&amp;IF(OR(B981&lt;Settings!$C$6,B981&gt;Settings!$C$7),"Outside period | ","")&amp;IF(COUNTIF(Settings!$E$14:$E$43,C981&amp;"")&gt;0,"Sensitive account | ","")&amp;IF(AND(MAX(N(E981),N(F981))&gt;=Settings!$C$9,MOD(MAX(N(E981),N(F981)),Settings!$C$10)=0),"Round amount | ",""))-3)))</f>
        <v/>
      </c>
      <c r="M981" s="21" t="str">
        <f aca="false">IF(A981="","",IF(COUNTIF($A$9:A981,A981)=1,MAX($M$8:M980)+1,""))</f>
        <v/>
      </c>
    </row>
    <row r="982" customFormat="false" ht="15" hidden="false" customHeight="false" outlineLevel="0" collapsed="false">
      <c r="A982" s="8"/>
      <c r="B982" s="17"/>
      <c r="C982" s="19"/>
      <c r="D982" s="8"/>
      <c r="E982" s="18"/>
      <c r="F982" s="18"/>
      <c r="G982" s="8"/>
      <c r="H982" s="8"/>
      <c r="I982" s="8"/>
      <c r="J982" s="8"/>
      <c r="K982" s="10" t="str">
        <f aca="false">IF(A982="","",IF(ABS(SUMIFS($E$9:$E$2008,$A$9:$A$2008,A982)-SUMIFS($F$9:$F$2008,$A$9:$A$2008,A982))&lt;0.5,"Yes","No"))</f>
        <v/>
      </c>
      <c r="L982" s="10" t="str">
        <f aca="false">IF(A982="","",IF(IF(K982="No","Does not balance | ","")&amp;IF(I982="","Not approved | ",IF(UPPER(TRIM(H982))=UPPER(TRIM(I982)),"Self-approved | ",""))&amp;IF(J982="","No support | ","")&amp;IF(WEEKDAY(B982,2)&gt;5,"Weekend posting | ","")&amp;IF(COUNTIF(Settings!$A$14:$A$43,B982)&gt;0,"Holiday posting | ","")&amp;IF(B982&gt;Settings!$C$8,"Posted after close | ","")&amp;IF(OR(B982&lt;Settings!$C$6,B982&gt;Settings!$C$7),"Outside period | ","")&amp;IF(COUNTIF(Settings!$E$14:$E$43,C982&amp;"")&gt;0,"Sensitive account | ","")&amp;IF(AND(MAX(N(E982),N(F982))&gt;=Settings!$C$9,MOD(MAX(N(E982),N(F982)),Settings!$C$10)=0),"Round amount | ","")="","",LEFT(IF(K982="No","Does not balance | ","")&amp;IF(I982="","Not approved | ",IF(UPPER(TRIM(H982))=UPPER(TRIM(I982)),"Self-approved | ",""))&amp;IF(J982="","No support | ","")&amp;IF(WEEKDAY(B982,2)&gt;5,"Weekend posting | ","")&amp;IF(COUNTIF(Settings!$A$14:$A$43,B982)&gt;0,"Holiday posting | ","")&amp;IF(B982&gt;Settings!$C$8,"Posted after close | ","")&amp;IF(OR(B982&lt;Settings!$C$6,B982&gt;Settings!$C$7),"Outside period | ","")&amp;IF(COUNTIF(Settings!$E$14:$E$43,C982&amp;"")&gt;0,"Sensitive account | ","")&amp;IF(AND(MAX(N(E982),N(F982))&gt;=Settings!$C$9,MOD(MAX(N(E982),N(F982)),Settings!$C$10)=0),"Round amount | ",""),LEN(IF(K982="No","Does not balance | ","")&amp;IF(I982="","Not approved | ",IF(UPPER(TRIM(H982))=UPPER(TRIM(I982)),"Self-approved | ",""))&amp;IF(J982="","No support | ","")&amp;IF(WEEKDAY(B982,2)&gt;5,"Weekend posting | ","")&amp;IF(COUNTIF(Settings!$A$14:$A$43,B982)&gt;0,"Holiday posting | ","")&amp;IF(B982&gt;Settings!$C$8,"Posted after close | ","")&amp;IF(OR(B982&lt;Settings!$C$6,B982&gt;Settings!$C$7),"Outside period | ","")&amp;IF(COUNTIF(Settings!$E$14:$E$43,C982&amp;"")&gt;0,"Sensitive account | ","")&amp;IF(AND(MAX(N(E982),N(F982))&gt;=Settings!$C$9,MOD(MAX(N(E982),N(F982)),Settings!$C$10)=0),"Round amount | ",""))-3)))</f>
        <v/>
      </c>
      <c r="M982" s="21" t="str">
        <f aca="false">IF(A982="","",IF(COUNTIF($A$9:A982,A982)=1,MAX($M$8:M981)+1,""))</f>
        <v/>
      </c>
    </row>
    <row r="983" customFormat="false" ht="15" hidden="false" customHeight="false" outlineLevel="0" collapsed="false">
      <c r="A983" s="8"/>
      <c r="B983" s="17"/>
      <c r="C983" s="19"/>
      <c r="D983" s="8"/>
      <c r="E983" s="18"/>
      <c r="F983" s="18"/>
      <c r="G983" s="8"/>
      <c r="H983" s="8"/>
      <c r="I983" s="8"/>
      <c r="J983" s="8"/>
      <c r="K983" s="10" t="str">
        <f aca="false">IF(A983="","",IF(ABS(SUMIFS($E$9:$E$2008,$A$9:$A$2008,A983)-SUMIFS($F$9:$F$2008,$A$9:$A$2008,A983))&lt;0.5,"Yes","No"))</f>
        <v/>
      </c>
      <c r="L983" s="10" t="str">
        <f aca="false">IF(A983="","",IF(IF(K983="No","Does not balance | ","")&amp;IF(I983="","Not approved | ",IF(UPPER(TRIM(H983))=UPPER(TRIM(I983)),"Self-approved | ",""))&amp;IF(J983="","No support | ","")&amp;IF(WEEKDAY(B983,2)&gt;5,"Weekend posting | ","")&amp;IF(COUNTIF(Settings!$A$14:$A$43,B983)&gt;0,"Holiday posting | ","")&amp;IF(B983&gt;Settings!$C$8,"Posted after close | ","")&amp;IF(OR(B983&lt;Settings!$C$6,B983&gt;Settings!$C$7),"Outside period | ","")&amp;IF(COUNTIF(Settings!$E$14:$E$43,C983&amp;"")&gt;0,"Sensitive account | ","")&amp;IF(AND(MAX(N(E983),N(F983))&gt;=Settings!$C$9,MOD(MAX(N(E983),N(F983)),Settings!$C$10)=0),"Round amount | ","")="","",LEFT(IF(K983="No","Does not balance | ","")&amp;IF(I983="","Not approved | ",IF(UPPER(TRIM(H983))=UPPER(TRIM(I983)),"Self-approved | ",""))&amp;IF(J983="","No support | ","")&amp;IF(WEEKDAY(B983,2)&gt;5,"Weekend posting | ","")&amp;IF(COUNTIF(Settings!$A$14:$A$43,B983)&gt;0,"Holiday posting | ","")&amp;IF(B983&gt;Settings!$C$8,"Posted after close | ","")&amp;IF(OR(B983&lt;Settings!$C$6,B983&gt;Settings!$C$7),"Outside period | ","")&amp;IF(COUNTIF(Settings!$E$14:$E$43,C983&amp;"")&gt;0,"Sensitive account | ","")&amp;IF(AND(MAX(N(E983),N(F983))&gt;=Settings!$C$9,MOD(MAX(N(E983),N(F983)),Settings!$C$10)=0),"Round amount | ",""),LEN(IF(K983="No","Does not balance | ","")&amp;IF(I983="","Not approved | ",IF(UPPER(TRIM(H983))=UPPER(TRIM(I983)),"Self-approved | ",""))&amp;IF(J983="","No support | ","")&amp;IF(WEEKDAY(B983,2)&gt;5,"Weekend posting | ","")&amp;IF(COUNTIF(Settings!$A$14:$A$43,B983)&gt;0,"Holiday posting | ","")&amp;IF(B983&gt;Settings!$C$8,"Posted after close | ","")&amp;IF(OR(B983&lt;Settings!$C$6,B983&gt;Settings!$C$7),"Outside period | ","")&amp;IF(COUNTIF(Settings!$E$14:$E$43,C983&amp;"")&gt;0,"Sensitive account | ","")&amp;IF(AND(MAX(N(E983),N(F983))&gt;=Settings!$C$9,MOD(MAX(N(E983),N(F983)),Settings!$C$10)=0),"Round amount | ",""))-3)))</f>
        <v/>
      </c>
      <c r="M983" s="21" t="str">
        <f aca="false">IF(A983="","",IF(COUNTIF($A$9:A983,A983)=1,MAX($M$8:M982)+1,""))</f>
        <v/>
      </c>
    </row>
    <row r="984" customFormat="false" ht="15" hidden="false" customHeight="false" outlineLevel="0" collapsed="false">
      <c r="A984" s="8"/>
      <c r="B984" s="17"/>
      <c r="C984" s="19"/>
      <c r="D984" s="8"/>
      <c r="E984" s="18"/>
      <c r="F984" s="18"/>
      <c r="G984" s="8"/>
      <c r="H984" s="8"/>
      <c r="I984" s="8"/>
      <c r="J984" s="8"/>
      <c r="K984" s="10" t="str">
        <f aca="false">IF(A984="","",IF(ABS(SUMIFS($E$9:$E$2008,$A$9:$A$2008,A984)-SUMIFS($F$9:$F$2008,$A$9:$A$2008,A984))&lt;0.5,"Yes","No"))</f>
        <v/>
      </c>
      <c r="L984" s="10" t="str">
        <f aca="false">IF(A984="","",IF(IF(K984="No","Does not balance | ","")&amp;IF(I984="","Not approved | ",IF(UPPER(TRIM(H984))=UPPER(TRIM(I984)),"Self-approved | ",""))&amp;IF(J984="","No support | ","")&amp;IF(WEEKDAY(B984,2)&gt;5,"Weekend posting | ","")&amp;IF(COUNTIF(Settings!$A$14:$A$43,B984)&gt;0,"Holiday posting | ","")&amp;IF(B984&gt;Settings!$C$8,"Posted after close | ","")&amp;IF(OR(B984&lt;Settings!$C$6,B984&gt;Settings!$C$7),"Outside period | ","")&amp;IF(COUNTIF(Settings!$E$14:$E$43,C984&amp;"")&gt;0,"Sensitive account | ","")&amp;IF(AND(MAX(N(E984),N(F984))&gt;=Settings!$C$9,MOD(MAX(N(E984),N(F984)),Settings!$C$10)=0),"Round amount | ","")="","",LEFT(IF(K984="No","Does not balance | ","")&amp;IF(I984="","Not approved | ",IF(UPPER(TRIM(H984))=UPPER(TRIM(I984)),"Self-approved | ",""))&amp;IF(J984="","No support | ","")&amp;IF(WEEKDAY(B984,2)&gt;5,"Weekend posting | ","")&amp;IF(COUNTIF(Settings!$A$14:$A$43,B984)&gt;0,"Holiday posting | ","")&amp;IF(B984&gt;Settings!$C$8,"Posted after close | ","")&amp;IF(OR(B984&lt;Settings!$C$6,B984&gt;Settings!$C$7),"Outside period | ","")&amp;IF(COUNTIF(Settings!$E$14:$E$43,C984&amp;"")&gt;0,"Sensitive account | ","")&amp;IF(AND(MAX(N(E984),N(F984))&gt;=Settings!$C$9,MOD(MAX(N(E984),N(F984)),Settings!$C$10)=0),"Round amount | ",""),LEN(IF(K984="No","Does not balance | ","")&amp;IF(I984="","Not approved | ",IF(UPPER(TRIM(H984))=UPPER(TRIM(I984)),"Self-approved | ",""))&amp;IF(J984="","No support | ","")&amp;IF(WEEKDAY(B984,2)&gt;5,"Weekend posting | ","")&amp;IF(COUNTIF(Settings!$A$14:$A$43,B984)&gt;0,"Holiday posting | ","")&amp;IF(B984&gt;Settings!$C$8,"Posted after close | ","")&amp;IF(OR(B984&lt;Settings!$C$6,B984&gt;Settings!$C$7),"Outside period | ","")&amp;IF(COUNTIF(Settings!$E$14:$E$43,C984&amp;"")&gt;0,"Sensitive account | ","")&amp;IF(AND(MAX(N(E984),N(F984))&gt;=Settings!$C$9,MOD(MAX(N(E984),N(F984)),Settings!$C$10)=0),"Round amount | ",""))-3)))</f>
        <v/>
      </c>
      <c r="M984" s="21" t="str">
        <f aca="false">IF(A984="","",IF(COUNTIF($A$9:A984,A984)=1,MAX($M$8:M983)+1,""))</f>
        <v/>
      </c>
    </row>
    <row r="985" customFormat="false" ht="15" hidden="false" customHeight="false" outlineLevel="0" collapsed="false">
      <c r="A985" s="8"/>
      <c r="B985" s="17"/>
      <c r="C985" s="19"/>
      <c r="D985" s="8"/>
      <c r="E985" s="18"/>
      <c r="F985" s="18"/>
      <c r="G985" s="8"/>
      <c r="H985" s="8"/>
      <c r="I985" s="8"/>
      <c r="J985" s="8"/>
      <c r="K985" s="10" t="str">
        <f aca="false">IF(A985="","",IF(ABS(SUMIFS($E$9:$E$2008,$A$9:$A$2008,A985)-SUMIFS($F$9:$F$2008,$A$9:$A$2008,A985))&lt;0.5,"Yes","No"))</f>
        <v/>
      </c>
      <c r="L985" s="10" t="str">
        <f aca="false">IF(A985="","",IF(IF(K985="No","Does not balance | ","")&amp;IF(I985="","Not approved | ",IF(UPPER(TRIM(H985))=UPPER(TRIM(I985)),"Self-approved | ",""))&amp;IF(J985="","No support | ","")&amp;IF(WEEKDAY(B985,2)&gt;5,"Weekend posting | ","")&amp;IF(COUNTIF(Settings!$A$14:$A$43,B985)&gt;0,"Holiday posting | ","")&amp;IF(B985&gt;Settings!$C$8,"Posted after close | ","")&amp;IF(OR(B985&lt;Settings!$C$6,B985&gt;Settings!$C$7),"Outside period | ","")&amp;IF(COUNTIF(Settings!$E$14:$E$43,C985&amp;"")&gt;0,"Sensitive account | ","")&amp;IF(AND(MAX(N(E985),N(F985))&gt;=Settings!$C$9,MOD(MAX(N(E985),N(F985)),Settings!$C$10)=0),"Round amount | ","")="","",LEFT(IF(K985="No","Does not balance | ","")&amp;IF(I985="","Not approved | ",IF(UPPER(TRIM(H985))=UPPER(TRIM(I985)),"Self-approved | ",""))&amp;IF(J985="","No support | ","")&amp;IF(WEEKDAY(B985,2)&gt;5,"Weekend posting | ","")&amp;IF(COUNTIF(Settings!$A$14:$A$43,B985)&gt;0,"Holiday posting | ","")&amp;IF(B985&gt;Settings!$C$8,"Posted after close | ","")&amp;IF(OR(B985&lt;Settings!$C$6,B985&gt;Settings!$C$7),"Outside period | ","")&amp;IF(COUNTIF(Settings!$E$14:$E$43,C985&amp;"")&gt;0,"Sensitive account | ","")&amp;IF(AND(MAX(N(E985),N(F985))&gt;=Settings!$C$9,MOD(MAX(N(E985),N(F985)),Settings!$C$10)=0),"Round amount | ",""),LEN(IF(K985="No","Does not balance | ","")&amp;IF(I985="","Not approved | ",IF(UPPER(TRIM(H985))=UPPER(TRIM(I985)),"Self-approved | ",""))&amp;IF(J985="","No support | ","")&amp;IF(WEEKDAY(B985,2)&gt;5,"Weekend posting | ","")&amp;IF(COUNTIF(Settings!$A$14:$A$43,B985)&gt;0,"Holiday posting | ","")&amp;IF(B985&gt;Settings!$C$8,"Posted after close | ","")&amp;IF(OR(B985&lt;Settings!$C$6,B985&gt;Settings!$C$7),"Outside period | ","")&amp;IF(COUNTIF(Settings!$E$14:$E$43,C985&amp;"")&gt;0,"Sensitive account | ","")&amp;IF(AND(MAX(N(E985),N(F985))&gt;=Settings!$C$9,MOD(MAX(N(E985),N(F985)),Settings!$C$10)=0),"Round amount | ",""))-3)))</f>
        <v/>
      </c>
      <c r="M985" s="21" t="str">
        <f aca="false">IF(A985="","",IF(COUNTIF($A$9:A985,A985)=1,MAX($M$8:M984)+1,""))</f>
        <v/>
      </c>
    </row>
    <row r="986" customFormat="false" ht="15" hidden="false" customHeight="false" outlineLevel="0" collapsed="false">
      <c r="A986" s="8"/>
      <c r="B986" s="17"/>
      <c r="C986" s="19"/>
      <c r="D986" s="8"/>
      <c r="E986" s="18"/>
      <c r="F986" s="18"/>
      <c r="G986" s="8"/>
      <c r="H986" s="8"/>
      <c r="I986" s="8"/>
      <c r="J986" s="8"/>
      <c r="K986" s="10" t="str">
        <f aca="false">IF(A986="","",IF(ABS(SUMIFS($E$9:$E$2008,$A$9:$A$2008,A986)-SUMIFS($F$9:$F$2008,$A$9:$A$2008,A986))&lt;0.5,"Yes","No"))</f>
        <v/>
      </c>
      <c r="L986" s="10" t="str">
        <f aca="false">IF(A986="","",IF(IF(K986="No","Does not balance | ","")&amp;IF(I986="","Not approved | ",IF(UPPER(TRIM(H986))=UPPER(TRIM(I986)),"Self-approved | ",""))&amp;IF(J986="","No support | ","")&amp;IF(WEEKDAY(B986,2)&gt;5,"Weekend posting | ","")&amp;IF(COUNTIF(Settings!$A$14:$A$43,B986)&gt;0,"Holiday posting | ","")&amp;IF(B986&gt;Settings!$C$8,"Posted after close | ","")&amp;IF(OR(B986&lt;Settings!$C$6,B986&gt;Settings!$C$7),"Outside period | ","")&amp;IF(COUNTIF(Settings!$E$14:$E$43,C986&amp;"")&gt;0,"Sensitive account | ","")&amp;IF(AND(MAX(N(E986),N(F986))&gt;=Settings!$C$9,MOD(MAX(N(E986),N(F986)),Settings!$C$10)=0),"Round amount | ","")="","",LEFT(IF(K986="No","Does not balance | ","")&amp;IF(I986="","Not approved | ",IF(UPPER(TRIM(H986))=UPPER(TRIM(I986)),"Self-approved | ",""))&amp;IF(J986="","No support | ","")&amp;IF(WEEKDAY(B986,2)&gt;5,"Weekend posting | ","")&amp;IF(COUNTIF(Settings!$A$14:$A$43,B986)&gt;0,"Holiday posting | ","")&amp;IF(B986&gt;Settings!$C$8,"Posted after close | ","")&amp;IF(OR(B986&lt;Settings!$C$6,B986&gt;Settings!$C$7),"Outside period | ","")&amp;IF(COUNTIF(Settings!$E$14:$E$43,C986&amp;"")&gt;0,"Sensitive account | ","")&amp;IF(AND(MAX(N(E986),N(F986))&gt;=Settings!$C$9,MOD(MAX(N(E986),N(F986)),Settings!$C$10)=0),"Round amount | ",""),LEN(IF(K986="No","Does not balance | ","")&amp;IF(I986="","Not approved | ",IF(UPPER(TRIM(H986))=UPPER(TRIM(I986)),"Self-approved | ",""))&amp;IF(J986="","No support | ","")&amp;IF(WEEKDAY(B986,2)&gt;5,"Weekend posting | ","")&amp;IF(COUNTIF(Settings!$A$14:$A$43,B986)&gt;0,"Holiday posting | ","")&amp;IF(B986&gt;Settings!$C$8,"Posted after close | ","")&amp;IF(OR(B986&lt;Settings!$C$6,B986&gt;Settings!$C$7),"Outside period | ","")&amp;IF(COUNTIF(Settings!$E$14:$E$43,C986&amp;"")&gt;0,"Sensitive account | ","")&amp;IF(AND(MAX(N(E986),N(F986))&gt;=Settings!$C$9,MOD(MAX(N(E986),N(F986)),Settings!$C$10)=0),"Round amount | ",""))-3)))</f>
        <v/>
      </c>
      <c r="M986" s="21" t="str">
        <f aca="false">IF(A986="","",IF(COUNTIF($A$9:A986,A986)=1,MAX($M$8:M985)+1,""))</f>
        <v/>
      </c>
    </row>
    <row r="987" customFormat="false" ht="15" hidden="false" customHeight="false" outlineLevel="0" collapsed="false">
      <c r="A987" s="8"/>
      <c r="B987" s="17"/>
      <c r="C987" s="19"/>
      <c r="D987" s="8"/>
      <c r="E987" s="18"/>
      <c r="F987" s="18"/>
      <c r="G987" s="8"/>
      <c r="H987" s="8"/>
      <c r="I987" s="8"/>
      <c r="J987" s="8"/>
      <c r="K987" s="10" t="str">
        <f aca="false">IF(A987="","",IF(ABS(SUMIFS($E$9:$E$2008,$A$9:$A$2008,A987)-SUMIFS($F$9:$F$2008,$A$9:$A$2008,A987))&lt;0.5,"Yes","No"))</f>
        <v/>
      </c>
      <c r="L987" s="10" t="str">
        <f aca="false">IF(A987="","",IF(IF(K987="No","Does not balance | ","")&amp;IF(I987="","Not approved | ",IF(UPPER(TRIM(H987))=UPPER(TRIM(I987)),"Self-approved | ",""))&amp;IF(J987="","No support | ","")&amp;IF(WEEKDAY(B987,2)&gt;5,"Weekend posting | ","")&amp;IF(COUNTIF(Settings!$A$14:$A$43,B987)&gt;0,"Holiday posting | ","")&amp;IF(B987&gt;Settings!$C$8,"Posted after close | ","")&amp;IF(OR(B987&lt;Settings!$C$6,B987&gt;Settings!$C$7),"Outside period | ","")&amp;IF(COUNTIF(Settings!$E$14:$E$43,C987&amp;"")&gt;0,"Sensitive account | ","")&amp;IF(AND(MAX(N(E987),N(F987))&gt;=Settings!$C$9,MOD(MAX(N(E987),N(F987)),Settings!$C$10)=0),"Round amount | ","")="","",LEFT(IF(K987="No","Does not balance | ","")&amp;IF(I987="","Not approved | ",IF(UPPER(TRIM(H987))=UPPER(TRIM(I987)),"Self-approved | ",""))&amp;IF(J987="","No support | ","")&amp;IF(WEEKDAY(B987,2)&gt;5,"Weekend posting | ","")&amp;IF(COUNTIF(Settings!$A$14:$A$43,B987)&gt;0,"Holiday posting | ","")&amp;IF(B987&gt;Settings!$C$8,"Posted after close | ","")&amp;IF(OR(B987&lt;Settings!$C$6,B987&gt;Settings!$C$7),"Outside period | ","")&amp;IF(COUNTIF(Settings!$E$14:$E$43,C987&amp;"")&gt;0,"Sensitive account | ","")&amp;IF(AND(MAX(N(E987),N(F987))&gt;=Settings!$C$9,MOD(MAX(N(E987),N(F987)),Settings!$C$10)=0),"Round amount | ",""),LEN(IF(K987="No","Does not balance | ","")&amp;IF(I987="","Not approved | ",IF(UPPER(TRIM(H987))=UPPER(TRIM(I987)),"Self-approved | ",""))&amp;IF(J987="","No support | ","")&amp;IF(WEEKDAY(B987,2)&gt;5,"Weekend posting | ","")&amp;IF(COUNTIF(Settings!$A$14:$A$43,B987)&gt;0,"Holiday posting | ","")&amp;IF(B987&gt;Settings!$C$8,"Posted after close | ","")&amp;IF(OR(B987&lt;Settings!$C$6,B987&gt;Settings!$C$7),"Outside period | ","")&amp;IF(COUNTIF(Settings!$E$14:$E$43,C987&amp;"")&gt;0,"Sensitive account | ","")&amp;IF(AND(MAX(N(E987),N(F987))&gt;=Settings!$C$9,MOD(MAX(N(E987),N(F987)),Settings!$C$10)=0),"Round amount | ",""))-3)))</f>
        <v/>
      </c>
      <c r="M987" s="21" t="str">
        <f aca="false">IF(A987="","",IF(COUNTIF($A$9:A987,A987)=1,MAX($M$8:M986)+1,""))</f>
        <v/>
      </c>
    </row>
    <row r="988" customFormat="false" ht="15" hidden="false" customHeight="false" outlineLevel="0" collapsed="false">
      <c r="A988" s="8"/>
      <c r="B988" s="17"/>
      <c r="C988" s="19"/>
      <c r="D988" s="8"/>
      <c r="E988" s="18"/>
      <c r="F988" s="18"/>
      <c r="G988" s="8"/>
      <c r="H988" s="8"/>
      <c r="I988" s="8"/>
      <c r="J988" s="8"/>
      <c r="K988" s="10" t="str">
        <f aca="false">IF(A988="","",IF(ABS(SUMIFS($E$9:$E$2008,$A$9:$A$2008,A988)-SUMIFS($F$9:$F$2008,$A$9:$A$2008,A988))&lt;0.5,"Yes","No"))</f>
        <v/>
      </c>
      <c r="L988" s="10" t="str">
        <f aca="false">IF(A988="","",IF(IF(K988="No","Does not balance | ","")&amp;IF(I988="","Not approved | ",IF(UPPER(TRIM(H988))=UPPER(TRIM(I988)),"Self-approved | ",""))&amp;IF(J988="","No support | ","")&amp;IF(WEEKDAY(B988,2)&gt;5,"Weekend posting | ","")&amp;IF(COUNTIF(Settings!$A$14:$A$43,B988)&gt;0,"Holiday posting | ","")&amp;IF(B988&gt;Settings!$C$8,"Posted after close | ","")&amp;IF(OR(B988&lt;Settings!$C$6,B988&gt;Settings!$C$7),"Outside period | ","")&amp;IF(COUNTIF(Settings!$E$14:$E$43,C988&amp;"")&gt;0,"Sensitive account | ","")&amp;IF(AND(MAX(N(E988),N(F988))&gt;=Settings!$C$9,MOD(MAX(N(E988),N(F988)),Settings!$C$10)=0),"Round amount | ","")="","",LEFT(IF(K988="No","Does not balance | ","")&amp;IF(I988="","Not approved | ",IF(UPPER(TRIM(H988))=UPPER(TRIM(I988)),"Self-approved | ",""))&amp;IF(J988="","No support | ","")&amp;IF(WEEKDAY(B988,2)&gt;5,"Weekend posting | ","")&amp;IF(COUNTIF(Settings!$A$14:$A$43,B988)&gt;0,"Holiday posting | ","")&amp;IF(B988&gt;Settings!$C$8,"Posted after close | ","")&amp;IF(OR(B988&lt;Settings!$C$6,B988&gt;Settings!$C$7),"Outside period | ","")&amp;IF(COUNTIF(Settings!$E$14:$E$43,C988&amp;"")&gt;0,"Sensitive account | ","")&amp;IF(AND(MAX(N(E988),N(F988))&gt;=Settings!$C$9,MOD(MAX(N(E988),N(F988)),Settings!$C$10)=0),"Round amount | ",""),LEN(IF(K988="No","Does not balance | ","")&amp;IF(I988="","Not approved | ",IF(UPPER(TRIM(H988))=UPPER(TRIM(I988)),"Self-approved | ",""))&amp;IF(J988="","No support | ","")&amp;IF(WEEKDAY(B988,2)&gt;5,"Weekend posting | ","")&amp;IF(COUNTIF(Settings!$A$14:$A$43,B988)&gt;0,"Holiday posting | ","")&amp;IF(B988&gt;Settings!$C$8,"Posted after close | ","")&amp;IF(OR(B988&lt;Settings!$C$6,B988&gt;Settings!$C$7),"Outside period | ","")&amp;IF(COUNTIF(Settings!$E$14:$E$43,C988&amp;"")&gt;0,"Sensitive account | ","")&amp;IF(AND(MAX(N(E988),N(F988))&gt;=Settings!$C$9,MOD(MAX(N(E988),N(F988)),Settings!$C$10)=0),"Round amount | ",""))-3)))</f>
        <v/>
      </c>
      <c r="M988" s="21" t="str">
        <f aca="false">IF(A988="","",IF(COUNTIF($A$9:A988,A988)=1,MAX($M$8:M987)+1,""))</f>
        <v/>
      </c>
    </row>
    <row r="989" customFormat="false" ht="15" hidden="false" customHeight="false" outlineLevel="0" collapsed="false">
      <c r="A989" s="8"/>
      <c r="B989" s="17"/>
      <c r="C989" s="19"/>
      <c r="D989" s="8"/>
      <c r="E989" s="18"/>
      <c r="F989" s="18"/>
      <c r="G989" s="8"/>
      <c r="H989" s="8"/>
      <c r="I989" s="8"/>
      <c r="J989" s="8"/>
      <c r="K989" s="10" t="str">
        <f aca="false">IF(A989="","",IF(ABS(SUMIFS($E$9:$E$2008,$A$9:$A$2008,A989)-SUMIFS($F$9:$F$2008,$A$9:$A$2008,A989))&lt;0.5,"Yes","No"))</f>
        <v/>
      </c>
      <c r="L989" s="10" t="str">
        <f aca="false">IF(A989="","",IF(IF(K989="No","Does not balance | ","")&amp;IF(I989="","Not approved | ",IF(UPPER(TRIM(H989))=UPPER(TRIM(I989)),"Self-approved | ",""))&amp;IF(J989="","No support | ","")&amp;IF(WEEKDAY(B989,2)&gt;5,"Weekend posting | ","")&amp;IF(COUNTIF(Settings!$A$14:$A$43,B989)&gt;0,"Holiday posting | ","")&amp;IF(B989&gt;Settings!$C$8,"Posted after close | ","")&amp;IF(OR(B989&lt;Settings!$C$6,B989&gt;Settings!$C$7),"Outside period | ","")&amp;IF(COUNTIF(Settings!$E$14:$E$43,C989&amp;"")&gt;0,"Sensitive account | ","")&amp;IF(AND(MAX(N(E989),N(F989))&gt;=Settings!$C$9,MOD(MAX(N(E989),N(F989)),Settings!$C$10)=0),"Round amount | ","")="","",LEFT(IF(K989="No","Does not balance | ","")&amp;IF(I989="","Not approved | ",IF(UPPER(TRIM(H989))=UPPER(TRIM(I989)),"Self-approved | ",""))&amp;IF(J989="","No support | ","")&amp;IF(WEEKDAY(B989,2)&gt;5,"Weekend posting | ","")&amp;IF(COUNTIF(Settings!$A$14:$A$43,B989)&gt;0,"Holiday posting | ","")&amp;IF(B989&gt;Settings!$C$8,"Posted after close | ","")&amp;IF(OR(B989&lt;Settings!$C$6,B989&gt;Settings!$C$7),"Outside period | ","")&amp;IF(COUNTIF(Settings!$E$14:$E$43,C989&amp;"")&gt;0,"Sensitive account | ","")&amp;IF(AND(MAX(N(E989),N(F989))&gt;=Settings!$C$9,MOD(MAX(N(E989),N(F989)),Settings!$C$10)=0),"Round amount | ",""),LEN(IF(K989="No","Does not balance | ","")&amp;IF(I989="","Not approved | ",IF(UPPER(TRIM(H989))=UPPER(TRIM(I989)),"Self-approved | ",""))&amp;IF(J989="","No support | ","")&amp;IF(WEEKDAY(B989,2)&gt;5,"Weekend posting | ","")&amp;IF(COUNTIF(Settings!$A$14:$A$43,B989)&gt;0,"Holiday posting | ","")&amp;IF(B989&gt;Settings!$C$8,"Posted after close | ","")&amp;IF(OR(B989&lt;Settings!$C$6,B989&gt;Settings!$C$7),"Outside period | ","")&amp;IF(COUNTIF(Settings!$E$14:$E$43,C989&amp;"")&gt;0,"Sensitive account | ","")&amp;IF(AND(MAX(N(E989),N(F989))&gt;=Settings!$C$9,MOD(MAX(N(E989),N(F989)),Settings!$C$10)=0),"Round amount | ",""))-3)))</f>
        <v/>
      </c>
      <c r="M989" s="21" t="str">
        <f aca="false">IF(A989="","",IF(COUNTIF($A$9:A989,A989)=1,MAX($M$8:M988)+1,""))</f>
        <v/>
      </c>
    </row>
    <row r="990" customFormat="false" ht="15" hidden="false" customHeight="false" outlineLevel="0" collapsed="false">
      <c r="A990" s="8"/>
      <c r="B990" s="17"/>
      <c r="C990" s="19"/>
      <c r="D990" s="8"/>
      <c r="E990" s="18"/>
      <c r="F990" s="18"/>
      <c r="G990" s="8"/>
      <c r="H990" s="8"/>
      <c r="I990" s="8"/>
      <c r="J990" s="8"/>
      <c r="K990" s="10" t="str">
        <f aca="false">IF(A990="","",IF(ABS(SUMIFS($E$9:$E$2008,$A$9:$A$2008,A990)-SUMIFS($F$9:$F$2008,$A$9:$A$2008,A990))&lt;0.5,"Yes","No"))</f>
        <v/>
      </c>
      <c r="L990" s="10" t="str">
        <f aca="false">IF(A990="","",IF(IF(K990="No","Does not balance | ","")&amp;IF(I990="","Not approved | ",IF(UPPER(TRIM(H990))=UPPER(TRIM(I990)),"Self-approved | ",""))&amp;IF(J990="","No support | ","")&amp;IF(WEEKDAY(B990,2)&gt;5,"Weekend posting | ","")&amp;IF(COUNTIF(Settings!$A$14:$A$43,B990)&gt;0,"Holiday posting | ","")&amp;IF(B990&gt;Settings!$C$8,"Posted after close | ","")&amp;IF(OR(B990&lt;Settings!$C$6,B990&gt;Settings!$C$7),"Outside period | ","")&amp;IF(COUNTIF(Settings!$E$14:$E$43,C990&amp;"")&gt;0,"Sensitive account | ","")&amp;IF(AND(MAX(N(E990),N(F990))&gt;=Settings!$C$9,MOD(MAX(N(E990),N(F990)),Settings!$C$10)=0),"Round amount | ","")="","",LEFT(IF(K990="No","Does not balance | ","")&amp;IF(I990="","Not approved | ",IF(UPPER(TRIM(H990))=UPPER(TRIM(I990)),"Self-approved | ",""))&amp;IF(J990="","No support | ","")&amp;IF(WEEKDAY(B990,2)&gt;5,"Weekend posting | ","")&amp;IF(COUNTIF(Settings!$A$14:$A$43,B990)&gt;0,"Holiday posting | ","")&amp;IF(B990&gt;Settings!$C$8,"Posted after close | ","")&amp;IF(OR(B990&lt;Settings!$C$6,B990&gt;Settings!$C$7),"Outside period | ","")&amp;IF(COUNTIF(Settings!$E$14:$E$43,C990&amp;"")&gt;0,"Sensitive account | ","")&amp;IF(AND(MAX(N(E990),N(F990))&gt;=Settings!$C$9,MOD(MAX(N(E990),N(F990)),Settings!$C$10)=0),"Round amount | ",""),LEN(IF(K990="No","Does not balance | ","")&amp;IF(I990="","Not approved | ",IF(UPPER(TRIM(H990))=UPPER(TRIM(I990)),"Self-approved | ",""))&amp;IF(J990="","No support | ","")&amp;IF(WEEKDAY(B990,2)&gt;5,"Weekend posting | ","")&amp;IF(COUNTIF(Settings!$A$14:$A$43,B990)&gt;0,"Holiday posting | ","")&amp;IF(B990&gt;Settings!$C$8,"Posted after close | ","")&amp;IF(OR(B990&lt;Settings!$C$6,B990&gt;Settings!$C$7),"Outside period | ","")&amp;IF(COUNTIF(Settings!$E$14:$E$43,C990&amp;"")&gt;0,"Sensitive account | ","")&amp;IF(AND(MAX(N(E990),N(F990))&gt;=Settings!$C$9,MOD(MAX(N(E990),N(F990)),Settings!$C$10)=0),"Round amount | ",""))-3)))</f>
        <v/>
      </c>
      <c r="M990" s="21" t="str">
        <f aca="false">IF(A990="","",IF(COUNTIF($A$9:A990,A990)=1,MAX($M$8:M989)+1,""))</f>
        <v/>
      </c>
    </row>
    <row r="991" customFormat="false" ht="15" hidden="false" customHeight="false" outlineLevel="0" collapsed="false">
      <c r="A991" s="8"/>
      <c r="B991" s="17"/>
      <c r="C991" s="19"/>
      <c r="D991" s="8"/>
      <c r="E991" s="18"/>
      <c r="F991" s="18"/>
      <c r="G991" s="8"/>
      <c r="H991" s="8"/>
      <c r="I991" s="8"/>
      <c r="J991" s="8"/>
      <c r="K991" s="10" t="str">
        <f aca="false">IF(A991="","",IF(ABS(SUMIFS($E$9:$E$2008,$A$9:$A$2008,A991)-SUMIFS($F$9:$F$2008,$A$9:$A$2008,A991))&lt;0.5,"Yes","No"))</f>
        <v/>
      </c>
      <c r="L991" s="10" t="str">
        <f aca="false">IF(A991="","",IF(IF(K991="No","Does not balance | ","")&amp;IF(I991="","Not approved | ",IF(UPPER(TRIM(H991))=UPPER(TRIM(I991)),"Self-approved | ",""))&amp;IF(J991="","No support | ","")&amp;IF(WEEKDAY(B991,2)&gt;5,"Weekend posting | ","")&amp;IF(COUNTIF(Settings!$A$14:$A$43,B991)&gt;0,"Holiday posting | ","")&amp;IF(B991&gt;Settings!$C$8,"Posted after close | ","")&amp;IF(OR(B991&lt;Settings!$C$6,B991&gt;Settings!$C$7),"Outside period | ","")&amp;IF(COUNTIF(Settings!$E$14:$E$43,C991&amp;"")&gt;0,"Sensitive account | ","")&amp;IF(AND(MAX(N(E991),N(F991))&gt;=Settings!$C$9,MOD(MAX(N(E991),N(F991)),Settings!$C$10)=0),"Round amount | ","")="","",LEFT(IF(K991="No","Does not balance | ","")&amp;IF(I991="","Not approved | ",IF(UPPER(TRIM(H991))=UPPER(TRIM(I991)),"Self-approved | ",""))&amp;IF(J991="","No support | ","")&amp;IF(WEEKDAY(B991,2)&gt;5,"Weekend posting | ","")&amp;IF(COUNTIF(Settings!$A$14:$A$43,B991)&gt;0,"Holiday posting | ","")&amp;IF(B991&gt;Settings!$C$8,"Posted after close | ","")&amp;IF(OR(B991&lt;Settings!$C$6,B991&gt;Settings!$C$7),"Outside period | ","")&amp;IF(COUNTIF(Settings!$E$14:$E$43,C991&amp;"")&gt;0,"Sensitive account | ","")&amp;IF(AND(MAX(N(E991),N(F991))&gt;=Settings!$C$9,MOD(MAX(N(E991),N(F991)),Settings!$C$10)=0),"Round amount | ",""),LEN(IF(K991="No","Does not balance | ","")&amp;IF(I991="","Not approved | ",IF(UPPER(TRIM(H991))=UPPER(TRIM(I991)),"Self-approved | ",""))&amp;IF(J991="","No support | ","")&amp;IF(WEEKDAY(B991,2)&gt;5,"Weekend posting | ","")&amp;IF(COUNTIF(Settings!$A$14:$A$43,B991)&gt;0,"Holiday posting | ","")&amp;IF(B991&gt;Settings!$C$8,"Posted after close | ","")&amp;IF(OR(B991&lt;Settings!$C$6,B991&gt;Settings!$C$7),"Outside period | ","")&amp;IF(COUNTIF(Settings!$E$14:$E$43,C991&amp;"")&gt;0,"Sensitive account | ","")&amp;IF(AND(MAX(N(E991),N(F991))&gt;=Settings!$C$9,MOD(MAX(N(E991),N(F991)),Settings!$C$10)=0),"Round amount | ",""))-3)))</f>
        <v/>
      </c>
      <c r="M991" s="21" t="str">
        <f aca="false">IF(A991="","",IF(COUNTIF($A$9:A991,A991)=1,MAX($M$8:M990)+1,""))</f>
        <v/>
      </c>
    </row>
    <row r="992" customFormat="false" ht="15" hidden="false" customHeight="false" outlineLevel="0" collapsed="false">
      <c r="A992" s="8"/>
      <c r="B992" s="17"/>
      <c r="C992" s="19"/>
      <c r="D992" s="8"/>
      <c r="E992" s="18"/>
      <c r="F992" s="18"/>
      <c r="G992" s="8"/>
      <c r="H992" s="8"/>
      <c r="I992" s="8"/>
      <c r="J992" s="8"/>
      <c r="K992" s="10" t="str">
        <f aca="false">IF(A992="","",IF(ABS(SUMIFS($E$9:$E$2008,$A$9:$A$2008,A992)-SUMIFS($F$9:$F$2008,$A$9:$A$2008,A992))&lt;0.5,"Yes","No"))</f>
        <v/>
      </c>
      <c r="L992" s="10" t="str">
        <f aca="false">IF(A992="","",IF(IF(K992="No","Does not balance | ","")&amp;IF(I992="","Not approved | ",IF(UPPER(TRIM(H992))=UPPER(TRIM(I992)),"Self-approved | ",""))&amp;IF(J992="","No support | ","")&amp;IF(WEEKDAY(B992,2)&gt;5,"Weekend posting | ","")&amp;IF(COUNTIF(Settings!$A$14:$A$43,B992)&gt;0,"Holiday posting | ","")&amp;IF(B992&gt;Settings!$C$8,"Posted after close | ","")&amp;IF(OR(B992&lt;Settings!$C$6,B992&gt;Settings!$C$7),"Outside period | ","")&amp;IF(COUNTIF(Settings!$E$14:$E$43,C992&amp;"")&gt;0,"Sensitive account | ","")&amp;IF(AND(MAX(N(E992),N(F992))&gt;=Settings!$C$9,MOD(MAX(N(E992),N(F992)),Settings!$C$10)=0),"Round amount | ","")="","",LEFT(IF(K992="No","Does not balance | ","")&amp;IF(I992="","Not approved | ",IF(UPPER(TRIM(H992))=UPPER(TRIM(I992)),"Self-approved | ",""))&amp;IF(J992="","No support | ","")&amp;IF(WEEKDAY(B992,2)&gt;5,"Weekend posting | ","")&amp;IF(COUNTIF(Settings!$A$14:$A$43,B992)&gt;0,"Holiday posting | ","")&amp;IF(B992&gt;Settings!$C$8,"Posted after close | ","")&amp;IF(OR(B992&lt;Settings!$C$6,B992&gt;Settings!$C$7),"Outside period | ","")&amp;IF(COUNTIF(Settings!$E$14:$E$43,C992&amp;"")&gt;0,"Sensitive account | ","")&amp;IF(AND(MAX(N(E992),N(F992))&gt;=Settings!$C$9,MOD(MAX(N(E992),N(F992)),Settings!$C$10)=0),"Round amount | ",""),LEN(IF(K992="No","Does not balance | ","")&amp;IF(I992="","Not approved | ",IF(UPPER(TRIM(H992))=UPPER(TRIM(I992)),"Self-approved | ",""))&amp;IF(J992="","No support | ","")&amp;IF(WEEKDAY(B992,2)&gt;5,"Weekend posting | ","")&amp;IF(COUNTIF(Settings!$A$14:$A$43,B992)&gt;0,"Holiday posting | ","")&amp;IF(B992&gt;Settings!$C$8,"Posted after close | ","")&amp;IF(OR(B992&lt;Settings!$C$6,B992&gt;Settings!$C$7),"Outside period | ","")&amp;IF(COUNTIF(Settings!$E$14:$E$43,C992&amp;"")&gt;0,"Sensitive account | ","")&amp;IF(AND(MAX(N(E992),N(F992))&gt;=Settings!$C$9,MOD(MAX(N(E992),N(F992)),Settings!$C$10)=0),"Round amount | ",""))-3)))</f>
        <v/>
      </c>
      <c r="M992" s="21" t="str">
        <f aca="false">IF(A992="","",IF(COUNTIF($A$9:A992,A992)=1,MAX($M$8:M991)+1,""))</f>
        <v/>
      </c>
    </row>
    <row r="993" customFormat="false" ht="15" hidden="false" customHeight="false" outlineLevel="0" collapsed="false">
      <c r="A993" s="8"/>
      <c r="B993" s="17"/>
      <c r="C993" s="19"/>
      <c r="D993" s="8"/>
      <c r="E993" s="18"/>
      <c r="F993" s="18"/>
      <c r="G993" s="8"/>
      <c r="H993" s="8"/>
      <c r="I993" s="8"/>
      <c r="J993" s="8"/>
      <c r="K993" s="10" t="str">
        <f aca="false">IF(A993="","",IF(ABS(SUMIFS($E$9:$E$2008,$A$9:$A$2008,A993)-SUMIFS($F$9:$F$2008,$A$9:$A$2008,A993))&lt;0.5,"Yes","No"))</f>
        <v/>
      </c>
      <c r="L993" s="10" t="str">
        <f aca="false">IF(A993="","",IF(IF(K993="No","Does not balance | ","")&amp;IF(I993="","Not approved | ",IF(UPPER(TRIM(H993))=UPPER(TRIM(I993)),"Self-approved | ",""))&amp;IF(J993="","No support | ","")&amp;IF(WEEKDAY(B993,2)&gt;5,"Weekend posting | ","")&amp;IF(COUNTIF(Settings!$A$14:$A$43,B993)&gt;0,"Holiday posting | ","")&amp;IF(B993&gt;Settings!$C$8,"Posted after close | ","")&amp;IF(OR(B993&lt;Settings!$C$6,B993&gt;Settings!$C$7),"Outside period | ","")&amp;IF(COUNTIF(Settings!$E$14:$E$43,C993&amp;"")&gt;0,"Sensitive account | ","")&amp;IF(AND(MAX(N(E993),N(F993))&gt;=Settings!$C$9,MOD(MAX(N(E993),N(F993)),Settings!$C$10)=0),"Round amount | ","")="","",LEFT(IF(K993="No","Does not balance | ","")&amp;IF(I993="","Not approved | ",IF(UPPER(TRIM(H993))=UPPER(TRIM(I993)),"Self-approved | ",""))&amp;IF(J993="","No support | ","")&amp;IF(WEEKDAY(B993,2)&gt;5,"Weekend posting | ","")&amp;IF(COUNTIF(Settings!$A$14:$A$43,B993)&gt;0,"Holiday posting | ","")&amp;IF(B993&gt;Settings!$C$8,"Posted after close | ","")&amp;IF(OR(B993&lt;Settings!$C$6,B993&gt;Settings!$C$7),"Outside period | ","")&amp;IF(COUNTIF(Settings!$E$14:$E$43,C993&amp;"")&gt;0,"Sensitive account | ","")&amp;IF(AND(MAX(N(E993),N(F993))&gt;=Settings!$C$9,MOD(MAX(N(E993),N(F993)),Settings!$C$10)=0),"Round amount | ",""),LEN(IF(K993="No","Does not balance | ","")&amp;IF(I993="","Not approved | ",IF(UPPER(TRIM(H993))=UPPER(TRIM(I993)),"Self-approved | ",""))&amp;IF(J993="","No support | ","")&amp;IF(WEEKDAY(B993,2)&gt;5,"Weekend posting | ","")&amp;IF(COUNTIF(Settings!$A$14:$A$43,B993)&gt;0,"Holiday posting | ","")&amp;IF(B993&gt;Settings!$C$8,"Posted after close | ","")&amp;IF(OR(B993&lt;Settings!$C$6,B993&gt;Settings!$C$7),"Outside period | ","")&amp;IF(COUNTIF(Settings!$E$14:$E$43,C993&amp;"")&gt;0,"Sensitive account | ","")&amp;IF(AND(MAX(N(E993),N(F993))&gt;=Settings!$C$9,MOD(MAX(N(E993),N(F993)),Settings!$C$10)=0),"Round amount | ",""))-3)))</f>
        <v/>
      </c>
      <c r="M993" s="21" t="str">
        <f aca="false">IF(A993="","",IF(COUNTIF($A$9:A993,A993)=1,MAX($M$8:M992)+1,""))</f>
        <v/>
      </c>
    </row>
    <row r="994" customFormat="false" ht="15" hidden="false" customHeight="false" outlineLevel="0" collapsed="false">
      <c r="A994" s="8"/>
      <c r="B994" s="17"/>
      <c r="C994" s="19"/>
      <c r="D994" s="8"/>
      <c r="E994" s="18"/>
      <c r="F994" s="18"/>
      <c r="G994" s="8"/>
      <c r="H994" s="8"/>
      <c r="I994" s="8"/>
      <c r="J994" s="8"/>
      <c r="K994" s="10" t="str">
        <f aca="false">IF(A994="","",IF(ABS(SUMIFS($E$9:$E$2008,$A$9:$A$2008,A994)-SUMIFS($F$9:$F$2008,$A$9:$A$2008,A994))&lt;0.5,"Yes","No"))</f>
        <v/>
      </c>
      <c r="L994" s="10" t="str">
        <f aca="false">IF(A994="","",IF(IF(K994="No","Does not balance | ","")&amp;IF(I994="","Not approved | ",IF(UPPER(TRIM(H994))=UPPER(TRIM(I994)),"Self-approved | ",""))&amp;IF(J994="","No support | ","")&amp;IF(WEEKDAY(B994,2)&gt;5,"Weekend posting | ","")&amp;IF(COUNTIF(Settings!$A$14:$A$43,B994)&gt;0,"Holiday posting | ","")&amp;IF(B994&gt;Settings!$C$8,"Posted after close | ","")&amp;IF(OR(B994&lt;Settings!$C$6,B994&gt;Settings!$C$7),"Outside period | ","")&amp;IF(COUNTIF(Settings!$E$14:$E$43,C994&amp;"")&gt;0,"Sensitive account | ","")&amp;IF(AND(MAX(N(E994),N(F994))&gt;=Settings!$C$9,MOD(MAX(N(E994),N(F994)),Settings!$C$10)=0),"Round amount | ","")="","",LEFT(IF(K994="No","Does not balance | ","")&amp;IF(I994="","Not approved | ",IF(UPPER(TRIM(H994))=UPPER(TRIM(I994)),"Self-approved | ",""))&amp;IF(J994="","No support | ","")&amp;IF(WEEKDAY(B994,2)&gt;5,"Weekend posting | ","")&amp;IF(COUNTIF(Settings!$A$14:$A$43,B994)&gt;0,"Holiday posting | ","")&amp;IF(B994&gt;Settings!$C$8,"Posted after close | ","")&amp;IF(OR(B994&lt;Settings!$C$6,B994&gt;Settings!$C$7),"Outside period | ","")&amp;IF(COUNTIF(Settings!$E$14:$E$43,C994&amp;"")&gt;0,"Sensitive account | ","")&amp;IF(AND(MAX(N(E994),N(F994))&gt;=Settings!$C$9,MOD(MAX(N(E994),N(F994)),Settings!$C$10)=0),"Round amount | ",""),LEN(IF(K994="No","Does not balance | ","")&amp;IF(I994="","Not approved | ",IF(UPPER(TRIM(H994))=UPPER(TRIM(I994)),"Self-approved | ",""))&amp;IF(J994="","No support | ","")&amp;IF(WEEKDAY(B994,2)&gt;5,"Weekend posting | ","")&amp;IF(COUNTIF(Settings!$A$14:$A$43,B994)&gt;0,"Holiday posting | ","")&amp;IF(B994&gt;Settings!$C$8,"Posted after close | ","")&amp;IF(OR(B994&lt;Settings!$C$6,B994&gt;Settings!$C$7),"Outside period | ","")&amp;IF(COUNTIF(Settings!$E$14:$E$43,C994&amp;"")&gt;0,"Sensitive account | ","")&amp;IF(AND(MAX(N(E994),N(F994))&gt;=Settings!$C$9,MOD(MAX(N(E994),N(F994)),Settings!$C$10)=0),"Round amount | ",""))-3)))</f>
        <v/>
      </c>
      <c r="M994" s="21" t="str">
        <f aca="false">IF(A994="","",IF(COUNTIF($A$9:A994,A994)=1,MAX($M$8:M993)+1,""))</f>
        <v/>
      </c>
    </row>
    <row r="995" customFormat="false" ht="15" hidden="false" customHeight="false" outlineLevel="0" collapsed="false">
      <c r="A995" s="8"/>
      <c r="B995" s="17"/>
      <c r="C995" s="19"/>
      <c r="D995" s="8"/>
      <c r="E995" s="18"/>
      <c r="F995" s="18"/>
      <c r="G995" s="8"/>
      <c r="H995" s="8"/>
      <c r="I995" s="8"/>
      <c r="J995" s="8"/>
      <c r="K995" s="10" t="str">
        <f aca="false">IF(A995="","",IF(ABS(SUMIFS($E$9:$E$2008,$A$9:$A$2008,A995)-SUMIFS($F$9:$F$2008,$A$9:$A$2008,A995))&lt;0.5,"Yes","No"))</f>
        <v/>
      </c>
      <c r="L995" s="10" t="str">
        <f aca="false">IF(A995="","",IF(IF(K995="No","Does not balance | ","")&amp;IF(I995="","Not approved | ",IF(UPPER(TRIM(H995))=UPPER(TRIM(I995)),"Self-approved | ",""))&amp;IF(J995="","No support | ","")&amp;IF(WEEKDAY(B995,2)&gt;5,"Weekend posting | ","")&amp;IF(COUNTIF(Settings!$A$14:$A$43,B995)&gt;0,"Holiday posting | ","")&amp;IF(B995&gt;Settings!$C$8,"Posted after close | ","")&amp;IF(OR(B995&lt;Settings!$C$6,B995&gt;Settings!$C$7),"Outside period | ","")&amp;IF(COUNTIF(Settings!$E$14:$E$43,C995&amp;"")&gt;0,"Sensitive account | ","")&amp;IF(AND(MAX(N(E995),N(F995))&gt;=Settings!$C$9,MOD(MAX(N(E995),N(F995)),Settings!$C$10)=0),"Round amount | ","")="","",LEFT(IF(K995="No","Does not balance | ","")&amp;IF(I995="","Not approved | ",IF(UPPER(TRIM(H995))=UPPER(TRIM(I995)),"Self-approved | ",""))&amp;IF(J995="","No support | ","")&amp;IF(WEEKDAY(B995,2)&gt;5,"Weekend posting | ","")&amp;IF(COUNTIF(Settings!$A$14:$A$43,B995)&gt;0,"Holiday posting | ","")&amp;IF(B995&gt;Settings!$C$8,"Posted after close | ","")&amp;IF(OR(B995&lt;Settings!$C$6,B995&gt;Settings!$C$7),"Outside period | ","")&amp;IF(COUNTIF(Settings!$E$14:$E$43,C995&amp;"")&gt;0,"Sensitive account | ","")&amp;IF(AND(MAX(N(E995),N(F995))&gt;=Settings!$C$9,MOD(MAX(N(E995),N(F995)),Settings!$C$10)=0),"Round amount | ",""),LEN(IF(K995="No","Does not balance | ","")&amp;IF(I995="","Not approved | ",IF(UPPER(TRIM(H995))=UPPER(TRIM(I995)),"Self-approved | ",""))&amp;IF(J995="","No support | ","")&amp;IF(WEEKDAY(B995,2)&gt;5,"Weekend posting | ","")&amp;IF(COUNTIF(Settings!$A$14:$A$43,B995)&gt;0,"Holiday posting | ","")&amp;IF(B995&gt;Settings!$C$8,"Posted after close | ","")&amp;IF(OR(B995&lt;Settings!$C$6,B995&gt;Settings!$C$7),"Outside period | ","")&amp;IF(COUNTIF(Settings!$E$14:$E$43,C995&amp;"")&gt;0,"Sensitive account | ","")&amp;IF(AND(MAX(N(E995),N(F995))&gt;=Settings!$C$9,MOD(MAX(N(E995),N(F995)),Settings!$C$10)=0),"Round amount | ",""))-3)))</f>
        <v/>
      </c>
      <c r="M995" s="21" t="str">
        <f aca="false">IF(A995="","",IF(COUNTIF($A$9:A995,A995)=1,MAX($M$8:M994)+1,""))</f>
        <v/>
      </c>
    </row>
    <row r="996" customFormat="false" ht="15" hidden="false" customHeight="false" outlineLevel="0" collapsed="false">
      <c r="A996" s="8"/>
      <c r="B996" s="17"/>
      <c r="C996" s="19"/>
      <c r="D996" s="8"/>
      <c r="E996" s="18"/>
      <c r="F996" s="18"/>
      <c r="G996" s="8"/>
      <c r="H996" s="8"/>
      <c r="I996" s="8"/>
      <c r="J996" s="8"/>
      <c r="K996" s="10" t="str">
        <f aca="false">IF(A996="","",IF(ABS(SUMIFS($E$9:$E$2008,$A$9:$A$2008,A996)-SUMIFS($F$9:$F$2008,$A$9:$A$2008,A996))&lt;0.5,"Yes","No"))</f>
        <v/>
      </c>
      <c r="L996" s="10" t="str">
        <f aca="false">IF(A996="","",IF(IF(K996="No","Does not balance | ","")&amp;IF(I996="","Not approved | ",IF(UPPER(TRIM(H996))=UPPER(TRIM(I996)),"Self-approved | ",""))&amp;IF(J996="","No support | ","")&amp;IF(WEEKDAY(B996,2)&gt;5,"Weekend posting | ","")&amp;IF(COUNTIF(Settings!$A$14:$A$43,B996)&gt;0,"Holiday posting | ","")&amp;IF(B996&gt;Settings!$C$8,"Posted after close | ","")&amp;IF(OR(B996&lt;Settings!$C$6,B996&gt;Settings!$C$7),"Outside period | ","")&amp;IF(COUNTIF(Settings!$E$14:$E$43,C996&amp;"")&gt;0,"Sensitive account | ","")&amp;IF(AND(MAX(N(E996),N(F996))&gt;=Settings!$C$9,MOD(MAX(N(E996),N(F996)),Settings!$C$10)=0),"Round amount | ","")="","",LEFT(IF(K996="No","Does not balance | ","")&amp;IF(I996="","Not approved | ",IF(UPPER(TRIM(H996))=UPPER(TRIM(I996)),"Self-approved | ",""))&amp;IF(J996="","No support | ","")&amp;IF(WEEKDAY(B996,2)&gt;5,"Weekend posting | ","")&amp;IF(COUNTIF(Settings!$A$14:$A$43,B996)&gt;0,"Holiday posting | ","")&amp;IF(B996&gt;Settings!$C$8,"Posted after close | ","")&amp;IF(OR(B996&lt;Settings!$C$6,B996&gt;Settings!$C$7),"Outside period | ","")&amp;IF(COUNTIF(Settings!$E$14:$E$43,C996&amp;"")&gt;0,"Sensitive account | ","")&amp;IF(AND(MAX(N(E996),N(F996))&gt;=Settings!$C$9,MOD(MAX(N(E996),N(F996)),Settings!$C$10)=0),"Round amount | ",""),LEN(IF(K996="No","Does not balance | ","")&amp;IF(I996="","Not approved | ",IF(UPPER(TRIM(H996))=UPPER(TRIM(I996)),"Self-approved | ",""))&amp;IF(J996="","No support | ","")&amp;IF(WEEKDAY(B996,2)&gt;5,"Weekend posting | ","")&amp;IF(COUNTIF(Settings!$A$14:$A$43,B996)&gt;0,"Holiday posting | ","")&amp;IF(B996&gt;Settings!$C$8,"Posted after close | ","")&amp;IF(OR(B996&lt;Settings!$C$6,B996&gt;Settings!$C$7),"Outside period | ","")&amp;IF(COUNTIF(Settings!$E$14:$E$43,C996&amp;"")&gt;0,"Sensitive account | ","")&amp;IF(AND(MAX(N(E996),N(F996))&gt;=Settings!$C$9,MOD(MAX(N(E996),N(F996)),Settings!$C$10)=0),"Round amount | ",""))-3)))</f>
        <v/>
      </c>
      <c r="M996" s="21" t="str">
        <f aca="false">IF(A996="","",IF(COUNTIF($A$9:A996,A996)=1,MAX($M$8:M995)+1,""))</f>
        <v/>
      </c>
    </row>
    <row r="997" customFormat="false" ht="15" hidden="false" customHeight="false" outlineLevel="0" collapsed="false">
      <c r="A997" s="8"/>
      <c r="B997" s="17"/>
      <c r="C997" s="19"/>
      <c r="D997" s="8"/>
      <c r="E997" s="18"/>
      <c r="F997" s="18"/>
      <c r="G997" s="8"/>
      <c r="H997" s="8"/>
      <c r="I997" s="8"/>
      <c r="J997" s="8"/>
      <c r="K997" s="10" t="str">
        <f aca="false">IF(A997="","",IF(ABS(SUMIFS($E$9:$E$2008,$A$9:$A$2008,A997)-SUMIFS($F$9:$F$2008,$A$9:$A$2008,A997))&lt;0.5,"Yes","No"))</f>
        <v/>
      </c>
      <c r="L997" s="10" t="str">
        <f aca="false">IF(A997="","",IF(IF(K997="No","Does not balance | ","")&amp;IF(I997="","Not approved | ",IF(UPPER(TRIM(H997))=UPPER(TRIM(I997)),"Self-approved | ",""))&amp;IF(J997="","No support | ","")&amp;IF(WEEKDAY(B997,2)&gt;5,"Weekend posting | ","")&amp;IF(COUNTIF(Settings!$A$14:$A$43,B997)&gt;0,"Holiday posting | ","")&amp;IF(B997&gt;Settings!$C$8,"Posted after close | ","")&amp;IF(OR(B997&lt;Settings!$C$6,B997&gt;Settings!$C$7),"Outside period | ","")&amp;IF(COUNTIF(Settings!$E$14:$E$43,C997&amp;"")&gt;0,"Sensitive account | ","")&amp;IF(AND(MAX(N(E997),N(F997))&gt;=Settings!$C$9,MOD(MAX(N(E997),N(F997)),Settings!$C$10)=0),"Round amount | ","")="","",LEFT(IF(K997="No","Does not balance | ","")&amp;IF(I997="","Not approved | ",IF(UPPER(TRIM(H997))=UPPER(TRIM(I997)),"Self-approved | ",""))&amp;IF(J997="","No support | ","")&amp;IF(WEEKDAY(B997,2)&gt;5,"Weekend posting | ","")&amp;IF(COUNTIF(Settings!$A$14:$A$43,B997)&gt;0,"Holiday posting | ","")&amp;IF(B997&gt;Settings!$C$8,"Posted after close | ","")&amp;IF(OR(B997&lt;Settings!$C$6,B997&gt;Settings!$C$7),"Outside period | ","")&amp;IF(COUNTIF(Settings!$E$14:$E$43,C997&amp;"")&gt;0,"Sensitive account | ","")&amp;IF(AND(MAX(N(E997),N(F997))&gt;=Settings!$C$9,MOD(MAX(N(E997),N(F997)),Settings!$C$10)=0),"Round amount | ",""),LEN(IF(K997="No","Does not balance | ","")&amp;IF(I997="","Not approved | ",IF(UPPER(TRIM(H997))=UPPER(TRIM(I997)),"Self-approved | ",""))&amp;IF(J997="","No support | ","")&amp;IF(WEEKDAY(B997,2)&gt;5,"Weekend posting | ","")&amp;IF(COUNTIF(Settings!$A$14:$A$43,B997)&gt;0,"Holiday posting | ","")&amp;IF(B997&gt;Settings!$C$8,"Posted after close | ","")&amp;IF(OR(B997&lt;Settings!$C$6,B997&gt;Settings!$C$7),"Outside period | ","")&amp;IF(COUNTIF(Settings!$E$14:$E$43,C997&amp;"")&gt;0,"Sensitive account | ","")&amp;IF(AND(MAX(N(E997),N(F997))&gt;=Settings!$C$9,MOD(MAX(N(E997),N(F997)),Settings!$C$10)=0),"Round amount | ",""))-3)))</f>
        <v/>
      </c>
      <c r="M997" s="21" t="str">
        <f aca="false">IF(A997="","",IF(COUNTIF($A$9:A997,A997)=1,MAX($M$8:M996)+1,""))</f>
        <v/>
      </c>
    </row>
    <row r="998" customFormat="false" ht="15" hidden="false" customHeight="false" outlineLevel="0" collapsed="false">
      <c r="A998" s="8"/>
      <c r="B998" s="17"/>
      <c r="C998" s="19"/>
      <c r="D998" s="8"/>
      <c r="E998" s="18"/>
      <c r="F998" s="18"/>
      <c r="G998" s="8"/>
      <c r="H998" s="8"/>
      <c r="I998" s="8"/>
      <c r="J998" s="8"/>
      <c r="K998" s="10" t="str">
        <f aca="false">IF(A998="","",IF(ABS(SUMIFS($E$9:$E$2008,$A$9:$A$2008,A998)-SUMIFS($F$9:$F$2008,$A$9:$A$2008,A998))&lt;0.5,"Yes","No"))</f>
        <v/>
      </c>
      <c r="L998" s="10" t="str">
        <f aca="false">IF(A998="","",IF(IF(K998="No","Does not balance | ","")&amp;IF(I998="","Not approved | ",IF(UPPER(TRIM(H998))=UPPER(TRIM(I998)),"Self-approved | ",""))&amp;IF(J998="","No support | ","")&amp;IF(WEEKDAY(B998,2)&gt;5,"Weekend posting | ","")&amp;IF(COUNTIF(Settings!$A$14:$A$43,B998)&gt;0,"Holiday posting | ","")&amp;IF(B998&gt;Settings!$C$8,"Posted after close | ","")&amp;IF(OR(B998&lt;Settings!$C$6,B998&gt;Settings!$C$7),"Outside period | ","")&amp;IF(COUNTIF(Settings!$E$14:$E$43,C998&amp;"")&gt;0,"Sensitive account | ","")&amp;IF(AND(MAX(N(E998),N(F998))&gt;=Settings!$C$9,MOD(MAX(N(E998),N(F998)),Settings!$C$10)=0),"Round amount | ","")="","",LEFT(IF(K998="No","Does not balance | ","")&amp;IF(I998="","Not approved | ",IF(UPPER(TRIM(H998))=UPPER(TRIM(I998)),"Self-approved | ",""))&amp;IF(J998="","No support | ","")&amp;IF(WEEKDAY(B998,2)&gt;5,"Weekend posting | ","")&amp;IF(COUNTIF(Settings!$A$14:$A$43,B998)&gt;0,"Holiday posting | ","")&amp;IF(B998&gt;Settings!$C$8,"Posted after close | ","")&amp;IF(OR(B998&lt;Settings!$C$6,B998&gt;Settings!$C$7),"Outside period | ","")&amp;IF(COUNTIF(Settings!$E$14:$E$43,C998&amp;"")&gt;0,"Sensitive account | ","")&amp;IF(AND(MAX(N(E998),N(F998))&gt;=Settings!$C$9,MOD(MAX(N(E998),N(F998)),Settings!$C$10)=0),"Round amount | ",""),LEN(IF(K998="No","Does not balance | ","")&amp;IF(I998="","Not approved | ",IF(UPPER(TRIM(H998))=UPPER(TRIM(I998)),"Self-approved | ",""))&amp;IF(J998="","No support | ","")&amp;IF(WEEKDAY(B998,2)&gt;5,"Weekend posting | ","")&amp;IF(COUNTIF(Settings!$A$14:$A$43,B998)&gt;0,"Holiday posting | ","")&amp;IF(B998&gt;Settings!$C$8,"Posted after close | ","")&amp;IF(OR(B998&lt;Settings!$C$6,B998&gt;Settings!$C$7),"Outside period | ","")&amp;IF(COUNTIF(Settings!$E$14:$E$43,C998&amp;"")&gt;0,"Sensitive account | ","")&amp;IF(AND(MAX(N(E998),N(F998))&gt;=Settings!$C$9,MOD(MAX(N(E998),N(F998)),Settings!$C$10)=0),"Round amount | ",""))-3)))</f>
        <v/>
      </c>
      <c r="M998" s="21" t="str">
        <f aca="false">IF(A998="","",IF(COUNTIF($A$9:A998,A998)=1,MAX($M$8:M997)+1,""))</f>
        <v/>
      </c>
    </row>
    <row r="999" customFormat="false" ht="15" hidden="false" customHeight="false" outlineLevel="0" collapsed="false">
      <c r="A999" s="8"/>
      <c r="B999" s="17"/>
      <c r="C999" s="19"/>
      <c r="D999" s="8"/>
      <c r="E999" s="18"/>
      <c r="F999" s="18"/>
      <c r="G999" s="8"/>
      <c r="H999" s="8"/>
      <c r="I999" s="8"/>
      <c r="J999" s="8"/>
      <c r="K999" s="10" t="str">
        <f aca="false">IF(A999="","",IF(ABS(SUMIFS($E$9:$E$2008,$A$9:$A$2008,A999)-SUMIFS($F$9:$F$2008,$A$9:$A$2008,A999))&lt;0.5,"Yes","No"))</f>
        <v/>
      </c>
      <c r="L999" s="10" t="str">
        <f aca="false">IF(A999="","",IF(IF(K999="No","Does not balance | ","")&amp;IF(I999="","Not approved | ",IF(UPPER(TRIM(H999))=UPPER(TRIM(I999)),"Self-approved | ",""))&amp;IF(J999="","No support | ","")&amp;IF(WEEKDAY(B999,2)&gt;5,"Weekend posting | ","")&amp;IF(COUNTIF(Settings!$A$14:$A$43,B999)&gt;0,"Holiday posting | ","")&amp;IF(B999&gt;Settings!$C$8,"Posted after close | ","")&amp;IF(OR(B999&lt;Settings!$C$6,B999&gt;Settings!$C$7),"Outside period | ","")&amp;IF(COUNTIF(Settings!$E$14:$E$43,C999&amp;"")&gt;0,"Sensitive account | ","")&amp;IF(AND(MAX(N(E999),N(F999))&gt;=Settings!$C$9,MOD(MAX(N(E999),N(F999)),Settings!$C$10)=0),"Round amount | ","")="","",LEFT(IF(K999="No","Does not balance | ","")&amp;IF(I999="","Not approved | ",IF(UPPER(TRIM(H999))=UPPER(TRIM(I999)),"Self-approved | ",""))&amp;IF(J999="","No support | ","")&amp;IF(WEEKDAY(B999,2)&gt;5,"Weekend posting | ","")&amp;IF(COUNTIF(Settings!$A$14:$A$43,B999)&gt;0,"Holiday posting | ","")&amp;IF(B999&gt;Settings!$C$8,"Posted after close | ","")&amp;IF(OR(B999&lt;Settings!$C$6,B999&gt;Settings!$C$7),"Outside period | ","")&amp;IF(COUNTIF(Settings!$E$14:$E$43,C999&amp;"")&gt;0,"Sensitive account | ","")&amp;IF(AND(MAX(N(E999),N(F999))&gt;=Settings!$C$9,MOD(MAX(N(E999),N(F999)),Settings!$C$10)=0),"Round amount | ",""),LEN(IF(K999="No","Does not balance | ","")&amp;IF(I999="","Not approved | ",IF(UPPER(TRIM(H999))=UPPER(TRIM(I999)),"Self-approved | ",""))&amp;IF(J999="","No support | ","")&amp;IF(WEEKDAY(B999,2)&gt;5,"Weekend posting | ","")&amp;IF(COUNTIF(Settings!$A$14:$A$43,B999)&gt;0,"Holiday posting | ","")&amp;IF(B999&gt;Settings!$C$8,"Posted after close | ","")&amp;IF(OR(B999&lt;Settings!$C$6,B999&gt;Settings!$C$7),"Outside period | ","")&amp;IF(COUNTIF(Settings!$E$14:$E$43,C999&amp;"")&gt;0,"Sensitive account | ","")&amp;IF(AND(MAX(N(E999),N(F999))&gt;=Settings!$C$9,MOD(MAX(N(E999),N(F999)),Settings!$C$10)=0),"Round amount | ",""))-3)))</f>
        <v/>
      </c>
      <c r="M999" s="21" t="str">
        <f aca="false">IF(A999="","",IF(COUNTIF($A$9:A999,A999)=1,MAX($M$8:M998)+1,""))</f>
        <v/>
      </c>
    </row>
    <row r="1000" customFormat="false" ht="15" hidden="false" customHeight="false" outlineLevel="0" collapsed="false">
      <c r="A1000" s="8"/>
      <c r="B1000" s="17"/>
      <c r="C1000" s="19"/>
      <c r="D1000" s="8"/>
      <c r="E1000" s="18"/>
      <c r="F1000" s="18"/>
      <c r="G1000" s="8"/>
      <c r="H1000" s="8"/>
      <c r="I1000" s="8"/>
      <c r="J1000" s="8"/>
      <c r="K1000" s="10" t="str">
        <f aca="false">IF(A1000="","",IF(ABS(SUMIFS($E$9:$E$2008,$A$9:$A$2008,A1000)-SUMIFS($F$9:$F$2008,$A$9:$A$2008,A1000))&lt;0.5,"Yes","No"))</f>
        <v/>
      </c>
      <c r="L1000" s="10" t="str">
        <f aca="false">IF(A1000="","",IF(IF(K1000="No","Does not balance | ","")&amp;IF(I1000="","Not approved | ",IF(UPPER(TRIM(H1000))=UPPER(TRIM(I1000)),"Self-approved | ",""))&amp;IF(J1000="","No support | ","")&amp;IF(WEEKDAY(B1000,2)&gt;5,"Weekend posting | ","")&amp;IF(COUNTIF(Settings!$A$14:$A$43,B1000)&gt;0,"Holiday posting | ","")&amp;IF(B1000&gt;Settings!$C$8,"Posted after close | ","")&amp;IF(OR(B1000&lt;Settings!$C$6,B1000&gt;Settings!$C$7),"Outside period | ","")&amp;IF(COUNTIF(Settings!$E$14:$E$43,C1000&amp;"")&gt;0,"Sensitive account | ","")&amp;IF(AND(MAX(N(E1000),N(F1000))&gt;=Settings!$C$9,MOD(MAX(N(E1000),N(F1000)),Settings!$C$10)=0),"Round amount | ","")="","",LEFT(IF(K1000="No","Does not balance | ","")&amp;IF(I1000="","Not approved | ",IF(UPPER(TRIM(H1000))=UPPER(TRIM(I1000)),"Self-approved | ",""))&amp;IF(J1000="","No support | ","")&amp;IF(WEEKDAY(B1000,2)&gt;5,"Weekend posting | ","")&amp;IF(COUNTIF(Settings!$A$14:$A$43,B1000)&gt;0,"Holiday posting | ","")&amp;IF(B1000&gt;Settings!$C$8,"Posted after close | ","")&amp;IF(OR(B1000&lt;Settings!$C$6,B1000&gt;Settings!$C$7),"Outside period | ","")&amp;IF(COUNTIF(Settings!$E$14:$E$43,C1000&amp;"")&gt;0,"Sensitive account | ","")&amp;IF(AND(MAX(N(E1000),N(F1000))&gt;=Settings!$C$9,MOD(MAX(N(E1000),N(F1000)),Settings!$C$10)=0),"Round amount | ",""),LEN(IF(K1000="No","Does not balance | ","")&amp;IF(I1000="","Not approved | ",IF(UPPER(TRIM(H1000))=UPPER(TRIM(I1000)),"Self-approved | ",""))&amp;IF(J1000="","No support | ","")&amp;IF(WEEKDAY(B1000,2)&gt;5,"Weekend posting | ","")&amp;IF(COUNTIF(Settings!$A$14:$A$43,B1000)&gt;0,"Holiday posting | ","")&amp;IF(B1000&gt;Settings!$C$8,"Posted after close | ","")&amp;IF(OR(B1000&lt;Settings!$C$6,B1000&gt;Settings!$C$7),"Outside period | ","")&amp;IF(COUNTIF(Settings!$E$14:$E$43,C1000&amp;"")&gt;0,"Sensitive account | ","")&amp;IF(AND(MAX(N(E1000),N(F1000))&gt;=Settings!$C$9,MOD(MAX(N(E1000),N(F1000)),Settings!$C$10)=0),"Round amount | ",""))-3)))</f>
        <v/>
      </c>
      <c r="M1000" s="21" t="str">
        <f aca="false">IF(A1000="","",IF(COUNTIF($A$9:A1000,A1000)=1,MAX($M$8:M999)+1,""))</f>
        <v/>
      </c>
    </row>
    <row r="1001" customFormat="false" ht="15" hidden="false" customHeight="false" outlineLevel="0" collapsed="false">
      <c r="A1001" s="8"/>
      <c r="B1001" s="17"/>
      <c r="C1001" s="19"/>
      <c r="D1001" s="8"/>
      <c r="E1001" s="18"/>
      <c r="F1001" s="18"/>
      <c r="G1001" s="8"/>
      <c r="H1001" s="8"/>
      <c r="I1001" s="8"/>
      <c r="J1001" s="8"/>
      <c r="K1001" s="10" t="str">
        <f aca="false">IF(A1001="","",IF(ABS(SUMIFS($E$9:$E$2008,$A$9:$A$2008,A1001)-SUMIFS($F$9:$F$2008,$A$9:$A$2008,A1001))&lt;0.5,"Yes","No"))</f>
        <v/>
      </c>
      <c r="L1001" s="10" t="str">
        <f aca="false">IF(A1001="","",IF(IF(K1001="No","Does not balance | ","")&amp;IF(I1001="","Not approved | ",IF(UPPER(TRIM(H1001))=UPPER(TRIM(I1001)),"Self-approved | ",""))&amp;IF(J1001="","No support | ","")&amp;IF(WEEKDAY(B1001,2)&gt;5,"Weekend posting | ","")&amp;IF(COUNTIF(Settings!$A$14:$A$43,B1001)&gt;0,"Holiday posting | ","")&amp;IF(B1001&gt;Settings!$C$8,"Posted after close | ","")&amp;IF(OR(B1001&lt;Settings!$C$6,B1001&gt;Settings!$C$7),"Outside period | ","")&amp;IF(COUNTIF(Settings!$E$14:$E$43,C1001&amp;"")&gt;0,"Sensitive account | ","")&amp;IF(AND(MAX(N(E1001),N(F1001))&gt;=Settings!$C$9,MOD(MAX(N(E1001),N(F1001)),Settings!$C$10)=0),"Round amount | ","")="","",LEFT(IF(K1001="No","Does not balance | ","")&amp;IF(I1001="","Not approved | ",IF(UPPER(TRIM(H1001))=UPPER(TRIM(I1001)),"Self-approved | ",""))&amp;IF(J1001="","No support | ","")&amp;IF(WEEKDAY(B1001,2)&gt;5,"Weekend posting | ","")&amp;IF(COUNTIF(Settings!$A$14:$A$43,B1001)&gt;0,"Holiday posting | ","")&amp;IF(B1001&gt;Settings!$C$8,"Posted after close | ","")&amp;IF(OR(B1001&lt;Settings!$C$6,B1001&gt;Settings!$C$7),"Outside period | ","")&amp;IF(COUNTIF(Settings!$E$14:$E$43,C1001&amp;"")&gt;0,"Sensitive account | ","")&amp;IF(AND(MAX(N(E1001),N(F1001))&gt;=Settings!$C$9,MOD(MAX(N(E1001),N(F1001)),Settings!$C$10)=0),"Round amount | ",""),LEN(IF(K1001="No","Does not balance | ","")&amp;IF(I1001="","Not approved | ",IF(UPPER(TRIM(H1001))=UPPER(TRIM(I1001)),"Self-approved | ",""))&amp;IF(J1001="","No support | ","")&amp;IF(WEEKDAY(B1001,2)&gt;5,"Weekend posting | ","")&amp;IF(COUNTIF(Settings!$A$14:$A$43,B1001)&gt;0,"Holiday posting | ","")&amp;IF(B1001&gt;Settings!$C$8,"Posted after close | ","")&amp;IF(OR(B1001&lt;Settings!$C$6,B1001&gt;Settings!$C$7),"Outside period | ","")&amp;IF(COUNTIF(Settings!$E$14:$E$43,C1001&amp;"")&gt;0,"Sensitive account | ","")&amp;IF(AND(MAX(N(E1001),N(F1001))&gt;=Settings!$C$9,MOD(MAX(N(E1001),N(F1001)),Settings!$C$10)=0),"Round amount | ",""))-3)))</f>
        <v/>
      </c>
      <c r="M1001" s="21" t="str">
        <f aca="false">IF(A1001="","",IF(COUNTIF($A$9:A1001,A1001)=1,MAX($M$8:M1000)+1,""))</f>
        <v/>
      </c>
    </row>
    <row r="1002" customFormat="false" ht="15" hidden="false" customHeight="false" outlineLevel="0" collapsed="false">
      <c r="A1002" s="8"/>
      <c r="B1002" s="17"/>
      <c r="C1002" s="19"/>
      <c r="D1002" s="8"/>
      <c r="E1002" s="18"/>
      <c r="F1002" s="18"/>
      <c r="G1002" s="8"/>
      <c r="H1002" s="8"/>
      <c r="I1002" s="8"/>
      <c r="J1002" s="8"/>
      <c r="K1002" s="10" t="str">
        <f aca="false">IF(A1002="","",IF(ABS(SUMIFS($E$9:$E$2008,$A$9:$A$2008,A1002)-SUMIFS($F$9:$F$2008,$A$9:$A$2008,A1002))&lt;0.5,"Yes","No"))</f>
        <v/>
      </c>
      <c r="L1002" s="10" t="str">
        <f aca="false">IF(A1002="","",IF(IF(K1002="No","Does not balance | ","")&amp;IF(I1002="","Not approved | ",IF(UPPER(TRIM(H1002))=UPPER(TRIM(I1002)),"Self-approved | ",""))&amp;IF(J1002="","No support | ","")&amp;IF(WEEKDAY(B1002,2)&gt;5,"Weekend posting | ","")&amp;IF(COUNTIF(Settings!$A$14:$A$43,B1002)&gt;0,"Holiday posting | ","")&amp;IF(B1002&gt;Settings!$C$8,"Posted after close | ","")&amp;IF(OR(B1002&lt;Settings!$C$6,B1002&gt;Settings!$C$7),"Outside period | ","")&amp;IF(COUNTIF(Settings!$E$14:$E$43,C1002&amp;"")&gt;0,"Sensitive account | ","")&amp;IF(AND(MAX(N(E1002),N(F1002))&gt;=Settings!$C$9,MOD(MAX(N(E1002),N(F1002)),Settings!$C$10)=0),"Round amount | ","")="","",LEFT(IF(K1002="No","Does not balance | ","")&amp;IF(I1002="","Not approved | ",IF(UPPER(TRIM(H1002))=UPPER(TRIM(I1002)),"Self-approved | ",""))&amp;IF(J1002="","No support | ","")&amp;IF(WEEKDAY(B1002,2)&gt;5,"Weekend posting | ","")&amp;IF(COUNTIF(Settings!$A$14:$A$43,B1002)&gt;0,"Holiday posting | ","")&amp;IF(B1002&gt;Settings!$C$8,"Posted after close | ","")&amp;IF(OR(B1002&lt;Settings!$C$6,B1002&gt;Settings!$C$7),"Outside period | ","")&amp;IF(COUNTIF(Settings!$E$14:$E$43,C1002&amp;"")&gt;0,"Sensitive account | ","")&amp;IF(AND(MAX(N(E1002),N(F1002))&gt;=Settings!$C$9,MOD(MAX(N(E1002),N(F1002)),Settings!$C$10)=0),"Round amount | ",""),LEN(IF(K1002="No","Does not balance | ","")&amp;IF(I1002="","Not approved | ",IF(UPPER(TRIM(H1002))=UPPER(TRIM(I1002)),"Self-approved | ",""))&amp;IF(J1002="","No support | ","")&amp;IF(WEEKDAY(B1002,2)&gt;5,"Weekend posting | ","")&amp;IF(COUNTIF(Settings!$A$14:$A$43,B1002)&gt;0,"Holiday posting | ","")&amp;IF(B1002&gt;Settings!$C$8,"Posted after close | ","")&amp;IF(OR(B1002&lt;Settings!$C$6,B1002&gt;Settings!$C$7),"Outside period | ","")&amp;IF(COUNTIF(Settings!$E$14:$E$43,C1002&amp;"")&gt;0,"Sensitive account | ","")&amp;IF(AND(MAX(N(E1002),N(F1002))&gt;=Settings!$C$9,MOD(MAX(N(E1002),N(F1002)),Settings!$C$10)=0),"Round amount | ",""))-3)))</f>
        <v/>
      </c>
      <c r="M1002" s="21" t="str">
        <f aca="false">IF(A1002="","",IF(COUNTIF($A$9:A1002,A1002)=1,MAX($M$8:M1001)+1,""))</f>
        <v/>
      </c>
    </row>
    <row r="1003" customFormat="false" ht="15" hidden="false" customHeight="false" outlineLevel="0" collapsed="false">
      <c r="A1003" s="8"/>
      <c r="B1003" s="17"/>
      <c r="C1003" s="19"/>
      <c r="D1003" s="8"/>
      <c r="E1003" s="18"/>
      <c r="F1003" s="18"/>
      <c r="G1003" s="8"/>
      <c r="H1003" s="8"/>
      <c r="I1003" s="8"/>
      <c r="J1003" s="8"/>
      <c r="K1003" s="10" t="str">
        <f aca="false">IF(A1003="","",IF(ABS(SUMIFS($E$9:$E$2008,$A$9:$A$2008,A1003)-SUMIFS($F$9:$F$2008,$A$9:$A$2008,A1003))&lt;0.5,"Yes","No"))</f>
        <v/>
      </c>
      <c r="L1003" s="10" t="str">
        <f aca="false">IF(A1003="","",IF(IF(K1003="No","Does not balance | ","")&amp;IF(I1003="","Not approved | ",IF(UPPER(TRIM(H1003))=UPPER(TRIM(I1003)),"Self-approved | ",""))&amp;IF(J1003="","No support | ","")&amp;IF(WEEKDAY(B1003,2)&gt;5,"Weekend posting | ","")&amp;IF(COUNTIF(Settings!$A$14:$A$43,B1003)&gt;0,"Holiday posting | ","")&amp;IF(B1003&gt;Settings!$C$8,"Posted after close | ","")&amp;IF(OR(B1003&lt;Settings!$C$6,B1003&gt;Settings!$C$7),"Outside period | ","")&amp;IF(COUNTIF(Settings!$E$14:$E$43,C1003&amp;"")&gt;0,"Sensitive account | ","")&amp;IF(AND(MAX(N(E1003),N(F1003))&gt;=Settings!$C$9,MOD(MAX(N(E1003),N(F1003)),Settings!$C$10)=0),"Round amount | ","")="","",LEFT(IF(K1003="No","Does not balance | ","")&amp;IF(I1003="","Not approved | ",IF(UPPER(TRIM(H1003))=UPPER(TRIM(I1003)),"Self-approved | ",""))&amp;IF(J1003="","No support | ","")&amp;IF(WEEKDAY(B1003,2)&gt;5,"Weekend posting | ","")&amp;IF(COUNTIF(Settings!$A$14:$A$43,B1003)&gt;0,"Holiday posting | ","")&amp;IF(B1003&gt;Settings!$C$8,"Posted after close | ","")&amp;IF(OR(B1003&lt;Settings!$C$6,B1003&gt;Settings!$C$7),"Outside period | ","")&amp;IF(COUNTIF(Settings!$E$14:$E$43,C1003&amp;"")&gt;0,"Sensitive account | ","")&amp;IF(AND(MAX(N(E1003),N(F1003))&gt;=Settings!$C$9,MOD(MAX(N(E1003),N(F1003)),Settings!$C$10)=0),"Round amount | ",""),LEN(IF(K1003="No","Does not balance | ","")&amp;IF(I1003="","Not approved | ",IF(UPPER(TRIM(H1003))=UPPER(TRIM(I1003)),"Self-approved | ",""))&amp;IF(J1003="","No support | ","")&amp;IF(WEEKDAY(B1003,2)&gt;5,"Weekend posting | ","")&amp;IF(COUNTIF(Settings!$A$14:$A$43,B1003)&gt;0,"Holiday posting | ","")&amp;IF(B1003&gt;Settings!$C$8,"Posted after close | ","")&amp;IF(OR(B1003&lt;Settings!$C$6,B1003&gt;Settings!$C$7),"Outside period | ","")&amp;IF(COUNTIF(Settings!$E$14:$E$43,C1003&amp;"")&gt;0,"Sensitive account | ","")&amp;IF(AND(MAX(N(E1003),N(F1003))&gt;=Settings!$C$9,MOD(MAX(N(E1003),N(F1003)),Settings!$C$10)=0),"Round amount | ",""))-3)))</f>
        <v/>
      </c>
      <c r="M1003" s="21" t="str">
        <f aca="false">IF(A1003="","",IF(COUNTIF($A$9:A1003,A1003)=1,MAX($M$8:M1002)+1,""))</f>
        <v/>
      </c>
    </row>
    <row r="1004" customFormat="false" ht="15" hidden="false" customHeight="false" outlineLevel="0" collapsed="false">
      <c r="A1004" s="8"/>
      <c r="B1004" s="17"/>
      <c r="C1004" s="19"/>
      <c r="D1004" s="8"/>
      <c r="E1004" s="18"/>
      <c r="F1004" s="18"/>
      <c r="G1004" s="8"/>
      <c r="H1004" s="8"/>
      <c r="I1004" s="8"/>
      <c r="J1004" s="8"/>
      <c r="K1004" s="10" t="str">
        <f aca="false">IF(A1004="","",IF(ABS(SUMIFS($E$9:$E$2008,$A$9:$A$2008,A1004)-SUMIFS($F$9:$F$2008,$A$9:$A$2008,A1004))&lt;0.5,"Yes","No"))</f>
        <v/>
      </c>
      <c r="L1004" s="10" t="str">
        <f aca="false">IF(A1004="","",IF(IF(K1004="No","Does not balance | ","")&amp;IF(I1004="","Not approved | ",IF(UPPER(TRIM(H1004))=UPPER(TRIM(I1004)),"Self-approved | ",""))&amp;IF(J1004="","No support | ","")&amp;IF(WEEKDAY(B1004,2)&gt;5,"Weekend posting | ","")&amp;IF(COUNTIF(Settings!$A$14:$A$43,B1004)&gt;0,"Holiday posting | ","")&amp;IF(B1004&gt;Settings!$C$8,"Posted after close | ","")&amp;IF(OR(B1004&lt;Settings!$C$6,B1004&gt;Settings!$C$7),"Outside period | ","")&amp;IF(COUNTIF(Settings!$E$14:$E$43,C1004&amp;"")&gt;0,"Sensitive account | ","")&amp;IF(AND(MAX(N(E1004),N(F1004))&gt;=Settings!$C$9,MOD(MAX(N(E1004),N(F1004)),Settings!$C$10)=0),"Round amount | ","")="","",LEFT(IF(K1004="No","Does not balance | ","")&amp;IF(I1004="","Not approved | ",IF(UPPER(TRIM(H1004))=UPPER(TRIM(I1004)),"Self-approved | ",""))&amp;IF(J1004="","No support | ","")&amp;IF(WEEKDAY(B1004,2)&gt;5,"Weekend posting | ","")&amp;IF(COUNTIF(Settings!$A$14:$A$43,B1004)&gt;0,"Holiday posting | ","")&amp;IF(B1004&gt;Settings!$C$8,"Posted after close | ","")&amp;IF(OR(B1004&lt;Settings!$C$6,B1004&gt;Settings!$C$7),"Outside period | ","")&amp;IF(COUNTIF(Settings!$E$14:$E$43,C1004&amp;"")&gt;0,"Sensitive account | ","")&amp;IF(AND(MAX(N(E1004),N(F1004))&gt;=Settings!$C$9,MOD(MAX(N(E1004),N(F1004)),Settings!$C$10)=0),"Round amount | ",""),LEN(IF(K1004="No","Does not balance | ","")&amp;IF(I1004="","Not approved | ",IF(UPPER(TRIM(H1004))=UPPER(TRIM(I1004)),"Self-approved | ",""))&amp;IF(J1004="","No support | ","")&amp;IF(WEEKDAY(B1004,2)&gt;5,"Weekend posting | ","")&amp;IF(COUNTIF(Settings!$A$14:$A$43,B1004)&gt;0,"Holiday posting | ","")&amp;IF(B1004&gt;Settings!$C$8,"Posted after close | ","")&amp;IF(OR(B1004&lt;Settings!$C$6,B1004&gt;Settings!$C$7),"Outside period | ","")&amp;IF(COUNTIF(Settings!$E$14:$E$43,C1004&amp;"")&gt;0,"Sensitive account | ","")&amp;IF(AND(MAX(N(E1004),N(F1004))&gt;=Settings!$C$9,MOD(MAX(N(E1004),N(F1004)),Settings!$C$10)=0),"Round amount | ",""))-3)))</f>
        <v/>
      </c>
      <c r="M1004" s="21" t="str">
        <f aca="false">IF(A1004="","",IF(COUNTIF($A$9:A1004,A1004)=1,MAX($M$8:M1003)+1,""))</f>
        <v/>
      </c>
    </row>
    <row r="1005" customFormat="false" ht="15" hidden="false" customHeight="false" outlineLevel="0" collapsed="false">
      <c r="A1005" s="8"/>
      <c r="B1005" s="17"/>
      <c r="C1005" s="19"/>
      <c r="D1005" s="8"/>
      <c r="E1005" s="18"/>
      <c r="F1005" s="18"/>
      <c r="G1005" s="8"/>
      <c r="H1005" s="8"/>
      <c r="I1005" s="8"/>
      <c r="J1005" s="8"/>
      <c r="K1005" s="10" t="str">
        <f aca="false">IF(A1005="","",IF(ABS(SUMIFS($E$9:$E$2008,$A$9:$A$2008,A1005)-SUMIFS($F$9:$F$2008,$A$9:$A$2008,A1005))&lt;0.5,"Yes","No"))</f>
        <v/>
      </c>
      <c r="L1005" s="10" t="str">
        <f aca="false">IF(A1005="","",IF(IF(K1005="No","Does not balance | ","")&amp;IF(I1005="","Not approved | ",IF(UPPER(TRIM(H1005))=UPPER(TRIM(I1005)),"Self-approved | ",""))&amp;IF(J1005="","No support | ","")&amp;IF(WEEKDAY(B1005,2)&gt;5,"Weekend posting | ","")&amp;IF(COUNTIF(Settings!$A$14:$A$43,B1005)&gt;0,"Holiday posting | ","")&amp;IF(B1005&gt;Settings!$C$8,"Posted after close | ","")&amp;IF(OR(B1005&lt;Settings!$C$6,B1005&gt;Settings!$C$7),"Outside period | ","")&amp;IF(COUNTIF(Settings!$E$14:$E$43,C1005&amp;"")&gt;0,"Sensitive account | ","")&amp;IF(AND(MAX(N(E1005),N(F1005))&gt;=Settings!$C$9,MOD(MAX(N(E1005),N(F1005)),Settings!$C$10)=0),"Round amount | ","")="","",LEFT(IF(K1005="No","Does not balance | ","")&amp;IF(I1005="","Not approved | ",IF(UPPER(TRIM(H1005))=UPPER(TRIM(I1005)),"Self-approved | ",""))&amp;IF(J1005="","No support | ","")&amp;IF(WEEKDAY(B1005,2)&gt;5,"Weekend posting | ","")&amp;IF(COUNTIF(Settings!$A$14:$A$43,B1005)&gt;0,"Holiday posting | ","")&amp;IF(B1005&gt;Settings!$C$8,"Posted after close | ","")&amp;IF(OR(B1005&lt;Settings!$C$6,B1005&gt;Settings!$C$7),"Outside period | ","")&amp;IF(COUNTIF(Settings!$E$14:$E$43,C1005&amp;"")&gt;0,"Sensitive account | ","")&amp;IF(AND(MAX(N(E1005),N(F1005))&gt;=Settings!$C$9,MOD(MAX(N(E1005),N(F1005)),Settings!$C$10)=0),"Round amount | ",""),LEN(IF(K1005="No","Does not balance | ","")&amp;IF(I1005="","Not approved | ",IF(UPPER(TRIM(H1005))=UPPER(TRIM(I1005)),"Self-approved | ",""))&amp;IF(J1005="","No support | ","")&amp;IF(WEEKDAY(B1005,2)&gt;5,"Weekend posting | ","")&amp;IF(COUNTIF(Settings!$A$14:$A$43,B1005)&gt;0,"Holiday posting | ","")&amp;IF(B1005&gt;Settings!$C$8,"Posted after close | ","")&amp;IF(OR(B1005&lt;Settings!$C$6,B1005&gt;Settings!$C$7),"Outside period | ","")&amp;IF(COUNTIF(Settings!$E$14:$E$43,C1005&amp;"")&gt;0,"Sensitive account | ","")&amp;IF(AND(MAX(N(E1005),N(F1005))&gt;=Settings!$C$9,MOD(MAX(N(E1005),N(F1005)),Settings!$C$10)=0),"Round amount | ",""))-3)))</f>
        <v/>
      </c>
      <c r="M1005" s="21" t="str">
        <f aca="false">IF(A1005="","",IF(COUNTIF($A$9:A1005,A1005)=1,MAX($M$8:M1004)+1,""))</f>
        <v/>
      </c>
    </row>
    <row r="1006" customFormat="false" ht="15" hidden="false" customHeight="false" outlineLevel="0" collapsed="false">
      <c r="A1006" s="8"/>
      <c r="B1006" s="17"/>
      <c r="C1006" s="19"/>
      <c r="D1006" s="8"/>
      <c r="E1006" s="18"/>
      <c r="F1006" s="18"/>
      <c r="G1006" s="8"/>
      <c r="H1006" s="8"/>
      <c r="I1006" s="8"/>
      <c r="J1006" s="8"/>
      <c r="K1006" s="10" t="str">
        <f aca="false">IF(A1006="","",IF(ABS(SUMIFS($E$9:$E$2008,$A$9:$A$2008,A1006)-SUMIFS($F$9:$F$2008,$A$9:$A$2008,A1006))&lt;0.5,"Yes","No"))</f>
        <v/>
      </c>
      <c r="L1006" s="10" t="str">
        <f aca="false">IF(A1006="","",IF(IF(K1006="No","Does not balance | ","")&amp;IF(I1006="","Not approved | ",IF(UPPER(TRIM(H1006))=UPPER(TRIM(I1006)),"Self-approved | ",""))&amp;IF(J1006="","No support | ","")&amp;IF(WEEKDAY(B1006,2)&gt;5,"Weekend posting | ","")&amp;IF(COUNTIF(Settings!$A$14:$A$43,B1006)&gt;0,"Holiday posting | ","")&amp;IF(B1006&gt;Settings!$C$8,"Posted after close | ","")&amp;IF(OR(B1006&lt;Settings!$C$6,B1006&gt;Settings!$C$7),"Outside period | ","")&amp;IF(COUNTIF(Settings!$E$14:$E$43,C1006&amp;"")&gt;0,"Sensitive account | ","")&amp;IF(AND(MAX(N(E1006),N(F1006))&gt;=Settings!$C$9,MOD(MAX(N(E1006),N(F1006)),Settings!$C$10)=0),"Round amount | ","")="","",LEFT(IF(K1006="No","Does not balance | ","")&amp;IF(I1006="","Not approved | ",IF(UPPER(TRIM(H1006))=UPPER(TRIM(I1006)),"Self-approved | ",""))&amp;IF(J1006="","No support | ","")&amp;IF(WEEKDAY(B1006,2)&gt;5,"Weekend posting | ","")&amp;IF(COUNTIF(Settings!$A$14:$A$43,B1006)&gt;0,"Holiday posting | ","")&amp;IF(B1006&gt;Settings!$C$8,"Posted after close | ","")&amp;IF(OR(B1006&lt;Settings!$C$6,B1006&gt;Settings!$C$7),"Outside period | ","")&amp;IF(COUNTIF(Settings!$E$14:$E$43,C1006&amp;"")&gt;0,"Sensitive account | ","")&amp;IF(AND(MAX(N(E1006),N(F1006))&gt;=Settings!$C$9,MOD(MAX(N(E1006),N(F1006)),Settings!$C$10)=0),"Round amount | ",""),LEN(IF(K1006="No","Does not balance | ","")&amp;IF(I1006="","Not approved | ",IF(UPPER(TRIM(H1006))=UPPER(TRIM(I1006)),"Self-approved | ",""))&amp;IF(J1006="","No support | ","")&amp;IF(WEEKDAY(B1006,2)&gt;5,"Weekend posting | ","")&amp;IF(COUNTIF(Settings!$A$14:$A$43,B1006)&gt;0,"Holiday posting | ","")&amp;IF(B1006&gt;Settings!$C$8,"Posted after close | ","")&amp;IF(OR(B1006&lt;Settings!$C$6,B1006&gt;Settings!$C$7),"Outside period | ","")&amp;IF(COUNTIF(Settings!$E$14:$E$43,C1006&amp;"")&gt;0,"Sensitive account | ","")&amp;IF(AND(MAX(N(E1006),N(F1006))&gt;=Settings!$C$9,MOD(MAX(N(E1006),N(F1006)),Settings!$C$10)=0),"Round amount | ",""))-3)))</f>
        <v/>
      </c>
      <c r="M1006" s="21" t="str">
        <f aca="false">IF(A1006="","",IF(COUNTIF($A$9:A1006,A1006)=1,MAX($M$8:M1005)+1,""))</f>
        <v/>
      </c>
    </row>
    <row r="1007" customFormat="false" ht="15" hidden="false" customHeight="false" outlineLevel="0" collapsed="false">
      <c r="A1007" s="8"/>
      <c r="B1007" s="17"/>
      <c r="C1007" s="19"/>
      <c r="D1007" s="8"/>
      <c r="E1007" s="18"/>
      <c r="F1007" s="18"/>
      <c r="G1007" s="8"/>
      <c r="H1007" s="8"/>
      <c r="I1007" s="8"/>
      <c r="J1007" s="8"/>
      <c r="K1007" s="10" t="str">
        <f aca="false">IF(A1007="","",IF(ABS(SUMIFS($E$9:$E$2008,$A$9:$A$2008,A1007)-SUMIFS($F$9:$F$2008,$A$9:$A$2008,A1007))&lt;0.5,"Yes","No"))</f>
        <v/>
      </c>
      <c r="L1007" s="10" t="str">
        <f aca="false">IF(A1007="","",IF(IF(K1007="No","Does not balance | ","")&amp;IF(I1007="","Not approved | ",IF(UPPER(TRIM(H1007))=UPPER(TRIM(I1007)),"Self-approved | ",""))&amp;IF(J1007="","No support | ","")&amp;IF(WEEKDAY(B1007,2)&gt;5,"Weekend posting | ","")&amp;IF(COUNTIF(Settings!$A$14:$A$43,B1007)&gt;0,"Holiday posting | ","")&amp;IF(B1007&gt;Settings!$C$8,"Posted after close | ","")&amp;IF(OR(B1007&lt;Settings!$C$6,B1007&gt;Settings!$C$7),"Outside period | ","")&amp;IF(COUNTIF(Settings!$E$14:$E$43,C1007&amp;"")&gt;0,"Sensitive account | ","")&amp;IF(AND(MAX(N(E1007),N(F1007))&gt;=Settings!$C$9,MOD(MAX(N(E1007),N(F1007)),Settings!$C$10)=0),"Round amount | ","")="","",LEFT(IF(K1007="No","Does not balance | ","")&amp;IF(I1007="","Not approved | ",IF(UPPER(TRIM(H1007))=UPPER(TRIM(I1007)),"Self-approved | ",""))&amp;IF(J1007="","No support | ","")&amp;IF(WEEKDAY(B1007,2)&gt;5,"Weekend posting | ","")&amp;IF(COUNTIF(Settings!$A$14:$A$43,B1007)&gt;0,"Holiday posting | ","")&amp;IF(B1007&gt;Settings!$C$8,"Posted after close | ","")&amp;IF(OR(B1007&lt;Settings!$C$6,B1007&gt;Settings!$C$7),"Outside period | ","")&amp;IF(COUNTIF(Settings!$E$14:$E$43,C1007&amp;"")&gt;0,"Sensitive account | ","")&amp;IF(AND(MAX(N(E1007),N(F1007))&gt;=Settings!$C$9,MOD(MAX(N(E1007),N(F1007)),Settings!$C$10)=0),"Round amount | ",""),LEN(IF(K1007="No","Does not balance | ","")&amp;IF(I1007="","Not approved | ",IF(UPPER(TRIM(H1007))=UPPER(TRIM(I1007)),"Self-approved | ",""))&amp;IF(J1007="","No support | ","")&amp;IF(WEEKDAY(B1007,2)&gt;5,"Weekend posting | ","")&amp;IF(COUNTIF(Settings!$A$14:$A$43,B1007)&gt;0,"Holiday posting | ","")&amp;IF(B1007&gt;Settings!$C$8,"Posted after close | ","")&amp;IF(OR(B1007&lt;Settings!$C$6,B1007&gt;Settings!$C$7),"Outside period | ","")&amp;IF(COUNTIF(Settings!$E$14:$E$43,C1007&amp;"")&gt;0,"Sensitive account | ","")&amp;IF(AND(MAX(N(E1007),N(F1007))&gt;=Settings!$C$9,MOD(MAX(N(E1007),N(F1007)),Settings!$C$10)=0),"Round amount | ",""))-3)))</f>
        <v/>
      </c>
      <c r="M1007" s="21" t="str">
        <f aca="false">IF(A1007="","",IF(COUNTIF($A$9:A1007,A1007)=1,MAX($M$8:M1006)+1,""))</f>
        <v/>
      </c>
    </row>
    <row r="1008" customFormat="false" ht="15" hidden="false" customHeight="false" outlineLevel="0" collapsed="false">
      <c r="A1008" s="8"/>
      <c r="B1008" s="17"/>
      <c r="C1008" s="19"/>
      <c r="D1008" s="8"/>
      <c r="E1008" s="18"/>
      <c r="F1008" s="18"/>
      <c r="G1008" s="8"/>
      <c r="H1008" s="8"/>
      <c r="I1008" s="8"/>
      <c r="J1008" s="8"/>
      <c r="K1008" s="10" t="str">
        <f aca="false">IF(A1008="","",IF(ABS(SUMIFS($E$9:$E$2008,$A$9:$A$2008,A1008)-SUMIFS($F$9:$F$2008,$A$9:$A$2008,A1008))&lt;0.5,"Yes","No"))</f>
        <v/>
      </c>
      <c r="L1008" s="10" t="str">
        <f aca="false">IF(A1008="","",IF(IF(K1008="No","Does not balance | ","")&amp;IF(I1008="","Not approved | ",IF(UPPER(TRIM(H1008))=UPPER(TRIM(I1008)),"Self-approved | ",""))&amp;IF(J1008="","No support | ","")&amp;IF(WEEKDAY(B1008,2)&gt;5,"Weekend posting | ","")&amp;IF(COUNTIF(Settings!$A$14:$A$43,B1008)&gt;0,"Holiday posting | ","")&amp;IF(B1008&gt;Settings!$C$8,"Posted after close | ","")&amp;IF(OR(B1008&lt;Settings!$C$6,B1008&gt;Settings!$C$7),"Outside period | ","")&amp;IF(COUNTIF(Settings!$E$14:$E$43,C1008&amp;"")&gt;0,"Sensitive account | ","")&amp;IF(AND(MAX(N(E1008),N(F1008))&gt;=Settings!$C$9,MOD(MAX(N(E1008),N(F1008)),Settings!$C$10)=0),"Round amount | ","")="","",LEFT(IF(K1008="No","Does not balance | ","")&amp;IF(I1008="","Not approved | ",IF(UPPER(TRIM(H1008))=UPPER(TRIM(I1008)),"Self-approved | ",""))&amp;IF(J1008="","No support | ","")&amp;IF(WEEKDAY(B1008,2)&gt;5,"Weekend posting | ","")&amp;IF(COUNTIF(Settings!$A$14:$A$43,B1008)&gt;0,"Holiday posting | ","")&amp;IF(B1008&gt;Settings!$C$8,"Posted after close | ","")&amp;IF(OR(B1008&lt;Settings!$C$6,B1008&gt;Settings!$C$7),"Outside period | ","")&amp;IF(COUNTIF(Settings!$E$14:$E$43,C1008&amp;"")&gt;0,"Sensitive account | ","")&amp;IF(AND(MAX(N(E1008),N(F1008))&gt;=Settings!$C$9,MOD(MAX(N(E1008),N(F1008)),Settings!$C$10)=0),"Round amount | ",""),LEN(IF(K1008="No","Does not balance | ","")&amp;IF(I1008="","Not approved | ",IF(UPPER(TRIM(H1008))=UPPER(TRIM(I1008)),"Self-approved | ",""))&amp;IF(J1008="","No support | ","")&amp;IF(WEEKDAY(B1008,2)&gt;5,"Weekend posting | ","")&amp;IF(COUNTIF(Settings!$A$14:$A$43,B1008)&gt;0,"Holiday posting | ","")&amp;IF(B1008&gt;Settings!$C$8,"Posted after close | ","")&amp;IF(OR(B1008&lt;Settings!$C$6,B1008&gt;Settings!$C$7),"Outside period | ","")&amp;IF(COUNTIF(Settings!$E$14:$E$43,C1008&amp;"")&gt;0,"Sensitive account | ","")&amp;IF(AND(MAX(N(E1008),N(F1008))&gt;=Settings!$C$9,MOD(MAX(N(E1008),N(F1008)),Settings!$C$10)=0),"Round amount | ",""))-3)))</f>
        <v/>
      </c>
      <c r="M1008" s="21" t="str">
        <f aca="false">IF(A1008="","",IF(COUNTIF($A$9:A1008,A1008)=1,MAX($M$8:M1007)+1,""))</f>
        <v/>
      </c>
    </row>
    <row r="1009" customFormat="false" ht="15" hidden="false" customHeight="false" outlineLevel="0" collapsed="false">
      <c r="A1009" s="8"/>
      <c r="B1009" s="17"/>
      <c r="C1009" s="19"/>
      <c r="D1009" s="8"/>
      <c r="E1009" s="18"/>
      <c r="F1009" s="18"/>
      <c r="G1009" s="8"/>
      <c r="H1009" s="8"/>
      <c r="I1009" s="8"/>
      <c r="J1009" s="8"/>
      <c r="K1009" s="10" t="str">
        <f aca="false">IF(A1009="","",IF(ABS(SUMIFS($E$9:$E$2008,$A$9:$A$2008,A1009)-SUMIFS($F$9:$F$2008,$A$9:$A$2008,A1009))&lt;0.5,"Yes","No"))</f>
        <v/>
      </c>
      <c r="L1009" s="10" t="str">
        <f aca="false">IF(A1009="","",IF(IF(K1009="No","Does not balance | ","")&amp;IF(I1009="","Not approved | ",IF(UPPER(TRIM(H1009))=UPPER(TRIM(I1009)),"Self-approved | ",""))&amp;IF(J1009="","No support | ","")&amp;IF(WEEKDAY(B1009,2)&gt;5,"Weekend posting | ","")&amp;IF(COUNTIF(Settings!$A$14:$A$43,B1009)&gt;0,"Holiday posting | ","")&amp;IF(B1009&gt;Settings!$C$8,"Posted after close | ","")&amp;IF(OR(B1009&lt;Settings!$C$6,B1009&gt;Settings!$C$7),"Outside period | ","")&amp;IF(COUNTIF(Settings!$E$14:$E$43,C1009&amp;"")&gt;0,"Sensitive account | ","")&amp;IF(AND(MAX(N(E1009),N(F1009))&gt;=Settings!$C$9,MOD(MAX(N(E1009),N(F1009)),Settings!$C$10)=0),"Round amount | ","")="","",LEFT(IF(K1009="No","Does not balance | ","")&amp;IF(I1009="","Not approved | ",IF(UPPER(TRIM(H1009))=UPPER(TRIM(I1009)),"Self-approved | ",""))&amp;IF(J1009="","No support | ","")&amp;IF(WEEKDAY(B1009,2)&gt;5,"Weekend posting | ","")&amp;IF(COUNTIF(Settings!$A$14:$A$43,B1009)&gt;0,"Holiday posting | ","")&amp;IF(B1009&gt;Settings!$C$8,"Posted after close | ","")&amp;IF(OR(B1009&lt;Settings!$C$6,B1009&gt;Settings!$C$7),"Outside period | ","")&amp;IF(COUNTIF(Settings!$E$14:$E$43,C1009&amp;"")&gt;0,"Sensitive account | ","")&amp;IF(AND(MAX(N(E1009),N(F1009))&gt;=Settings!$C$9,MOD(MAX(N(E1009),N(F1009)),Settings!$C$10)=0),"Round amount | ",""),LEN(IF(K1009="No","Does not balance | ","")&amp;IF(I1009="","Not approved | ",IF(UPPER(TRIM(H1009))=UPPER(TRIM(I1009)),"Self-approved | ",""))&amp;IF(J1009="","No support | ","")&amp;IF(WEEKDAY(B1009,2)&gt;5,"Weekend posting | ","")&amp;IF(COUNTIF(Settings!$A$14:$A$43,B1009)&gt;0,"Holiday posting | ","")&amp;IF(B1009&gt;Settings!$C$8,"Posted after close | ","")&amp;IF(OR(B1009&lt;Settings!$C$6,B1009&gt;Settings!$C$7),"Outside period | ","")&amp;IF(COUNTIF(Settings!$E$14:$E$43,C1009&amp;"")&gt;0,"Sensitive account | ","")&amp;IF(AND(MAX(N(E1009),N(F1009))&gt;=Settings!$C$9,MOD(MAX(N(E1009),N(F1009)),Settings!$C$10)=0),"Round amount | ",""))-3)))</f>
        <v/>
      </c>
      <c r="M1009" s="21" t="str">
        <f aca="false">IF(A1009="","",IF(COUNTIF($A$9:A1009,A1009)=1,MAX($M$8:M1008)+1,""))</f>
        <v/>
      </c>
    </row>
    <row r="1010" customFormat="false" ht="15" hidden="false" customHeight="false" outlineLevel="0" collapsed="false">
      <c r="A1010" s="8"/>
      <c r="B1010" s="17"/>
      <c r="C1010" s="19"/>
      <c r="D1010" s="8"/>
      <c r="E1010" s="18"/>
      <c r="F1010" s="18"/>
      <c r="G1010" s="8"/>
      <c r="H1010" s="8"/>
      <c r="I1010" s="8"/>
      <c r="J1010" s="8"/>
      <c r="K1010" s="10" t="str">
        <f aca="false">IF(A1010="","",IF(ABS(SUMIFS($E$9:$E$2008,$A$9:$A$2008,A1010)-SUMIFS($F$9:$F$2008,$A$9:$A$2008,A1010))&lt;0.5,"Yes","No"))</f>
        <v/>
      </c>
      <c r="L1010" s="10" t="str">
        <f aca="false">IF(A1010="","",IF(IF(K1010="No","Does not balance | ","")&amp;IF(I1010="","Not approved | ",IF(UPPER(TRIM(H1010))=UPPER(TRIM(I1010)),"Self-approved | ",""))&amp;IF(J1010="","No support | ","")&amp;IF(WEEKDAY(B1010,2)&gt;5,"Weekend posting | ","")&amp;IF(COUNTIF(Settings!$A$14:$A$43,B1010)&gt;0,"Holiday posting | ","")&amp;IF(B1010&gt;Settings!$C$8,"Posted after close | ","")&amp;IF(OR(B1010&lt;Settings!$C$6,B1010&gt;Settings!$C$7),"Outside period | ","")&amp;IF(COUNTIF(Settings!$E$14:$E$43,C1010&amp;"")&gt;0,"Sensitive account | ","")&amp;IF(AND(MAX(N(E1010),N(F1010))&gt;=Settings!$C$9,MOD(MAX(N(E1010),N(F1010)),Settings!$C$10)=0),"Round amount | ","")="","",LEFT(IF(K1010="No","Does not balance | ","")&amp;IF(I1010="","Not approved | ",IF(UPPER(TRIM(H1010))=UPPER(TRIM(I1010)),"Self-approved | ",""))&amp;IF(J1010="","No support | ","")&amp;IF(WEEKDAY(B1010,2)&gt;5,"Weekend posting | ","")&amp;IF(COUNTIF(Settings!$A$14:$A$43,B1010)&gt;0,"Holiday posting | ","")&amp;IF(B1010&gt;Settings!$C$8,"Posted after close | ","")&amp;IF(OR(B1010&lt;Settings!$C$6,B1010&gt;Settings!$C$7),"Outside period | ","")&amp;IF(COUNTIF(Settings!$E$14:$E$43,C1010&amp;"")&gt;0,"Sensitive account | ","")&amp;IF(AND(MAX(N(E1010),N(F1010))&gt;=Settings!$C$9,MOD(MAX(N(E1010),N(F1010)),Settings!$C$10)=0),"Round amount | ",""),LEN(IF(K1010="No","Does not balance | ","")&amp;IF(I1010="","Not approved | ",IF(UPPER(TRIM(H1010))=UPPER(TRIM(I1010)),"Self-approved | ",""))&amp;IF(J1010="","No support | ","")&amp;IF(WEEKDAY(B1010,2)&gt;5,"Weekend posting | ","")&amp;IF(COUNTIF(Settings!$A$14:$A$43,B1010)&gt;0,"Holiday posting | ","")&amp;IF(B1010&gt;Settings!$C$8,"Posted after close | ","")&amp;IF(OR(B1010&lt;Settings!$C$6,B1010&gt;Settings!$C$7),"Outside period | ","")&amp;IF(COUNTIF(Settings!$E$14:$E$43,C1010&amp;"")&gt;0,"Sensitive account | ","")&amp;IF(AND(MAX(N(E1010),N(F1010))&gt;=Settings!$C$9,MOD(MAX(N(E1010),N(F1010)),Settings!$C$10)=0),"Round amount | ",""))-3)))</f>
        <v/>
      </c>
      <c r="M1010" s="21" t="str">
        <f aca="false">IF(A1010="","",IF(COUNTIF($A$9:A1010,A1010)=1,MAX($M$8:M1009)+1,""))</f>
        <v/>
      </c>
    </row>
    <row r="1011" customFormat="false" ht="15" hidden="false" customHeight="false" outlineLevel="0" collapsed="false">
      <c r="A1011" s="8"/>
      <c r="B1011" s="17"/>
      <c r="C1011" s="19"/>
      <c r="D1011" s="8"/>
      <c r="E1011" s="18"/>
      <c r="F1011" s="18"/>
      <c r="G1011" s="8"/>
      <c r="H1011" s="8"/>
      <c r="I1011" s="8"/>
      <c r="J1011" s="8"/>
      <c r="K1011" s="10" t="str">
        <f aca="false">IF(A1011="","",IF(ABS(SUMIFS($E$9:$E$2008,$A$9:$A$2008,A1011)-SUMIFS($F$9:$F$2008,$A$9:$A$2008,A1011))&lt;0.5,"Yes","No"))</f>
        <v/>
      </c>
      <c r="L1011" s="10" t="str">
        <f aca="false">IF(A1011="","",IF(IF(K1011="No","Does not balance | ","")&amp;IF(I1011="","Not approved | ",IF(UPPER(TRIM(H1011))=UPPER(TRIM(I1011)),"Self-approved | ",""))&amp;IF(J1011="","No support | ","")&amp;IF(WEEKDAY(B1011,2)&gt;5,"Weekend posting | ","")&amp;IF(COUNTIF(Settings!$A$14:$A$43,B1011)&gt;0,"Holiday posting | ","")&amp;IF(B1011&gt;Settings!$C$8,"Posted after close | ","")&amp;IF(OR(B1011&lt;Settings!$C$6,B1011&gt;Settings!$C$7),"Outside period | ","")&amp;IF(COUNTIF(Settings!$E$14:$E$43,C1011&amp;"")&gt;0,"Sensitive account | ","")&amp;IF(AND(MAX(N(E1011),N(F1011))&gt;=Settings!$C$9,MOD(MAX(N(E1011),N(F1011)),Settings!$C$10)=0),"Round amount | ","")="","",LEFT(IF(K1011="No","Does not balance | ","")&amp;IF(I1011="","Not approved | ",IF(UPPER(TRIM(H1011))=UPPER(TRIM(I1011)),"Self-approved | ",""))&amp;IF(J1011="","No support | ","")&amp;IF(WEEKDAY(B1011,2)&gt;5,"Weekend posting | ","")&amp;IF(COUNTIF(Settings!$A$14:$A$43,B1011)&gt;0,"Holiday posting | ","")&amp;IF(B1011&gt;Settings!$C$8,"Posted after close | ","")&amp;IF(OR(B1011&lt;Settings!$C$6,B1011&gt;Settings!$C$7),"Outside period | ","")&amp;IF(COUNTIF(Settings!$E$14:$E$43,C1011&amp;"")&gt;0,"Sensitive account | ","")&amp;IF(AND(MAX(N(E1011),N(F1011))&gt;=Settings!$C$9,MOD(MAX(N(E1011),N(F1011)),Settings!$C$10)=0),"Round amount | ",""),LEN(IF(K1011="No","Does not balance | ","")&amp;IF(I1011="","Not approved | ",IF(UPPER(TRIM(H1011))=UPPER(TRIM(I1011)),"Self-approved | ",""))&amp;IF(J1011="","No support | ","")&amp;IF(WEEKDAY(B1011,2)&gt;5,"Weekend posting | ","")&amp;IF(COUNTIF(Settings!$A$14:$A$43,B1011)&gt;0,"Holiday posting | ","")&amp;IF(B1011&gt;Settings!$C$8,"Posted after close | ","")&amp;IF(OR(B1011&lt;Settings!$C$6,B1011&gt;Settings!$C$7),"Outside period | ","")&amp;IF(COUNTIF(Settings!$E$14:$E$43,C1011&amp;"")&gt;0,"Sensitive account | ","")&amp;IF(AND(MAX(N(E1011),N(F1011))&gt;=Settings!$C$9,MOD(MAX(N(E1011),N(F1011)),Settings!$C$10)=0),"Round amount | ",""))-3)))</f>
        <v/>
      </c>
      <c r="M1011" s="21" t="str">
        <f aca="false">IF(A1011="","",IF(COUNTIF($A$9:A1011,A1011)=1,MAX($M$8:M1010)+1,""))</f>
        <v/>
      </c>
    </row>
    <row r="1012" customFormat="false" ht="15" hidden="false" customHeight="false" outlineLevel="0" collapsed="false">
      <c r="A1012" s="8"/>
      <c r="B1012" s="17"/>
      <c r="C1012" s="19"/>
      <c r="D1012" s="8"/>
      <c r="E1012" s="18"/>
      <c r="F1012" s="18"/>
      <c r="G1012" s="8"/>
      <c r="H1012" s="8"/>
      <c r="I1012" s="8"/>
      <c r="J1012" s="8"/>
      <c r="K1012" s="10" t="str">
        <f aca="false">IF(A1012="","",IF(ABS(SUMIFS($E$9:$E$2008,$A$9:$A$2008,A1012)-SUMIFS($F$9:$F$2008,$A$9:$A$2008,A1012))&lt;0.5,"Yes","No"))</f>
        <v/>
      </c>
      <c r="L1012" s="10" t="str">
        <f aca="false">IF(A1012="","",IF(IF(K1012="No","Does not balance | ","")&amp;IF(I1012="","Not approved | ",IF(UPPER(TRIM(H1012))=UPPER(TRIM(I1012)),"Self-approved | ",""))&amp;IF(J1012="","No support | ","")&amp;IF(WEEKDAY(B1012,2)&gt;5,"Weekend posting | ","")&amp;IF(COUNTIF(Settings!$A$14:$A$43,B1012)&gt;0,"Holiday posting | ","")&amp;IF(B1012&gt;Settings!$C$8,"Posted after close | ","")&amp;IF(OR(B1012&lt;Settings!$C$6,B1012&gt;Settings!$C$7),"Outside period | ","")&amp;IF(COUNTIF(Settings!$E$14:$E$43,C1012&amp;"")&gt;0,"Sensitive account | ","")&amp;IF(AND(MAX(N(E1012),N(F1012))&gt;=Settings!$C$9,MOD(MAX(N(E1012),N(F1012)),Settings!$C$10)=0),"Round amount | ","")="","",LEFT(IF(K1012="No","Does not balance | ","")&amp;IF(I1012="","Not approved | ",IF(UPPER(TRIM(H1012))=UPPER(TRIM(I1012)),"Self-approved | ",""))&amp;IF(J1012="","No support | ","")&amp;IF(WEEKDAY(B1012,2)&gt;5,"Weekend posting | ","")&amp;IF(COUNTIF(Settings!$A$14:$A$43,B1012)&gt;0,"Holiday posting | ","")&amp;IF(B1012&gt;Settings!$C$8,"Posted after close | ","")&amp;IF(OR(B1012&lt;Settings!$C$6,B1012&gt;Settings!$C$7),"Outside period | ","")&amp;IF(COUNTIF(Settings!$E$14:$E$43,C1012&amp;"")&gt;0,"Sensitive account | ","")&amp;IF(AND(MAX(N(E1012),N(F1012))&gt;=Settings!$C$9,MOD(MAX(N(E1012),N(F1012)),Settings!$C$10)=0),"Round amount | ",""),LEN(IF(K1012="No","Does not balance | ","")&amp;IF(I1012="","Not approved | ",IF(UPPER(TRIM(H1012))=UPPER(TRIM(I1012)),"Self-approved | ",""))&amp;IF(J1012="","No support | ","")&amp;IF(WEEKDAY(B1012,2)&gt;5,"Weekend posting | ","")&amp;IF(COUNTIF(Settings!$A$14:$A$43,B1012)&gt;0,"Holiday posting | ","")&amp;IF(B1012&gt;Settings!$C$8,"Posted after close | ","")&amp;IF(OR(B1012&lt;Settings!$C$6,B1012&gt;Settings!$C$7),"Outside period | ","")&amp;IF(COUNTIF(Settings!$E$14:$E$43,C1012&amp;"")&gt;0,"Sensitive account | ","")&amp;IF(AND(MAX(N(E1012),N(F1012))&gt;=Settings!$C$9,MOD(MAX(N(E1012),N(F1012)),Settings!$C$10)=0),"Round amount | ",""))-3)))</f>
        <v/>
      </c>
      <c r="M1012" s="21" t="str">
        <f aca="false">IF(A1012="","",IF(COUNTIF($A$9:A1012,A1012)=1,MAX($M$8:M1011)+1,""))</f>
        <v/>
      </c>
    </row>
    <row r="1013" customFormat="false" ht="15" hidden="false" customHeight="false" outlineLevel="0" collapsed="false">
      <c r="A1013" s="8"/>
      <c r="B1013" s="17"/>
      <c r="C1013" s="19"/>
      <c r="D1013" s="8"/>
      <c r="E1013" s="18"/>
      <c r="F1013" s="18"/>
      <c r="G1013" s="8"/>
      <c r="H1013" s="8"/>
      <c r="I1013" s="8"/>
      <c r="J1013" s="8"/>
      <c r="K1013" s="10" t="str">
        <f aca="false">IF(A1013="","",IF(ABS(SUMIFS($E$9:$E$2008,$A$9:$A$2008,A1013)-SUMIFS($F$9:$F$2008,$A$9:$A$2008,A1013))&lt;0.5,"Yes","No"))</f>
        <v/>
      </c>
      <c r="L1013" s="10" t="str">
        <f aca="false">IF(A1013="","",IF(IF(K1013="No","Does not balance | ","")&amp;IF(I1013="","Not approved | ",IF(UPPER(TRIM(H1013))=UPPER(TRIM(I1013)),"Self-approved | ",""))&amp;IF(J1013="","No support | ","")&amp;IF(WEEKDAY(B1013,2)&gt;5,"Weekend posting | ","")&amp;IF(COUNTIF(Settings!$A$14:$A$43,B1013)&gt;0,"Holiday posting | ","")&amp;IF(B1013&gt;Settings!$C$8,"Posted after close | ","")&amp;IF(OR(B1013&lt;Settings!$C$6,B1013&gt;Settings!$C$7),"Outside period | ","")&amp;IF(COUNTIF(Settings!$E$14:$E$43,C1013&amp;"")&gt;0,"Sensitive account | ","")&amp;IF(AND(MAX(N(E1013),N(F1013))&gt;=Settings!$C$9,MOD(MAX(N(E1013),N(F1013)),Settings!$C$10)=0),"Round amount | ","")="","",LEFT(IF(K1013="No","Does not balance | ","")&amp;IF(I1013="","Not approved | ",IF(UPPER(TRIM(H1013))=UPPER(TRIM(I1013)),"Self-approved | ",""))&amp;IF(J1013="","No support | ","")&amp;IF(WEEKDAY(B1013,2)&gt;5,"Weekend posting | ","")&amp;IF(COUNTIF(Settings!$A$14:$A$43,B1013)&gt;0,"Holiday posting | ","")&amp;IF(B1013&gt;Settings!$C$8,"Posted after close | ","")&amp;IF(OR(B1013&lt;Settings!$C$6,B1013&gt;Settings!$C$7),"Outside period | ","")&amp;IF(COUNTIF(Settings!$E$14:$E$43,C1013&amp;"")&gt;0,"Sensitive account | ","")&amp;IF(AND(MAX(N(E1013),N(F1013))&gt;=Settings!$C$9,MOD(MAX(N(E1013),N(F1013)),Settings!$C$10)=0),"Round amount | ",""),LEN(IF(K1013="No","Does not balance | ","")&amp;IF(I1013="","Not approved | ",IF(UPPER(TRIM(H1013))=UPPER(TRIM(I1013)),"Self-approved | ",""))&amp;IF(J1013="","No support | ","")&amp;IF(WEEKDAY(B1013,2)&gt;5,"Weekend posting | ","")&amp;IF(COUNTIF(Settings!$A$14:$A$43,B1013)&gt;0,"Holiday posting | ","")&amp;IF(B1013&gt;Settings!$C$8,"Posted after close | ","")&amp;IF(OR(B1013&lt;Settings!$C$6,B1013&gt;Settings!$C$7),"Outside period | ","")&amp;IF(COUNTIF(Settings!$E$14:$E$43,C1013&amp;"")&gt;0,"Sensitive account | ","")&amp;IF(AND(MAX(N(E1013),N(F1013))&gt;=Settings!$C$9,MOD(MAX(N(E1013),N(F1013)),Settings!$C$10)=0),"Round amount | ",""))-3)))</f>
        <v/>
      </c>
      <c r="M1013" s="21" t="str">
        <f aca="false">IF(A1013="","",IF(COUNTIF($A$9:A1013,A1013)=1,MAX($M$8:M1012)+1,""))</f>
        <v/>
      </c>
    </row>
    <row r="1014" customFormat="false" ht="15" hidden="false" customHeight="false" outlineLevel="0" collapsed="false">
      <c r="A1014" s="8"/>
      <c r="B1014" s="17"/>
      <c r="C1014" s="19"/>
      <c r="D1014" s="8"/>
      <c r="E1014" s="18"/>
      <c r="F1014" s="18"/>
      <c r="G1014" s="8"/>
      <c r="H1014" s="8"/>
      <c r="I1014" s="8"/>
      <c r="J1014" s="8"/>
      <c r="K1014" s="10" t="str">
        <f aca="false">IF(A1014="","",IF(ABS(SUMIFS($E$9:$E$2008,$A$9:$A$2008,A1014)-SUMIFS($F$9:$F$2008,$A$9:$A$2008,A1014))&lt;0.5,"Yes","No"))</f>
        <v/>
      </c>
      <c r="L1014" s="10" t="str">
        <f aca="false">IF(A1014="","",IF(IF(K1014="No","Does not balance | ","")&amp;IF(I1014="","Not approved | ",IF(UPPER(TRIM(H1014))=UPPER(TRIM(I1014)),"Self-approved | ",""))&amp;IF(J1014="","No support | ","")&amp;IF(WEEKDAY(B1014,2)&gt;5,"Weekend posting | ","")&amp;IF(COUNTIF(Settings!$A$14:$A$43,B1014)&gt;0,"Holiday posting | ","")&amp;IF(B1014&gt;Settings!$C$8,"Posted after close | ","")&amp;IF(OR(B1014&lt;Settings!$C$6,B1014&gt;Settings!$C$7),"Outside period | ","")&amp;IF(COUNTIF(Settings!$E$14:$E$43,C1014&amp;"")&gt;0,"Sensitive account | ","")&amp;IF(AND(MAX(N(E1014),N(F1014))&gt;=Settings!$C$9,MOD(MAX(N(E1014),N(F1014)),Settings!$C$10)=0),"Round amount | ","")="","",LEFT(IF(K1014="No","Does not balance | ","")&amp;IF(I1014="","Not approved | ",IF(UPPER(TRIM(H1014))=UPPER(TRIM(I1014)),"Self-approved | ",""))&amp;IF(J1014="","No support | ","")&amp;IF(WEEKDAY(B1014,2)&gt;5,"Weekend posting | ","")&amp;IF(COUNTIF(Settings!$A$14:$A$43,B1014)&gt;0,"Holiday posting | ","")&amp;IF(B1014&gt;Settings!$C$8,"Posted after close | ","")&amp;IF(OR(B1014&lt;Settings!$C$6,B1014&gt;Settings!$C$7),"Outside period | ","")&amp;IF(COUNTIF(Settings!$E$14:$E$43,C1014&amp;"")&gt;0,"Sensitive account | ","")&amp;IF(AND(MAX(N(E1014),N(F1014))&gt;=Settings!$C$9,MOD(MAX(N(E1014),N(F1014)),Settings!$C$10)=0),"Round amount | ",""),LEN(IF(K1014="No","Does not balance | ","")&amp;IF(I1014="","Not approved | ",IF(UPPER(TRIM(H1014))=UPPER(TRIM(I1014)),"Self-approved | ",""))&amp;IF(J1014="","No support | ","")&amp;IF(WEEKDAY(B1014,2)&gt;5,"Weekend posting | ","")&amp;IF(COUNTIF(Settings!$A$14:$A$43,B1014)&gt;0,"Holiday posting | ","")&amp;IF(B1014&gt;Settings!$C$8,"Posted after close | ","")&amp;IF(OR(B1014&lt;Settings!$C$6,B1014&gt;Settings!$C$7),"Outside period | ","")&amp;IF(COUNTIF(Settings!$E$14:$E$43,C1014&amp;"")&gt;0,"Sensitive account | ","")&amp;IF(AND(MAX(N(E1014),N(F1014))&gt;=Settings!$C$9,MOD(MAX(N(E1014),N(F1014)),Settings!$C$10)=0),"Round amount | ",""))-3)))</f>
        <v/>
      </c>
      <c r="M1014" s="21" t="str">
        <f aca="false">IF(A1014="","",IF(COUNTIF($A$9:A1014,A1014)=1,MAX($M$8:M1013)+1,""))</f>
        <v/>
      </c>
    </row>
    <row r="1015" customFormat="false" ht="15" hidden="false" customHeight="false" outlineLevel="0" collapsed="false">
      <c r="A1015" s="8"/>
      <c r="B1015" s="17"/>
      <c r="C1015" s="19"/>
      <c r="D1015" s="8"/>
      <c r="E1015" s="18"/>
      <c r="F1015" s="18"/>
      <c r="G1015" s="8"/>
      <c r="H1015" s="8"/>
      <c r="I1015" s="8"/>
      <c r="J1015" s="8"/>
      <c r="K1015" s="10" t="str">
        <f aca="false">IF(A1015="","",IF(ABS(SUMIFS($E$9:$E$2008,$A$9:$A$2008,A1015)-SUMIFS($F$9:$F$2008,$A$9:$A$2008,A1015))&lt;0.5,"Yes","No"))</f>
        <v/>
      </c>
      <c r="L1015" s="10" t="str">
        <f aca="false">IF(A1015="","",IF(IF(K1015="No","Does not balance | ","")&amp;IF(I1015="","Not approved | ",IF(UPPER(TRIM(H1015))=UPPER(TRIM(I1015)),"Self-approved | ",""))&amp;IF(J1015="","No support | ","")&amp;IF(WEEKDAY(B1015,2)&gt;5,"Weekend posting | ","")&amp;IF(COUNTIF(Settings!$A$14:$A$43,B1015)&gt;0,"Holiday posting | ","")&amp;IF(B1015&gt;Settings!$C$8,"Posted after close | ","")&amp;IF(OR(B1015&lt;Settings!$C$6,B1015&gt;Settings!$C$7),"Outside period | ","")&amp;IF(COUNTIF(Settings!$E$14:$E$43,C1015&amp;"")&gt;0,"Sensitive account | ","")&amp;IF(AND(MAX(N(E1015),N(F1015))&gt;=Settings!$C$9,MOD(MAX(N(E1015),N(F1015)),Settings!$C$10)=0),"Round amount | ","")="","",LEFT(IF(K1015="No","Does not balance | ","")&amp;IF(I1015="","Not approved | ",IF(UPPER(TRIM(H1015))=UPPER(TRIM(I1015)),"Self-approved | ",""))&amp;IF(J1015="","No support | ","")&amp;IF(WEEKDAY(B1015,2)&gt;5,"Weekend posting | ","")&amp;IF(COUNTIF(Settings!$A$14:$A$43,B1015)&gt;0,"Holiday posting | ","")&amp;IF(B1015&gt;Settings!$C$8,"Posted after close | ","")&amp;IF(OR(B1015&lt;Settings!$C$6,B1015&gt;Settings!$C$7),"Outside period | ","")&amp;IF(COUNTIF(Settings!$E$14:$E$43,C1015&amp;"")&gt;0,"Sensitive account | ","")&amp;IF(AND(MAX(N(E1015),N(F1015))&gt;=Settings!$C$9,MOD(MAX(N(E1015),N(F1015)),Settings!$C$10)=0),"Round amount | ",""),LEN(IF(K1015="No","Does not balance | ","")&amp;IF(I1015="","Not approved | ",IF(UPPER(TRIM(H1015))=UPPER(TRIM(I1015)),"Self-approved | ",""))&amp;IF(J1015="","No support | ","")&amp;IF(WEEKDAY(B1015,2)&gt;5,"Weekend posting | ","")&amp;IF(COUNTIF(Settings!$A$14:$A$43,B1015)&gt;0,"Holiday posting | ","")&amp;IF(B1015&gt;Settings!$C$8,"Posted after close | ","")&amp;IF(OR(B1015&lt;Settings!$C$6,B1015&gt;Settings!$C$7),"Outside period | ","")&amp;IF(COUNTIF(Settings!$E$14:$E$43,C1015&amp;"")&gt;0,"Sensitive account | ","")&amp;IF(AND(MAX(N(E1015),N(F1015))&gt;=Settings!$C$9,MOD(MAX(N(E1015),N(F1015)),Settings!$C$10)=0),"Round amount | ",""))-3)))</f>
        <v/>
      </c>
      <c r="M1015" s="21" t="str">
        <f aca="false">IF(A1015="","",IF(COUNTIF($A$9:A1015,A1015)=1,MAX($M$8:M1014)+1,""))</f>
        <v/>
      </c>
    </row>
    <row r="1016" customFormat="false" ht="15" hidden="false" customHeight="false" outlineLevel="0" collapsed="false">
      <c r="A1016" s="8"/>
      <c r="B1016" s="17"/>
      <c r="C1016" s="19"/>
      <c r="D1016" s="8"/>
      <c r="E1016" s="18"/>
      <c r="F1016" s="18"/>
      <c r="G1016" s="8"/>
      <c r="H1016" s="8"/>
      <c r="I1016" s="8"/>
      <c r="J1016" s="8"/>
      <c r="K1016" s="10" t="str">
        <f aca="false">IF(A1016="","",IF(ABS(SUMIFS($E$9:$E$2008,$A$9:$A$2008,A1016)-SUMIFS($F$9:$F$2008,$A$9:$A$2008,A1016))&lt;0.5,"Yes","No"))</f>
        <v/>
      </c>
      <c r="L1016" s="10" t="str">
        <f aca="false">IF(A1016="","",IF(IF(K1016="No","Does not balance | ","")&amp;IF(I1016="","Not approved | ",IF(UPPER(TRIM(H1016))=UPPER(TRIM(I1016)),"Self-approved | ",""))&amp;IF(J1016="","No support | ","")&amp;IF(WEEKDAY(B1016,2)&gt;5,"Weekend posting | ","")&amp;IF(COUNTIF(Settings!$A$14:$A$43,B1016)&gt;0,"Holiday posting | ","")&amp;IF(B1016&gt;Settings!$C$8,"Posted after close | ","")&amp;IF(OR(B1016&lt;Settings!$C$6,B1016&gt;Settings!$C$7),"Outside period | ","")&amp;IF(COUNTIF(Settings!$E$14:$E$43,C1016&amp;"")&gt;0,"Sensitive account | ","")&amp;IF(AND(MAX(N(E1016),N(F1016))&gt;=Settings!$C$9,MOD(MAX(N(E1016),N(F1016)),Settings!$C$10)=0),"Round amount | ","")="","",LEFT(IF(K1016="No","Does not balance | ","")&amp;IF(I1016="","Not approved | ",IF(UPPER(TRIM(H1016))=UPPER(TRIM(I1016)),"Self-approved | ",""))&amp;IF(J1016="","No support | ","")&amp;IF(WEEKDAY(B1016,2)&gt;5,"Weekend posting | ","")&amp;IF(COUNTIF(Settings!$A$14:$A$43,B1016)&gt;0,"Holiday posting | ","")&amp;IF(B1016&gt;Settings!$C$8,"Posted after close | ","")&amp;IF(OR(B1016&lt;Settings!$C$6,B1016&gt;Settings!$C$7),"Outside period | ","")&amp;IF(COUNTIF(Settings!$E$14:$E$43,C1016&amp;"")&gt;0,"Sensitive account | ","")&amp;IF(AND(MAX(N(E1016),N(F1016))&gt;=Settings!$C$9,MOD(MAX(N(E1016),N(F1016)),Settings!$C$10)=0),"Round amount | ",""),LEN(IF(K1016="No","Does not balance | ","")&amp;IF(I1016="","Not approved | ",IF(UPPER(TRIM(H1016))=UPPER(TRIM(I1016)),"Self-approved | ",""))&amp;IF(J1016="","No support | ","")&amp;IF(WEEKDAY(B1016,2)&gt;5,"Weekend posting | ","")&amp;IF(COUNTIF(Settings!$A$14:$A$43,B1016)&gt;0,"Holiday posting | ","")&amp;IF(B1016&gt;Settings!$C$8,"Posted after close | ","")&amp;IF(OR(B1016&lt;Settings!$C$6,B1016&gt;Settings!$C$7),"Outside period | ","")&amp;IF(COUNTIF(Settings!$E$14:$E$43,C1016&amp;"")&gt;0,"Sensitive account | ","")&amp;IF(AND(MAX(N(E1016),N(F1016))&gt;=Settings!$C$9,MOD(MAX(N(E1016),N(F1016)),Settings!$C$10)=0),"Round amount | ",""))-3)))</f>
        <v/>
      </c>
      <c r="M1016" s="21" t="str">
        <f aca="false">IF(A1016="","",IF(COUNTIF($A$9:A1016,A1016)=1,MAX($M$8:M1015)+1,""))</f>
        <v/>
      </c>
    </row>
    <row r="1017" customFormat="false" ht="15" hidden="false" customHeight="false" outlineLevel="0" collapsed="false">
      <c r="A1017" s="8"/>
      <c r="B1017" s="17"/>
      <c r="C1017" s="19"/>
      <c r="D1017" s="8"/>
      <c r="E1017" s="18"/>
      <c r="F1017" s="18"/>
      <c r="G1017" s="8"/>
      <c r="H1017" s="8"/>
      <c r="I1017" s="8"/>
      <c r="J1017" s="8"/>
      <c r="K1017" s="10" t="str">
        <f aca="false">IF(A1017="","",IF(ABS(SUMIFS($E$9:$E$2008,$A$9:$A$2008,A1017)-SUMIFS($F$9:$F$2008,$A$9:$A$2008,A1017))&lt;0.5,"Yes","No"))</f>
        <v/>
      </c>
      <c r="L1017" s="10" t="str">
        <f aca="false">IF(A1017="","",IF(IF(K1017="No","Does not balance | ","")&amp;IF(I1017="","Not approved | ",IF(UPPER(TRIM(H1017))=UPPER(TRIM(I1017)),"Self-approved | ",""))&amp;IF(J1017="","No support | ","")&amp;IF(WEEKDAY(B1017,2)&gt;5,"Weekend posting | ","")&amp;IF(COUNTIF(Settings!$A$14:$A$43,B1017)&gt;0,"Holiday posting | ","")&amp;IF(B1017&gt;Settings!$C$8,"Posted after close | ","")&amp;IF(OR(B1017&lt;Settings!$C$6,B1017&gt;Settings!$C$7),"Outside period | ","")&amp;IF(COUNTIF(Settings!$E$14:$E$43,C1017&amp;"")&gt;0,"Sensitive account | ","")&amp;IF(AND(MAX(N(E1017),N(F1017))&gt;=Settings!$C$9,MOD(MAX(N(E1017),N(F1017)),Settings!$C$10)=0),"Round amount | ","")="","",LEFT(IF(K1017="No","Does not balance | ","")&amp;IF(I1017="","Not approved | ",IF(UPPER(TRIM(H1017))=UPPER(TRIM(I1017)),"Self-approved | ",""))&amp;IF(J1017="","No support | ","")&amp;IF(WEEKDAY(B1017,2)&gt;5,"Weekend posting | ","")&amp;IF(COUNTIF(Settings!$A$14:$A$43,B1017)&gt;0,"Holiday posting | ","")&amp;IF(B1017&gt;Settings!$C$8,"Posted after close | ","")&amp;IF(OR(B1017&lt;Settings!$C$6,B1017&gt;Settings!$C$7),"Outside period | ","")&amp;IF(COUNTIF(Settings!$E$14:$E$43,C1017&amp;"")&gt;0,"Sensitive account | ","")&amp;IF(AND(MAX(N(E1017),N(F1017))&gt;=Settings!$C$9,MOD(MAX(N(E1017),N(F1017)),Settings!$C$10)=0),"Round amount | ",""),LEN(IF(K1017="No","Does not balance | ","")&amp;IF(I1017="","Not approved | ",IF(UPPER(TRIM(H1017))=UPPER(TRIM(I1017)),"Self-approved | ",""))&amp;IF(J1017="","No support | ","")&amp;IF(WEEKDAY(B1017,2)&gt;5,"Weekend posting | ","")&amp;IF(COUNTIF(Settings!$A$14:$A$43,B1017)&gt;0,"Holiday posting | ","")&amp;IF(B1017&gt;Settings!$C$8,"Posted after close | ","")&amp;IF(OR(B1017&lt;Settings!$C$6,B1017&gt;Settings!$C$7),"Outside period | ","")&amp;IF(COUNTIF(Settings!$E$14:$E$43,C1017&amp;"")&gt;0,"Sensitive account | ","")&amp;IF(AND(MAX(N(E1017),N(F1017))&gt;=Settings!$C$9,MOD(MAX(N(E1017),N(F1017)),Settings!$C$10)=0),"Round amount | ",""))-3)))</f>
        <v/>
      </c>
      <c r="M1017" s="21" t="str">
        <f aca="false">IF(A1017="","",IF(COUNTIF($A$9:A1017,A1017)=1,MAX($M$8:M1016)+1,""))</f>
        <v/>
      </c>
    </row>
    <row r="1018" customFormat="false" ht="15" hidden="false" customHeight="false" outlineLevel="0" collapsed="false">
      <c r="A1018" s="8"/>
      <c r="B1018" s="17"/>
      <c r="C1018" s="19"/>
      <c r="D1018" s="8"/>
      <c r="E1018" s="18"/>
      <c r="F1018" s="18"/>
      <c r="G1018" s="8"/>
      <c r="H1018" s="8"/>
      <c r="I1018" s="8"/>
      <c r="J1018" s="8"/>
      <c r="K1018" s="10" t="str">
        <f aca="false">IF(A1018="","",IF(ABS(SUMIFS($E$9:$E$2008,$A$9:$A$2008,A1018)-SUMIFS($F$9:$F$2008,$A$9:$A$2008,A1018))&lt;0.5,"Yes","No"))</f>
        <v/>
      </c>
      <c r="L1018" s="10" t="str">
        <f aca="false">IF(A1018="","",IF(IF(K1018="No","Does not balance | ","")&amp;IF(I1018="","Not approved | ",IF(UPPER(TRIM(H1018))=UPPER(TRIM(I1018)),"Self-approved | ",""))&amp;IF(J1018="","No support | ","")&amp;IF(WEEKDAY(B1018,2)&gt;5,"Weekend posting | ","")&amp;IF(COUNTIF(Settings!$A$14:$A$43,B1018)&gt;0,"Holiday posting | ","")&amp;IF(B1018&gt;Settings!$C$8,"Posted after close | ","")&amp;IF(OR(B1018&lt;Settings!$C$6,B1018&gt;Settings!$C$7),"Outside period | ","")&amp;IF(COUNTIF(Settings!$E$14:$E$43,C1018&amp;"")&gt;0,"Sensitive account | ","")&amp;IF(AND(MAX(N(E1018),N(F1018))&gt;=Settings!$C$9,MOD(MAX(N(E1018),N(F1018)),Settings!$C$10)=0),"Round amount | ","")="","",LEFT(IF(K1018="No","Does not balance | ","")&amp;IF(I1018="","Not approved | ",IF(UPPER(TRIM(H1018))=UPPER(TRIM(I1018)),"Self-approved | ",""))&amp;IF(J1018="","No support | ","")&amp;IF(WEEKDAY(B1018,2)&gt;5,"Weekend posting | ","")&amp;IF(COUNTIF(Settings!$A$14:$A$43,B1018)&gt;0,"Holiday posting | ","")&amp;IF(B1018&gt;Settings!$C$8,"Posted after close | ","")&amp;IF(OR(B1018&lt;Settings!$C$6,B1018&gt;Settings!$C$7),"Outside period | ","")&amp;IF(COUNTIF(Settings!$E$14:$E$43,C1018&amp;"")&gt;0,"Sensitive account | ","")&amp;IF(AND(MAX(N(E1018),N(F1018))&gt;=Settings!$C$9,MOD(MAX(N(E1018),N(F1018)),Settings!$C$10)=0),"Round amount | ",""),LEN(IF(K1018="No","Does not balance | ","")&amp;IF(I1018="","Not approved | ",IF(UPPER(TRIM(H1018))=UPPER(TRIM(I1018)),"Self-approved | ",""))&amp;IF(J1018="","No support | ","")&amp;IF(WEEKDAY(B1018,2)&gt;5,"Weekend posting | ","")&amp;IF(COUNTIF(Settings!$A$14:$A$43,B1018)&gt;0,"Holiday posting | ","")&amp;IF(B1018&gt;Settings!$C$8,"Posted after close | ","")&amp;IF(OR(B1018&lt;Settings!$C$6,B1018&gt;Settings!$C$7),"Outside period | ","")&amp;IF(COUNTIF(Settings!$E$14:$E$43,C1018&amp;"")&gt;0,"Sensitive account | ","")&amp;IF(AND(MAX(N(E1018),N(F1018))&gt;=Settings!$C$9,MOD(MAX(N(E1018),N(F1018)),Settings!$C$10)=0),"Round amount | ",""))-3)))</f>
        <v/>
      </c>
      <c r="M1018" s="21" t="str">
        <f aca="false">IF(A1018="","",IF(COUNTIF($A$9:A1018,A1018)=1,MAX($M$8:M1017)+1,""))</f>
        <v/>
      </c>
    </row>
    <row r="1019" customFormat="false" ht="15" hidden="false" customHeight="false" outlineLevel="0" collapsed="false">
      <c r="A1019" s="8"/>
      <c r="B1019" s="17"/>
      <c r="C1019" s="19"/>
      <c r="D1019" s="8"/>
      <c r="E1019" s="18"/>
      <c r="F1019" s="18"/>
      <c r="G1019" s="8"/>
      <c r="H1019" s="8"/>
      <c r="I1019" s="8"/>
      <c r="J1019" s="8"/>
      <c r="K1019" s="10" t="str">
        <f aca="false">IF(A1019="","",IF(ABS(SUMIFS($E$9:$E$2008,$A$9:$A$2008,A1019)-SUMIFS($F$9:$F$2008,$A$9:$A$2008,A1019))&lt;0.5,"Yes","No"))</f>
        <v/>
      </c>
      <c r="L1019" s="10" t="str">
        <f aca="false">IF(A1019="","",IF(IF(K1019="No","Does not balance | ","")&amp;IF(I1019="","Not approved | ",IF(UPPER(TRIM(H1019))=UPPER(TRIM(I1019)),"Self-approved | ",""))&amp;IF(J1019="","No support | ","")&amp;IF(WEEKDAY(B1019,2)&gt;5,"Weekend posting | ","")&amp;IF(COUNTIF(Settings!$A$14:$A$43,B1019)&gt;0,"Holiday posting | ","")&amp;IF(B1019&gt;Settings!$C$8,"Posted after close | ","")&amp;IF(OR(B1019&lt;Settings!$C$6,B1019&gt;Settings!$C$7),"Outside period | ","")&amp;IF(COUNTIF(Settings!$E$14:$E$43,C1019&amp;"")&gt;0,"Sensitive account | ","")&amp;IF(AND(MAX(N(E1019),N(F1019))&gt;=Settings!$C$9,MOD(MAX(N(E1019),N(F1019)),Settings!$C$10)=0),"Round amount | ","")="","",LEFT(IF(K1019="No","Does not balance | ","")&amp;IF(I1019="","Not approved | ",IF(UPPER(TRIM(H1019))=UPPER(TRIM(I1019)),"Self-approved | ",""))&amp;IF(J1019="","No support | ","")&amp;IF(WEEKDAY(B1019,2)&gt;5,"Weekend posting | ","")&amp;IF(COUNTIF(Settings!$A$14:$A$43,B1019)&gt;0,"Holiday posting | ","")&amp;IF(B1019&gt;Settings!$C$8,"Posted after close | ","")&amp;IF(OR(B1019&lt;Settings!$C$6,B1019&gt;Settings!$C$7),"Outside period | ","")&amp;IF(COUNTIF(Settings!$E$14:$E$43,C1019&amp;"")&gt;0,"Sensitive account | ","")&amp;IF(AND(MAX(N(E1019),N(F1019))&gt;=Settings!$C$9,MOD(MAX(N(E1019),N(F1019)),Settings!$C$10)=0),"Round amount | ",""),LEN(IF(K1019="No","Does not balance | ","")&amp;IF(I1019="","Not approved | ",IF(UPPER(TRIM(H1019))=UPPER(TRIM(I1019)),"Self-approved | ",""))&amp;IF(J1019="","No support | ","")&amp;IF(WEEKDAY(B1019,2)&gt;5,"Weekend posting | ","")&amp;IF(COUNTIF(Settings!$A$14:$A$43,B1019)&gt;0,"Holiday posting | ","")&amp;IF(B1019&gt;Settings!$C$8,"Posted after close | ","")&amp;IF(OR(B1019&lt;Settings!$C$6,B1019&gt;Settings!$C$7),"Outside period | ","")&amp;IF(COUNTIF(Settings!$E$14:$E$43,C1019&amp;"")&gt;0,"Sensitive account | ","")&amp;IF(AND(MAX(N(E1019),N(F1019))&gt;=Settings!$C$9,MOD(MAX(N(E1019),N(F1019)),Settings!$C$10)=0),"Round amount | ",""))-3)))</f>
        <v/>
      </c>
      <c r="M1019" s="21" t="str">
        <f aca="false">IF(A1019="","",IF(COUNTIF($A$9:A1019,A1019)=1,MAX($M$8:M1018)+1,""))</f>
        <v/>
      </c>
    </row>
    <row r="1020" customFormat="false" ht="15" hidden="false" customHeight="false" outlineLevel="0" collapsed="false">
      <c r="A1020" s="8"/>
      <c r="B1020" s="17"/>
      <c r="C1020" s="19"/>
      <c r="D1020" s="8"/>
      <c r="E1020" s="18"/>
      <c r="F1020" s="18"/>
      <c r="G1020" s="8"/>
      <c r="H1020" s="8"/>
      <c r="I1020" s="8"/>
      <c r="J1020" s="8"/>
      <c r="K1020" s="10" t="str">
        <f aca="false">IF(A1020="","",IF(ABS(SUMIFS($E$9:$E$2008,$A$9:$A$2008,A1020)-SUMIFS($F$9:$F$2008,$A$9:$A$2008,A1020))&lt;0.5,"Yes","No"))</f>
        <v/>
      </c>
      <c r="L1020" s="10" t="str">
        <f aca="false">IF(A1020="","",IF(IF(K1020="No","Does not balance | ","")&amp;IF(I1020="","Not approved | ",IF(UPPER(TRIM(H1020))=UPPER(TRIM(I1020)),"Self-approved | ",""))&amp;IF(J1020="","No support | ","")&amp;IF(WEEKDAY(B1020,2)&gt;5,"Weekend posting | ","")&amp;IF(COUNTIF(Settings!$A$14:$A$43,B1020)&gt;0,"Holiday posting | ","")&amp;IF(B1020&gt;Settings!$C$8,"Posted after close | ","")&amp;IF(OR(B1020&lt;Settings!$C$6,B1020&gt;Settings!$C$7),"Outside period | ","")&amp;IF(COUNTIF(Settings!$E$14:$E$43,C1020&amp;"")&gt;0,"Sensitive account | ","")&amp;IF(AND(MAX(N(E1020),N(F1020))&gt;=Settings!$C$9,MOD(MAX(N(E1020),N(F1020)),Settings!$C$10)=0),"Round amount | ","")="","",LEFT(IF(K1020="No","Does not balance | ","")&amp;IF(I1020="","Not approved | ",IF(UPPER(TRIM(H1020))=UPPER(TRIM(I1020)),"Self-approved | ",""))&amp;IF(J1020="","No support | ","")&amp;IF(WEEKDAY(B1020,2)&gt;5,"Weekend posting | ","")&amp;IF(COUNTIF(Settings!$A$14:$A$43,B1020)&gt;0,"Holiday posting | ","")&amp;IF(B1020&gt;Settings!$C$8,"Posted after close | ","")&amp;IF(OR(B1020&lt;Settings!$C$6,B1020&gt;Settings!$C$7),"Outside period | ","")&amp;IF(COUNTIF(Settings!$E$14:$E$43,C1020&amp;"")&gt;0,"Sensitive account | ","")&amp;IF(AND(MAX(N(E1020),N(F1020))&gt;=Settings!$C$9,MOD(MAX(N(E1020),N(F1020)),Settings!$C$10)=0),"Round amount | ",""),LEN(IF(K1020="No","Does not balance | ","")&amp;IF(I1020="","Not approved | ",IF(UPPER(TRIM(H1020))=UPPER(TRIM(I1020)),"Self-approved | ",""))&amp;IF(J1020="","No support | ","")&amp;IF(WEEKDAY(B1020,2)&gt;5,"Weekend posting | ","")&amp;IF(COUNTIF(Settings!$A$14:$A$43,B1020)&gt;0,"Holiday posting | ","")&amp;IF(B1020&gt;Settings!$C$8,"Posted after close | ","")&amp;IF(OR(B1020&lt;Settings!$C$6,B1020&gt;Settings!$C$7),"Outside period | ","")&amp;IF(COUNTIF(Settings!$E$14:$E$43,C1020&amp;"")&gt;0,"Sensitive account | ","")&amp;IF(AND(MAX(N(E1020),N(F1020))&gt;=Settings!$C$9,MOD(MAX(N(E1020),N(F1020)),Settings!$C$10)=0),"Round amount | ",""))-3)))</f>
        <v/>
      </c>
      <c r="M1020" s="21" t="str">
        <f aca="false">IF(A1020="","",IF(COUNTIF($A$9:A1020,A1020)=1,MAX($M$8:M1019)+1,""))</f>
        <v/>
      </c>
    </row>
    <row r="1021" customFormat="false" ht="15" hidden="false" customHeight="false" outlineLevel="0" collapsed="false">
      <c r="A1021" s="8"/>
      <c r="B1021" s="17"/>
      <c r="C1021" s="19"/>
      <c r="D1021" s="8"/>
      <c r="E1021" s="18"/>
      <c r="F1021" s="18"/>
      <c r="G1021" s="8"/>
      <c r="H1021" s="8"/>
      <c r="I1021" s="8"/>
      <c r="J1021" s="8"/>
      <c r="K1021" s="10" t="str">
        <f aca="false">IF(A1021="","",IF(ABS(SUMIFS($E$9:$E$2008,$A$9:$A$2008,A1021)-SUMIFS($F$9:$F$2008,$A$9:$A$2008,A1021))&lt;0.5,"Yes","No"))</f>
        <v/>
      </c>
      <c r="L1021" s="10" t="str">
        <f aca="false">IF(A1021="","",IF(IF(K1021="No","Does not balance | ","")&amp;IF(I1021="","Not approved | ",IF(UPPER(TRIM(H1021))=UPPER(TRIM(I1021)),"Self-approved | ",""))&amp;IF(J1021="","No support | ","")&amp;IF(WEEKDAY(B1021,2)&gt;5,"Weekend posting | ","")&amp;IF(COUNTIF(Settings!$A$14:$A$43,B1021)&gt;0,"Holiday posting | ","")&amp;IF(B1021&gt;Settings!$C$8,"Posted after close | ","")&amp;IF(OR(B1021&lt;Settings!$C$6,B1021&gt;Settings!$C$7),"Outside period | ","")&amp;IF(COUNTIF(Settings!$E$14:$E$43,C1021&amp;"")&gt;0,"Sensitive account | ","")&amp;IF(AND(MAX(N(E1021),N(F1021))&gt;=Settings!$C$9,MOD(MAX(N(E1021),N(F1021)),Settings!$C$10)=0),"Round amount | ","")="","",LEFT(IF(K1021="No","Does not balance | ","")&amp;IF(I1021="","Not approved | ",IF(UPPER(TRIM(H1021))=UPPER(TRIM(I1021)),"Self-approved | ",""))&amp;IF(J1021="","No support | ","")&amp;IF(WEEKDAY(B1021,2)&gt;5,"Weekend posting | ","")&amp;IF(COUNTIF(Settings!$A$14:$A$43,B1021)&gt;0,"Holiday posting | ","")&amp;IF(B1021&gt;Settings!$C$8,"Posted after close | ","")&amp;IF(OR(B1021&lt;Settings!$C$6,B1021&gt;Settings!$C$7),"Outside period | ","")&amp;IF(COUNTIF(Settings!$E$14:$E$43,C1021&amp;"")&gt;0,"Sensitive account | ","")&amp;IF(AND(MAX(N(E1021),N(F1021))&gt;=Settings!$C$9,MOD(MAX(N(E1021),N(F1021)),Settings!$C$10)=0),"Round amount | ",""),LEN(IF(K1021="No","Does not balance | ","")&amp;IF(I1021="","Not approved | ",IF(UPPER(TRIM(H1021))=UPPER(TRIM(I1021)),"Self-approved | ",""))&amp;IF(J1021="","No support | ","")&amp;IF(WEEKDAY(B1021,2)&gt;5,"Weekend posting | ","")&amp;IF(COUNTIF(Settings!$A$14:$A$43,B1021)&gt;0,"Holiday posting | ","")&amp;IF(B1021&gt;Settings!$C$8,"Posted after close | ","")&amp;IF(OR(B1021&lt;Settings!$C$6,B1021&gt;Settings!$C$7),"Outside period | ","")&amp;IF(COUNTIF(Settings!$E$14:$E$43,C1021&amp;"")&gt;0,"Sensitive account | ","")&amp;IF(AND(MAX(N(E1021),N(F1021))&gt;=Settings!$C$9,MOD(MAX(N(E1021),N(F1021)),Settings!$C$10)=0),"Round amount | ",""))-3)))</f>
        <v/>
      </c>
      <c r="M1021" s="21" t="str">
        <f aca="false">IF(A1021="","",IF(COUNTIF($A$9:A1021,A1021)=1,MAX($M$8:M1020)+1,""))</f>
        <v/>
      </c>
    </row>
    <row r="1022" customFormat="false" ht="15" hidden="false" customHeight="false" outlineLevel="0" collapsed="false">
      <c r="A1022" s="8"/>
      <c r="B1022" s="17"/>
      <c r="C1022" s="19"/>
      <c r="D1022" s="8"/>
      <c r="E1022" s="18"/>
      <c r="F1022" s="18"/>
      <c r="G1022" s="8"/>
      <c r="H1022" s="8"/>
      <c r="I1022" s="8"/>
      <c r="J1022" s="8"/>
      <c r="K1022" s="10" t="str">
        <f aca="false">IF(A1022="","",IF(ABS(SUMIFS($E$9:$E$2008,$A$9:$A$2008,A1022)-SUMIFS($F$9:$F$2008,$A$9:$A$2008,A1022))&lt;0.5,"Yes","No"))</f>
        <v/>
      </c>
      <c r="L1022" s="10" t="str">
        <f aca="false">IF(A1022="","",IF(IF(K1022="No","Does not balance | ","")&amp;IF(I1022="","Not approved | ",IF(UPPER(TRIM(H1022))=UPPER(TRIM(I1022)),"Self-approved | ",""))&amp;IF(J1022="","No support | ","")&amp;IF(WEEKDAY(B1022,2)&gt;5,"Weekend posting | ","")&amp;IF(COUNTIF(Settings!$A$14:$A$43,B1022)&gt;0,"Holiday posting | ","")&amp;IF(B1022&gt;Settings!$C$8,"Posted after close | ","")&amp;IF(OR(B1022&lt;Settings!$C$6,B1022&gt;Settings!$C$7),"Outside period | ","")&amp;IF(COUNTIF(Settings!$E$14:$E$43,C1022&amp;"")&gt;0,"Sensitive account | ","")&amp;IF(AND(MAX(N(E1022),N(F1022))&gt;=Settings!$C$9,MOD(MAX(N(E1022),N(F1022)),Settings!$C$10)=0),"Round amount | ","")="","",LEFT(IF(K1022="No","Does not balance | ","")&amp;IF(I1022="","Not approved | ",IF(UPPER(TRIM(H1022))=UPPER(TRIM(I1022)),"Self-approved | ",""))&amp;IF(J1022="","No support | ","")&amp;IF(WEEKDAY(B1022,2)&gt;5,"Weekend posting | ","")&amp;IF(COUNTIF(Settings!$A$14:$A$43,B1022)&gt;0,"Holiday posting | ","")&amp;IF(B1022&gt;Settings!$C$8,"Posted after close | ","")&amp;IF(OR(B1022&lt;Settings!$C$6,B1022&gt;Settings!$C$7),"Outside period | ","")&amp;IF(COUNTIF(Settings!$E$14:$E$43,C1022&amp;"")&gt;0,"Sensitive account | ","")&amp;IF(AND(MAX(N(E1022),N(F1022))&gt;=Settings!$C$9,MOD(MAX(N(E1022),N(F1022)),Settings!$C$10)=0),"Round amount | ",""),LEN(IF(K1022="No","Does not balance | ","")&amp;IF(I1022="","Not approved | ",IF(UPPER(TRIM(H1022))=UPPER(TRIM(I1022)),"Self-approved | ",""))&amp;IF(J1022="","No support | ","")&amp;IF(WEEKDAY(B1022,2)&gt;5,"Weekend posting | ","")&amp;IF(COUNTIF(Settings!$A$14:$A$43,B1022)&gt;0,"Holiday posting | ","")&amp;IF(B1022&gt;Settings!$C$8,"Posted after close | ","")&amp;IF(OR(B1022&lt;Settings!$C$6,B1022&gt;Settings!$C$7),"Outside period | ","")&amp;IF(COUNTIF(Settings!$E$14:$E$43,C1022&amp;"")&gt;0,"Sensitive account | ","")&amp;IF(AND(MAX(N(E1022),N(F1022))&gt;=Settings!$C$9,MOD(MAX(N(E1022),N(F1022)),Settings!$C$10)=0),"Round amount | ",""))-3)))</f>
        <v/>
      </c>
      <c r="M1022" s="21" t="str">
        <f aca="false">IF(A1022="","",IF(COUNTIF($A$9:A1022,A1022)=1,MAX($M$8:M1021)+1,""))</f>
        <v/>
      </c>
    </row>
    <row r="1023" customFormat="false" ht="15" hidden="false" customHeight="false" outlineLevel="0" collapsed="false">
      <c r="A1023" s="8"/>
      <c r="B1023" s="17"/>
      <c r="C1023" s="19"/>
      <c r="D1023" s="8"/>
      <c r="E1023" s="18"/>
      <c r="F1023" s="18"/>
      <c r="G1023" s="8"/>
      <c r="H1023" s="8"/>
      <c r="I1023" s="8"/>
      <c r="J1023" s="8"/>
      <c r="K1023" s="10" t="str">
        <f aca="false">IF(A1023="","",IF(ABS(SUMIFS($E$9:$E$2008,$A$9:$A$2008,A1023)-SUMIFS($F$9:$F$2008,$A$9:$A$2008,A1023))&lt;0.5,"Yes","No"))</f>
        <v/>
      </c>
      <c r="L1023" s="10" t="str">
        <f aca="false">IF(A1023="","",IF(IF(K1023="No","Does not balance | ","")&amp;IF(I1023="","Not approved | ",IF(UPPER(TRIM(H1023))=UPPER(TRIM(I1023)),"Self-approved | ",""))&amp;IF(J1023="","No support | ","")&amp;IF(WEEKDAY(B1023,2)&gt;5,"Weekend posting | ","")&amp;IF(COUNTIF(Settings!$A$14:$A$43,B1023)&gt;0,"Holiday posting | ","")&amp;IF(B1023&gt;Settings!$C$8,"Posted after close | ","")&amp;IF(OR(B1023&lt;Settings!$C$6,B1023&gt;Settings!$C$7),"Outside period | ","")&amp;IF(COUNTIF(Settings!$E$14:$E$43,C1023&amp;"")&gt;0,"Sensitive account | ","")&amp;IF(AND(MAX(N(E1023),N(F1023))&gt;=Settings!$C$9,MOD(MAX(N(E1023),N(F1023)),Settings!$C$10)=0),"Round amount | ","")="","",LEFT(IF(K1023="No","Does not balance | ","")&amp;IF(I1023="","Not approved | ",IF(UPPER(TRIM(H1023))=UPPER(TRIM(I1023)),"Self-approved | ",""))&amp;IF(J1023="","No support | ","")&amp;IF(WEEKDAY(B1023,2)&gt;5,"Weekend posting | ","")&amp;IF(COUNTIF(Settings!$A$14:$A$43,B1023)&gt;0,"Holiday posting | ","")&amp;IF(B1023&gt;Settings!$C$8,"Posted after close | ","")&amp;IF(OR(B1023&lt;Settings!$C$6,B1023&gt;Settings!$C$7),"Outside period | ","")&amp;IF(COUNTIF(Settings!$E$14:$E$43,C1023&amp;"")&gt;0,"Sensitive account | ","")&amp;IF(AND(MAX(N(E1023),N(F1023))&gt;=Settings!$C$9,MOD(MAX(N(E1023),N(F1023)),Settings!$C$10)=0),"Round amount | ",""),LEN(IF(K1023="No","Does not balance | ","")&amp;IF(I1023="","Not approved | ",IF(UPPER(TRIM(H1023))=UPPER(TRIM(I1023)),"Self-approved | ",""))&amp;IF(J1023="","No support | ","")&amp;IF(WEEKDAY(B1023,2)&gt;5,"Weekend posting | ","")&amp;IF(COUNTIF(Settings!$A$14:$A$43,B1023)&gt;0,"Holiday posting | ","")&amp;IF(B1023&gt;Settings!$C$8,"Posted after close | ","")&amp;IF(OR(B1023&lt;Settings!$C$6,B1023&gt;Settings!$C$7),"Outside period | ","")&amp;IF(COUNTIF(Settings!$E$14:$E$43,C1023&amp;"")&gt;0,"Sensitive account | ","")&amp;IF(AND(MAX(N(E1023),N(F1023))&gt;=Settings!$C$9,MOD(MAX(N(E1023),N(F1023)),Settings!$C$10)=0),"Round amount | ",""))-3)))</f>
        <v/>
      </c>
      <c r="M1023" s="21" t="str">
        <f aca="false">IF(A1023="","",IF(COUNTIF($A$9:A1023,A1023)=1,MAX($M$8:M1022)+1,""))</f>
        <v/>
      </c>
    </row>
    <row r="1024" customFormat="false" ht="15" hidden="false" customHeight="false" outlineLevel="0" collapsed="false">
      <c r="A1024" s="8"/>
      <c r="B1024" s="17"/>
      <c r="C1024" s="19"/>
      <c r="D1024" s="8"/>
      <c r="E1024" s="18"/>
      <c r="F1024" s="18"/>
      <c r="G1024" s="8"/>
      <c r="H1024" s="8"/>
      <c r="I1024" s="8"/>
      <c r="J1024" s="8"/>
      <c r="K1024" s="10" t="str">
        <f aca="false">IF(A1024="","",IF(ABS(SUMIFS($E$9:$E$2008,$A$9:$A$2008,A1024)-SUMIFS($F$9:$F$2008,$A$9:$A$2008,A1024))&lt;0.5,"Yes","No"))</f>
        <v/>
      </c>
      <c r="L1024" s="10" t="str">
        <f aca="false">IF(A1024="","",IF(IF(K1024="No","Does not balance | ","")&amp;IF(I1024="","Not approved | ",IF(UPPER(TRIM(H1024))=UPPER(TRIM(I1024)),"Self-approved | ",""))&amp;IF(J1024="","No support | ","")&amp;IF(WEEKDAY(B1024,2)&gt;5,"Weekend posting | ","")&amp;IF(COUNTIF(Settings!$A$14:$A$43,B1024)&gt;0,"Holiday posting | ","")&amp;IF(B1024&gt;Settings!$C$8,"Posted after close | ","")&amp;IF(OR(B1024&lt;Settings!$C$6,B1024&gt;Settings!$C$7),"Outside period | ","")&amp;IF(COUNTIF(Settings!$E$14:$E$43,C1024&amp;"")&gt;0,"Sensitive account | ","")&amp;IF(AND(MAX(N(E1024),N(F1024))&gt;=Settings!$C$9,MOD(MAX(N(E1024),N(F1024)),Settings!$C$10)=0),"Round amount | ","")="","",LEFT(IF(K1024="No","Does not balance | ","")&amp;IF(I1024="","Not approved | ",IF(UPPER(TRIM(H1024))=UPPER(TRIM(I1024)),"Self-approved | ",""))&amp;IF(J1024="","No support | ","")&amp;IF(WEEKDAY(B1024,2)&gt;5,"Weekend posting | ","")&amp;IF(COUNTIF(Settings!$A$14:$A$43,B1024)&gt;0,"Holiday posting | ","")&amp;IF(B1024&gt;Settings!$C$8,"Posted after close | ","")&amp;IF(OR(B1024&lt;Settings!$C$6,B1024&gt;Settings!$C$7),"Outside period | ","")&amp;IF(COUNTIF(Settings!$E$14:$E$43,C1024&amp;"")&gt;0,"Sensitive account | ","")&amp;IF(AND(MAX(N(E1024),N(F1024))&gt;=Settings!$C$9,MOD(MAX(N(E1024),N(F1024)),Settings!$C$10)=0),"Round amount | ",""),LEN(IF(K1024="No","Does not balance | ","")&amp;IF(I1024="","Not approved | ",IF(UPPER(TRIM(H1024))=UPPER(TRIM(I1024)),"Self-approved | ",""))&amp;IF(J1024="","No support | ","")&amp;IF(WEEKDAY(B1024,2)&gt;5,"Weekend posting | ","")&amp;IF(COUNTIF(Settings!$A$14:$A$43,B1024)&gt;0,"Holiday posting | ","")&amp;IF(B1024&gt;Settings!$C$8,"Posted after close | ","")&amp;IF(OR(B1024&lt;Settings!$C$6,B1024&gt;Settings!$C$7),"Outside period | ","")&amp;IF(COUNTIF(Settings!$E$14:$E$43,C1024&amp;"")&gt;0,"Sensitive account | ","")&amp;IF(AND(MAX(N(E1024),N(F1024))&gt;=Settings!$C$9,MOD(MAX(N(E1024),N(F1024)),Settings!$C$10)=0),"Round amount | ",""))-3)))</f>
        <v/>
      </c>
      <c r="M1024" s="21" t="str">
        <f aca="false">IF(A1024="","",IF(COUNTIF($A$9:A1024,A1024)=1,MAX($M$8:M1023)+1,""))</f>
        <v/>
      </c>
    </row>
    <row r="1025" customFormat="false" ht="15" hidden="false" customHeight="false" outlineLevel="0" collapsed="false">
      <c r="A1025" s="8"/>
      <c r="B1025" s="17"/>
      <c r="C1025" s="19"/>
      <c r="D1025" s="8"/>
      <c r="E1025" s="18"/>
      <c r="F1025" s="18"/>
      <c r="G1025" s="8"/>
      <c r="H1025" s="8"/>
      <c r="I1025" s="8"/>
      <c r="J1025" s="8"/>
      <c r="K1025" s="10" t="str">
        <f aca="false">IF(A1025="","",IF(ABS(SUMIFS($E$9:$E$2008,$A$9:$A$2008,A1025)-SUMIFS($F$9:$F$2008,$A$9:$A$2008,A1025))&lt;0.5,"Yes","No"))</f>
        <v/>
      </c>
      <c r="L1025" s="10" t="str">
        <f aca="false">IF(A1025="","",IF(IF(K1025="No","Does not balance | ","")&amp;IF(I1025="","Not approved | ",IF(UPPER(TRIM(H1025))=UPPER(TRIM(I1025)),"Self-approved | ",""))&amp;IF(J1025="","No support | ","")&amp;IF(WEEKDAY(B1025,2)&gt;5,"Weekend posting | ","")&amp;IF(COUNTIF(Settings!$A$14:$A$43,B1025)&gt;0,"Holiday posting | ","")&amp;IF(B1025&gt;Settings!$C$8,"Posted after close | ","")&amp;IF(OR(B1025&lt;Settings!$C$6,B1025&gt;Settings!$C$7),"Outside period | ","")&amp;IF(COUNTIF(Settings!$E$14:$E$43,C1025&amp;"")&gt;0,"Sensitive account | ","")&amp;IF(AND(MAX(N(E1025),N(F1025))&gt;=Settings!$C$9,MOD(MAX(N(E1025),N(F1025)),Settings!$C$10)=0),"Round amount | ","")="","",LEFT(IF(K1025="No","Does not balance | ","")&amp;IF(I1025="","Not approved | ",IF(UPPER(TRIM(H1025))=UPPER(TRIM(I1025)),"Self-approved | ",""))&amp;IF(J1025="","No support | ","")&amp;IF(WEEKDAY(B1025,2)&gt;5,"Weekend posting | ","")&amp;IF(COUNTIF(Settings!$A$14:$A$43,B1025)&gt;0,"Holiday posting | ","")&amp;IF(B1025&gt;Settings!$C$8,"Posted after close | ","")&amp;IF(OR(B1025&lt;Settings!$C$6,B1025&gt;Settings!$C$7),"Outside period | ","")&amp;IF(COUNTIF(Settings!$E$14:$E$43,C1025&amp;"")&gt;0,"Sensitive account | ","")&amp;IF(AND(MAX(N(E1025),N(F1025))&gt;=Settings!$C$9,MOD(MAX(N(E1025),N(F1025)),Settings!$C$10)=0),"Round amount | ",""),LEN(IF(K1025="No","Does not balance | ","")&amp;IF(I1025="","Not approved | ",IF(UPPER(TRIM(H1025))=UPPER(TRIM(I1025)),"Self-approved | ",""))&amp;IF(J1025="","No support | ","")&amp;IF(WEEKDAY(B1025,2)&gt;5,"Weekend posting | ","")&amp;IF(COUNTIF(Settings!$A$14:$A$43,B1025)&gt;0,"Holiday posting | ","")&amp;IF(B1025&gt;Settings!$C$8,"Posted after close | ","")&amp;IF(OR(B1025&lt;Settings!$C$6,B1025&gt;Settings!$C$7),"Outside period | ","")&amp;IF(COUNTIF(Settings!$E$14:$E$43,C1025&amp;"")&gt;0,"Sensitive account | ","")&amp;IF(AND(MAX(N(E1025),N(F1025))&gt;=Settings!$C$9,MOD(MAX(N(E1025),N(F1025)),Settings!$C$10)=0),"Round amount | ",""))-3)))</f>
        <v/>
      </c>
      <c r="M1025" s="21" t="str">
        <f aca="false">IF(A1025="","",IF(COUNTIF($A$9:A1025,A1025)=1,MAX($M$8:M1024)+1,""))</f>
        <v/>
      </c>
    </row>
    <row r="1026" customFormat="false" ht="15" hidden="false" customHeight="false" outlineLevel="0" collapsed="false">
      <c r="A1026" s="8"/>
      <c r="B1026" s="17"/>
      <c r="C1026" s="19"/>
      <c r="D1026" s="8"/>
      <c r="E1026" s="18"/>
      <c r="F1026" s="18"/>
      <c r="G1026" s="8"/>
      <c r="H1026" s="8"/>
      <c r="I1026" s="8"/>
      <c r="J1026" s="8"/>
      <c r="K1026" s="10" t="str">
        <f aca="false">IF(A1026="","",IF(ABS(SUMIFS($E$9:$E$2008,$A$9:$A$2008,A1026)-SUMIFS($F$9:$F$2008,$A$9:$A$2008,A1026))&lt;0.5,"Yes","No"))</f>
        <v/>
      </c>
      <c r="L1026" s="10" t="str">
        <f aca="false">IF(A1026="","",IF(IF(K1026="No","Does not balance | ","")&amp;IF(I1026="","Not approved | ",IF(UPPER(TRIM(H1026))=UPPER(TRIM(I1026)),"Self-approved | ",""))&amp;IF(J1026="","No support | ","")&amp;IF(WEEKDAY(B1026,2)&gt;5,"Weekend posting | ","")&amp;IF(COUNTIF(Settings!$A$14:$A$43,B1026)&gt;0,"Holiday posting | ","")&amp;IF(B1026&gt;Settings!$C$8,"Posted after close | ","")&amp;IF(OR(B1026&lt;Settings!$C$6,B1026&gt;Settings!$C$7),"Outside period | ","")&amp;IF(COUNTIF(Settings!$E$14:$E$43,C1026&amp;"")&gt;0,"Sensitive account | ","")&amp;IF(AND(MAX(N(E1026),N(F1026))&gt;=Settings!$C$9,MOD(MAX(N(E1026),N(F1026)),Settings!$C$10)=0),"Round amount | ","")="","",LEFT(IF(K1026="No","Does not balance | ","")&amp;IF(I1026="","Not approved | ",IF(UPPER(TRIM(H1026))=UPPER(TRIM(I1026)),"Self-approved | ",""))&amp;IF(J1026="","No support | ","")&amp;IF(WEEKDAY(B1026,2)&gt;5,"Weekend posting | ","")&amp;IF(COUNTIF(Settings!$A$14:$A$43,B1026)&gt;0,"Holiday posting | ","")&amp;IF(B1026&gt;Settings!$C$8,"Posted after close | ","")&amp;IF(OR(B1026&lt;Settings!$C$6,B1026&gt;Settings!$C$7),"Outside period | ","")&amp;IF(COUNTIF(Settings!$E$14:$E$43,C1026&amp;"")&gt;0,"Sensitive account | ","")&amp;IF(AND(MAX(N(E1026),N(F1026))&gt;=Settings!$C$9,MOD(MAX(N(E1026),N(F1026)),Settings!$C$10)=0),"Round amount | ",""),LEN(IF(K1026="No","Does not balance | ","")&amp;IF(I1026="","Not approved | ",IF(UPPER(TRIM(H1026))=UPPER(TRIM(I1026)),"Self-approved | ",""))&amp;IF(J1026="","No support | ","")&amp;IF(WEEKDAY(B1026,2)&gt;5,"Weekend posting | ","")&amp;IF(COUNTIF(Settings!$A$14:$A$43,B1026)&gt;0,"Holiday posting | ","")&amp;IF(B1026&gt;Settings!$C$8,"Posted after close | ","")&amp;IF(OR(B1026&lt;Settings!$C$6,B1026&gt;Settings!$C$7),"Outside period | ","")&amp;IF(COUNTIF(Settings!$E$14:$E$43,C1026&amp;"")&gt;0,"Sensitive account | ","")&amp;IF(AND(MAX(N(E1026),N(F1026))&gt;=Settings!$C$9,MOD(MAX(N(E1026),N(F1026)),Settings!$C$10)=0),"Round amount | ",""))-3)))</f>
        <v/>
      </c>
      <c r="M1026" s="21" t="str">
        <f aca="false">IF(A1026="","",IF(COUNTIF($A$9:A1026,A1026)=1,MAX($M$8:M1025)+1,""))</f>
        <v/>
      </c>
    </row>
    <row r="1027" customFormat="false" ht="15" hidden="false" customHeight="false" outlineLevel="0" collapsed="false">
      <c r="A1027" s="8"/>
      <c r="B1027" s="17"/>
      <c r="C1027" s="19"/>
      <c r="D1027" s="8"/>
      <c r="E1027" s="18"/>
      <c r="F1027" s="18"/>
      <c r="G1027" s="8"/>
      <c r="H1027" s="8"/>
      <c r="I1027" s="8"/>
      <c r="J1027" s="8"/>
      <c r="K1027" s="10" t="str">
        <f aca="false">IF(A1027="","",IF(ABS(SUMIFS($E$9:$E$2008,$A$9:$A$2008,A1027)-SUMIFS($F$9:$F$2008,$A$9:$A$2008,A1027))&lt;0.5,"Yes","No"))</f>
        <v/>
      </c>
      <c r="L1027" s="10" t="str">
        <f aca="false">IF(A1027="","",IF(IF(K1027="No","Does not balance | ","")&amp;IF(I1027="","Not approved | ",IF(UPPER(TRIM(H1027))=UPPER(TRIM(I1027)),"Self-approved | ",""))&amp;IF(J1027="","No support | ","")&amp;IF(WEEKDAY(B1027,2)&gt;5,"Weekend posting | ","")&amp;IF(COUNTIF(Settings!$A$14:$A$43,B1027)&gt;0,"Holiday posting | ","")&amp;IF(B1027&gt;Settings!$C$8,"Posted after close | ","")&amp;IF(OR(B1027&lt;Settings!$C$6,B1027&gt;Settings!$C$7),"Outside period | ","")&amp;IF(COUNTIF(Settings!$E$14:$E$43,C1027&amp;"")&gt;0,"Sensitive account | ","")&amp;IF(AND(MAX(N(E1027),N(F1027))&gt;=Settings!$C$9,MOD(MAX(N(E1027),N(F1027)),Settings!$C$10)=0),"Round amount | ","")="","",LEFT(IF(K1027="No","Does not balance | ","")&amp;IF(I1027="","Not approved | ",IF(UPPER(TRIM(H1027))=UPPER(TRIM(I1027)),"Self-approved | ",""))&amp;IF(J1027="","No support | ","")&amp;IF(WEEKDAY(B1027,2)&gt;5,"Weekend posting | ","")&amp;IF(COUNTIF(Settings!$A$14:$A$43,B1027)&gt;0,"Holiday posting | ","")&amp;IF(B1027&gt;Settings!$C$8,"Posted after close | ","")&amp;IF(OR(B1027&lt;Settings!$C$6,B1027&gt;Settings!$C$7),"Outside period | ","")&amp;IF(COUNTIF(Settings!$E$14:$E$43,C1027&amp;"")&gt;0,"Sensitive account | ","")&amp;IF(AND(MAX(N(E1027),N(F1027))&gt;=Settings!$C$9,MOD(MAX(N(E1027),N(F1027)),Settings!$C$10)=0),"Round amount | ",""),LEN(IF(K1027="No","Does not balance | ","")&amp;IF(I1027="","Not approved | ",IF(UPPER(TRIM(H1027))=UPPER(TRIM(I1027)),"Self-approved | ",""))&amp;IF(J1027="","No support | ","")&amp;IF(WEEKDAY(B1027,2)&gt;5,"Weekend posting | ","")&amp;IF(COUNTIF(Settings!$A$14:$A$43,B1027)&gt;0,"Holiday posting | ","")&amp;IF(B1027&gt;Settings!$C$8,"Posted after close | ","")&amp;IF(OR(B1027&lt;Settings!$C$6,B1027&gt;Settings!$C$7),"Outside period | ","")&amp;IF(COUNTIF(Settings!$E$14:$E$43,C1027&amp;"")&gt;0,"Sensitive account | ","")&amp;IF(AND(MAX(N(E1027),N(F1027))&gt;=Settings!$C$9,MOD(MAX(N(E1027),N(F1027)),Settings!$C$10)=0),"Round amount | ",""))-3)))</f>
        <v/>
      </c>
      <c r="M1027" s="21" t="str">
        <f aca="false">IF(A1027="","",IF(COUNTIF($A$9:A1027,A1027)=1,MAX($M$8:M1026)+1,""))</f>
        <v/>
      </c>
    </row>
    <row r="1028" customFormat="false" ht="15" hidden="false" customHeight="false" outlineLevel="0" collapsed="false">
      <c r="A1028" s="8"/>
      <c r="B1028" s="17"/>
      <c r="C1028" s="19"/>
      <c r="D1028" s="8"/>
      <c r="E1028" s="18"/>
      <c r="F1028" s="18"/>
      <c r="G1028" s="8"/>
      <c r="H1028" s="8"/>
      <c r="I1028" s="8"/>
      <c r="J1028" s="8"/>
      <c r="K1028" s="10" t="str">
        <f aca="false">IF(A1028="","",IF(ABS(SUMIFS($E$9:$E$2008,$A$9:$A$2008,A1028)-SUMIFS($F$9:$F$2008,$A$9:$A$2008,A1028))&lt;0.5,"Yes","No"))</f>
        <v/>
      </c>
      <c r="L1028" s="10" t="str">
        <f aca="false">IF(A1028="","",IF(IF(K1028="No","Does not balance | ","")&amp;IF(I1028="","Not approved | ",IF(UPPER(TRIM(H1028))=UPPER(TRIM(I1028)),"Self-approved | ",""))&amp;IF(J1028="","No support | ","")&amp;IF(WEEKDAY(B1028,2)&gt;5,"Weekend posting | ","")&amp;IF(COUNTIF(Settings!$A$14:$A$43,B1028)&gt;0,"Holiday posting | ","")&amp;IF(B1028&gt;Settings!$C$8,"Posted after close | ","")&amp;IF(OR(B1028&lt;Settings!$C$6,B1028&gt;Settings!$C$7),"Outside period | ","")&amp;IF(COUNTIF(Settings!$E$14:$E$43,C1028&amp;"")&gt;0,"Sensitive account | ","")&amp;IF(AND(MAX(N(E1028),N(F1028))&gt;=Settings!$C$9,MOD(MAX(N(E1028),N(F1028)),Settings!$C$10)=0),"Round amount | ","")="","",LEFT(IF(K1028="No","Does not balance | ","")&amp;IF(I1028="","Not approved | ",IF(UPPER(TRIM(H1028))=UPPER(TRIM(I1028)),"Self-approved | ",""))&amp;IF(J1028="","No support | ","")&amp;IF(WEEKDAY(B1028,2)&gt;5,"Weekend posting | ","")&amp;IF(COUNTIF(Settings!$A$14:$A$43,B1028)&gt;0,"Holiday posting | ","")&amp;IF(B1028&gt;Settings!$C$8,"Posted after close | ","")&amp;IF(OR(B1028&lt;Settings!$C$6,B1028&gt;Settings!$C$7),"Outside period | ","")&amp;IF(COUNTIF(Settings!$E$14:$E$43,C1028&amp;"")&gt;0,"Sensitive account | ","")&amp;IF(AND(MAX(N(E1028),N(F1028))&gt;=Settings!$C$9,MOD(MAX(N(E1028),N(F1028)),Settings!$C$10)=0),"Round amount | ",""),LEN(IF(K1028="No","Does not balance | ","")&amp;IF(I1028="","Not approved | ",IF(UPPER(TRIM(H1028))=UPPER(TRIM(I1028)),"Self-approved | ",""))&amp;IF(J1028="","No support | ","")&amp;IF(WEEKDAY(B1028,2)&gt;5,"Weekend posting | ","")&amp;IF(COUNTIF(Settings!$A$14:$A$43,B1028)&gt;0,"Holiday posting | ","")&amp;IF(B1028&gt;Settings!$C$8,"Posted after close | ","")&amp;IF(OR(B1028&lt;Settings!$C$6,B1028&gt;Settings!$C$7),"Outside period | ","")&amp;IF(COUNTIF(Settings!$E$14:$E$43,C1028&amp;"")&gt;0,"Sensitive account | ","")&amp;IF(AND(MAX(N(E1028),N(F1028))&gt;=Settings!$C$9,MOD(MAX(N(E1028),N(F1028)),Settings!$C$10)=0),"Round amount | ",""))-3)))</f>
        <v/>
      </c>
      <c r="M1028" s="21" t="str">
        <f aca="false">IF(A1028="","",IF(COUNTIF($A$9:A1028,A1028)=1,MAX($M$8:M1027)+1,""))</f>
        <v/>
      </c>
    </row>
    <row r="1029" customFormat="false" ht="15" hidden="false" customHeight="false" outlineLevel="0" collapsed="false">
      <c r="A1029" s="8"/>
      <c r="B1029" s="17"/>
      <c r="C1029" s="19"/>
      <c r="D1029" s="8"/>
      <c r="E1029" s="18"/>
      <c r="F1029" s="18"/>
      <c r="G1029" s="8"/>
      <c r="H1029" s="8"/>
      <c r="I1029" s="8"/>
      <c r="J1029" s="8"/>
      <c r="K1029" s="10" t="str">
        <f aca="false">IF(A1029="","",IF(ABS(SUMIFS($E$9:$E$2008,$A$9:$A$2008,A1029)-SUMIFS($F$9:$F$2008,$A$9:$A$2008,A1029))&lt;0.5,"Yes","No"))</f>
        <v/>
      </c>
      <c r="L1029" s="10" t="str">
        <f aca="false">IF(A1029="","",IF(IF(K1029="No","Does not balance | ","")&amp;IF(I1029="","Not approved | ",IF(UPPER(TRIM(H1029))=UPPER(TRIM(I1029)),"Self-approved | ",""))&amp;IF(J1029="","No support | ","")&amp;IF(WEEKDAY(B1029,2)&gt;5,"Weekend posting | ","")&amp;IF(COUNTIF(Settings!$A$14:$A$43,B1029)&gt;0,"Holiday posting | ","")&amp;IF(B1029&gt;Settings!$C$8,"Posted after close | ","")&amp;IF(OR(B1029&lt;Settings!$C$6,B1029&gt;Settings!$C$7),"Outside period | ","")&amp;IF(COUNTIF(Settings!$E$14:$E$43,C1029&amp;"")&gt;0,"Sensitive account | ","")&amp;IF(AND(MAX(N(E1029),N(F1029))&gt;=Settings!$C$9,MOD(MAX(N(E1029),N(F1029)),Settings!$C$10)=0),"Round amount | ","")="","",LEFT(IF(K1029="No","Does not balance | ","")&amp;IF(I1029="","Not approved | ",IF(UPPER(TRIM(H1029))=UPPER(TRIM(I1029)),"Self-approved | ",""))&amp;IF(J1029="","No support | ","")&amp;IF(WEEKDAY(B1029,2)&gt;5,"Weekend posting | ","")&amp;IF(COUNTIF(Settings!$A$14:$A$43,B1029)&gt;0,"Holiday posting | ","")&amp;IF(B1029&gt;Settings!$C$8,"Posted after close | ","")&amp;IF(OR(B1029&lt;Settings!$C$6,B1029&gt;Settings!$C$7),"Outside period | ","")&amp;IF(COUNTIF(Settings!$E$14:$E$43,C1029&amp;"")&gt;0,"Sensitive account | ","")&amp;IF(AND(MAX(N(E1029),N(F1029))&gt;=Settings!$C$9,MOD(MAX(N(E1029),N(F1029)),Settings!$C$10)=0),"Round amount | ",""),LEN(IF(K1029="No","Does not balance | ","")&amp;IF(I1029="","Not approved | ",IF(UPPER(TRIM(H1029))=UPPER(TRIM(I1029)),"Self-approved | ",""))&amp;IF(J1029="","No support | ","")&amp;IF(WEEKDAY(B1029,2)&gt;5,"Weekend posting | ","")&amp;IF(COUNTIF(Settings!$A$14:$A$43,B1029)&gt;0,"Holiday posting | ","")&amp;IF(B1029&gt;Settings!$C$8,"Posted after close | ","")&amp;IF(OR(B1029&lt;Settings!$C$6,B1029&gt;Settings!$C$7),"Outside period | ","")&amp;IF(COUNTIF(Settings!$E$14:$E$43,C1029&amp;"")&gt;0,"Sensitive account | ","")&amp;IF(AND(MAX(N(E1029),N(F1029))&gt;=Settings!$C$9,MOD(MAX(N(E1029),N(F1029)),Settings!$C$10)=0),"Round amount | ",""))-3)))</f>
        <v/>
      </c>
      <c r="M1029" s="21" t="str">
        <f aca="false">IF(A1029="","",IF(COUNTIF($A$9:A1029,A1029)=1,MAX($M$8:M1028)+1,""))</f>
        <v/>
      </c>
    </row>
    <row r="1030" customFormat="false" ht="15" hidden="false" customHeight="false" outlineLevel="0" collapsed="false">
      <c r="A1030" s="8"/>
      <c r="B1030" s="17"/>
      <c r="C1030" s="19"/>
      <c r="D1030" s="8"/>
      <c r="E1030" s="18"/>
      <c r="F1030" s="18"/>
      <c r="G1030" s="8"/>
      <c r="H1030" s="8"/>
      <c r="I1030" s="8"/>
      <c r="J1030" s="8"/>
      <c r="K1030" s="10" t="str">
        <f aca="false">IF(A1030="","",IF(ABS(SUMIFS($E$9:$E$2008,$A$9:$A$2008,A1030)-SUMIFS($F$9:$F$2008,$A$9:$A$2008,A1030))&lt;0.5,"Yes","No"))</f>
        <v/>
      </c>
      <c r="L1030" s="10" t="str">
        <f aca="false">IF(A1030="","",IF(IF(K1030="No","Does not balance | ","")&amp;IF(I1030="","Not approved | ",IF(UPPER(TRIM(H1030))=UPPER(TRIM(I1030)),"Self-approved | ",""))&amp;IF(J1030="","No support | ","")&amp;IF(WEEKDAY(B1030,2)&gt;5,"Weekend posting | ","")&amp;IF(COUNTIF(Settings!$A$14:$A$43,B1030)&gt;0,"Holiday posting | ","")&amp;IF(B1030&gt;Settings!$C$8,"Posted after close | ","")&amp;IF(OR(B1030&lt;Settings!$C$6,B1030&gt;Settings!$C$7),"Outside period | ","")&amp;IF(COUNTIF(Settings!$E$14:$E$43,C1030&amp;"")&gt;0,"Sensitive account | ","")&amp;IF(AND(MAX(N(E1030),N(F1030))&gt;=Settings!$C$9,MOD(MAX(N(E1030),N(F1030)),Settings!$C$10)=0),"Round amount | ","")="","",LEFT(IF(K1030="No","Does not balance | ","")&amp;IF(I1030="","Not approved | ",IF(UPPER(TRIM(H1030))=UPPER(TRIM(I1030)),"Self-approved | ",""))&amp;IF(J1030="","No support | ","")&amp;IF(WEEKDAY(B1030,2)&gt;5,"Weekend posting | ","")&amp;IF(COUNTIF(Settings!$A$14:$A$43,B1030)&gt;0,"Holiday posting | ","")&amp;IF(B1030&gt;Settings!$C$8,"Posted after close | ","")&amp;IF(OR(B1030&lt;Settings!$C$6,B1030&gt;Settings!$C$7),"Outside period | ","")&amp;IF(COUNTIF(Settings!$E$14:$E$43,C1030&amp;"")&gt;0,"Sensitive account | ","")&amp;IF(AND(MAX(N(E1030),N(F1030))&gt;=Settings!$C$9,MOD(MAX(N(E1030),N(F1030)),Settings!$C$10)=0),"Round amount | ",""),LEN(IF(K1030="No","Does not balance | ","")&amp;IF(I1030="","Not approved | ",IF(UPPER(TRIM(H1030))=UPPER(TRIM(I1030)),"Self-approved | ",""))&amp;IF(J1030="","No support | ","")&amp;IF(WEEKDAY(B1030,2)&gt;5,"Weekend posting | ","")&amp;IF(COUNTIF(Settings!$A$14:$A$43,B1030)&gt;0,"Holiday posting | ","")&amp;IF(B1030&gt;Settings!$C$8,"Posted after close | ","")&amp;IF(OR(B1030&lt;Settings!$C$6,B1030&gt;Settings!$C$7),"Outside period | ","")&amp;IF(COUNTIF(Settings!$E$14:$E$43,C1030&amp;"")&gt;0,"Sensitive account | ","")&amp;IF(AND(MAX(N(E1030),N(F1030))&gt;=Settings!$C$9,MOD(MAX(N(E1030),N(F1030)),Settings!$C$10)=0),"Round amount | ",""))-3)))</f>
        <v/>
      </c>
      <c r="M1030" s="21" t="str">
        <f aca="false">IF(A1030="","",IF(COUNTIF($A$9:A1030,A1030)=1,MAX($M$8:M1029)+1,""))</f>
        <v/>
      </c>
    </row>
    <row r="1031" customFormat="false" ht="15" hidden="false" customHeight="false" outlineLevel="0" collapsed="false">
      <c r="A1031" s="8"/>
      <c r="B1031" s="17"/>
      <c r="C1031" s="19"/>
      <c r="D1031" s="8"/>
      <c r="E1031" s="18"/>
      <c r="F1031" s="18"/>
      <c r="G1031" s="8"/>
      <c r="H1031" s="8"/>
      <c r="I1031" s="8"/>
      <c r="J1031" s="8"/>
      <c r="K1031" s="10" t="str">
        <f aca="false">IF(A1031="","",IF(ABS(SUMIFS($E$9:$E$2008,$A$9:$A$2008,A1031)-SUMIFS($F$9:$F$2008,$A$9:$A$2008,A1031))&lt;0.5,"Yes","No"))</f>
        <v/>
      </c>
      <c r="L1031" s="10" t="str">
        <f aca="false">IF(A1031="","",IF(IF(K1031="No","Does not balance | ","")&amp;IF(I1031="","Not approved | ",IF(UPPER(TRIM(H1031))=UPPER(TRIM(I1031)),"Self-approved | ",""))&amp;IF(J1031="","No support | ","")&amp;IF(WEEKDAY(B1031,2)&gt;5,"Weekend posting | ","")&amp;IF(COUNTIF(Settings!$A$14:$A$43,B1031)&gt;0,"Holiday posting | ","")&amp;IF(B1031&gt;Settings!$C$8,"Posted after close | ","")&amp;IF(OR(B1031&lt;Settings!$C$6,B1031&gt;Settings!$C$7),"Outside period | ","")&amp;IF(COUNTIF(Settings!$E$14:$E$43,C1031&amp;"")&gt;0,"Sensitive account | ","")&amp;IF(AND(MAX(N(E1031),N(F1031))&gt;=Settings!$C$9,MOD(MAX(N(E1031),N(F1031)),Settings!$C$10)=0),"Round amount | ","")="","",LEFT(IF(K1031="No","Does not balance | ","")&amp;IF(I1031="","Not approved | ",IF(UPPER(TRIM(H1031))=UPPER(TRIM(I1031)),"Self-approved | ",""))&amp;IF(J1031="","No support | ","")&amp;IF(WEEKDAY(B1031,2)&gt;5,"Weekend posting | ","")&amp;IF(COUNTIF(Settings!$A$14:$A$43,B1031)&gt;0,"Holiday posting | ","")&amp;IF(B1031&gt;Settings!$C$8,"Posted after close | ","")&amp;IF(OR(B1031&lt;Settings!$C$6,B1031&gt;Settings!$C$7),"Outside period | ","")&amp;IF(COUNTIF(Settings!$E$14:$E$43,C1031&amp;"")&gt;0,"Sensitive account | ","")&amp;IF(AND(MAX(N(E1031),N(F1031))&gt;=Settings!$C$9,MOD(MAX(N(E1031),N(F1031)),Settings!$C$10)=0),"Round amount | ",""),LEN(IF(K1031="No","Does not balance | ","")&amp;IF(I1031="","Not approved | ",IF(UPPER(TRIM(H1031))=UPPER(TRIM(I1031)),"Self-approved | ",""))&amp;IF(J1031="","No support | ","")&amp;IF(WEEKDAY(B1031,2)&gt;5,"Weekend posting | ","")&amp;IF(COUNTIF(Settings!$A$14:$A$43,B1031)&gt;0,"Holiday posting | ","")&amp;IF(B1031&gt;Settings!$C$8,"Posted after close | ","")&amp;IF(OR(B1031&lt;Settings!$C$6,B1031&gt;Settings!$C$7),"Outside period | ","")&amp;IF(COUNTIF(Settings!$E$14:$E$43,C1031&amp;"")&gt;0,"Sensitive account | ","")&amp;IF(AND(MAX(N(E1031),N(F1031))&gt;=Settings!$C$9,MOD(MAX(N(E1031),N(F1031)),Settings!$C$10)=0),"Round amount | ",""))-3)))</f>
        <v/>
      </c>
      <c r="M1031" s="21" t="str">
        <f aca="false">IF(A1031="","",IF(COUNTIF($A$9:A1031,A1031)=1,MAX($M$8:M1030)+1,""))</f>
        <v/>
      </c>
    </row>
    <row r="1032" customFormat="false" ht="15" hidden="false" customHeight="false" outlineLevel="0" collapsed="false">
      <c r="A1032" s="8"/>
      <c r="B1032" s="17"/>
      <c r="C1032" s="19"/>
      <c r="D1032" s="8"/>
      <c r="E1032" s="18"/>
      <c r="F1032" s="18"/>
      <c r="G1032" s="8"/>
      <c r="H1032" s="8"/>
      <c r="I1032" s="8"/>
      <c r="J1032" s="8"/>
      <c r="K1032" s="10" t="str">
        <f aca="false">IF(A1032="","",IF(ABS(SUMIFS($E$9:$E$2008,$A$9:$A$2008,A1032)-SUMIFS($F$9:$F$2008,$A$9:$A$2008,A1032))&lt;0.5,"Yes","No"))</f>
        <v/>
      </c>
      <c r="L1032" s="10" t="str">
        <f aca="false">IF(A1032="","",IF(IF(K1032="No","Does not balance | ","")&amp;IF(I1032="","Not approved | ",IF(UPPER(TRIM(H1032))=UPPER(TRIM(I1032)),"Self-approved | ",""))&amp;IF(J1032="","No support | ","")&amp;IF(WEEKDAY(B1032,2)&gt;5,"Weekend posting | ","")&amp;IF(COUNTIF(Settings!$A$14:$A$43,B1032)&gt;0,"Holiday posting | ","")&amp;IF(B1032&gt;Settings!$C$8,"Posted after close | ","")&amp;IF(OR(B1032&lt;Settings!$C$6,B1032&gt;Settings!$C$7),"Outside period | ","")&amp;IF(COUNTIF(Settings!$E$14:$E$43,C1032&amp;"")&gt;0,"Sensitive account | ","")&amp;IF(AND(MAX(N(E1032),N(F1032))&gt;=Settings!$C$9,MOD(MAX(N(E1032),N(F1032)),Settings!$C$10)=0),"Round amount | ","")="","",LEFT(IF(K1032="No","Does not balance | ","")&amp;IF(I1032="","Not approved | ",IF(UPPER(TRIM(H1032))=UPPER(TRIM(I1032)),"Self-approved | ",""))&amp;IF(J1032="","No support | ","")&amp;IF(WEEKDAY(B1032,2)&gt;5,"Weekend posting | ","")&amp;IF(COUNTIF(Settings!$A$14:$A$43,B1032)&gt;0,"Holiday posting | ","")&amp;IF(B1032&gt;Settings!$C$8,"Posted after close | ","")&amp;IF(OR(B1032&lt;Settings!$C$6,B1032&gt;Settings!$C$7),"Outside period | ","")&amp;IF(COUNTIF(Settings!$E$14:$E$43,C1032&amp;"")&gt;0,"Sensitive account | ","")&amp;IF(AND(MAX(N(E1032),N(F1032))&gt;=Settings!$C$9,MOD(MAX(N(E1032),N(F1032)),Settings!$C$10)=0),"Round amount | ",""),LEN(IF(K1032="No","Does not balance | ","")&amp;IF(I1032="","Not approved | ",IF(UPPER(TRIM(H1032))=UPPER(TRIM(I1032)),"Self-approved | ",""))&amp;IF(J1032="","No support | ","")&amp;IF(WEEKDAY(B1032,2)&gt;5,"Weekend posting | ","")&amp;IF(COUNTIF(Settings!$A$14:$A$43,B1032)&gt;0,"Holiday posting | ","")&amp;IF(B1032&gt;Settings!$C$8,"Posted after close | ","")&amp;IF(OR(B1032&lt;Settings!$C$6,B1032&gt;Settings!$C$7),"Outside period | ","")&amp;IF(COUNTIF(Settings!$E$14:$E$43,C1032&amp;"")&gt;0,"Sensitive account | ","")&amp;IF(AND(MAX(N(E1032),N(F1032))&gt;=Settings!$C$9,MOD(MAX(N(E1032),N(F1032)),Settings!$C$10)=0),"Round amount | ",""))-3)))</f>
        <v/>
      </c>
      <c r="M1032" s="21" t="str">
        <f aca="false">IF(A1032="","",IF(COUNTIF($A$9:A1032,A1032)=1,MAX($M$8:M1031)+1,""))</f>
        <v/>
      </c>
    </row>
    <row r="1033" customFormat="false" ht="15" hidden="false" customHeight="false" outlineLevel="0" collapsed="false">
      <c r="A1033" s="8"/>
      <c r="B1033" s="17"/>
      <c r="C1033" s="19"/>
      <c r="D1033" s="8"/>
      <c r="E1033" s="18"/>
      <c r="F1033" s="18"/>
      <c r="G1033" s="8"/>
      <c r="H1033" s="8"/>
      <c r="I1033" s="8"/>
      <c r="J1033" s="8"/>
      <c r="K1033" s="10" t="str">
        <f aca="false">IF(A1033="","",IF(ABS(SUMIFS($E$9:$E$2008,$A$9:$A$2008,A1033)-SUMIFS($F$9:$F$2008,$A$9:$A$2008,A1033))&lt;0.5,"Yes","No"))</f>
        <v/>
      </c>
      <c r="L1033" s="10" t="str">
        <f aca="false">IF(A1033="","",IF(IF(K1033="No","Does not balance | ","")&amp;IF(I1033="","Not approved | ",IF(UPPER(TRIM(H1033))=UPPER(TRIM(I1033)),"Self-approved | ",""))&amp;IF(J1033="","No support | ","")&amp;IF(WEEKDAY(B1033,2)&gt;5,"Weekend posting | ","")&amp;IF(COUNTIF(Settings!$A$14:$A$43,B1033)&gt;0,"Holiday posting | ","")&amp;IF(B1033&gt;Settings!$C$8,"Posted after close | ","")&amp;IF(OR(B1033&lt;Settings!$C$6,B1033&gt;Settings!$C$7),"Outside period | ","")&amp;IF(COUNTIF(Settings!$E$14:$E$43,C1033&amp;"")&gt;0,"Sensitive account | ","")&amp;IF(AND(MAX(N(E1033),N(F1033))&gt;=Settings!$C$9,MOD(MAX(N(E1033),N(F1033)),Settings!$C$10)=0),"Round amount | ","")="","",LEFT(IF(K1033="No","Does not balance | ","")&amp;IF(I1033="","Not approved | ",IF(UPPER(TRIM(H1033))=UPPER(TRIM(I1033)),"Self-approved | ",""))&amp;IF(J1033="","No support | ","")&amp;IF(WEEKDAY(B1033,2)&gt;5,"Weekend posting | ","")&amp;IF(COUNTIF(Settings!$A$14:$A$43,B1033)&gt;0,"Holiday posting | ","")&amp;IF(B1033&gt;Settings!$C$8,"Posted after close | ","")&amp;IF(OR(B1033&lt;Settings!$C$6,B1033&gt;Settings!$C$7),"Outside period | ","")&amp;IF(COUNTIF(Settings!$E$14:$E$43,C1033&amp;"")&gt;0,"Sensitive account | ","")&amp;IF(AND(MAX(N(E1033),N(F1033))&gt;=Settings!$C$9,MOD(MAX(N(E1033),N(F1033)),Settings!$C$10)=0),"Round amount | ",""),LEN(IF(K1033="No","Does not balance | ","")&amp;IF(I1033="","Not approved | ",IF(UPPER(TRIM(H1033))=UPPER(TRIM(I1033)),"Self-approved | ",""))&amp;IF(J1033="","No support | ","")&amp;IF(WEEKDAY(B1033,2)&gt;5,"Weekend posting | ","")&amp;IF(COUNTIF(Settings!$A$14:$A$43,B1033)&gt;0,"Holiday posting | ","")&amp;IF(B1033&gt;Settings!$C$8,"Posted after close | ","")&amp;IF(OR(B1033&lt;Settings!$C$6,B1033&gt;Settings!$C$7),"Outside period | ","")&amp;IF(COUNTIF(Settings!$E$14:$E$43,C1033&amp;"")&gt;0,"Sensitive account | ","")&amp;IF(AND(MAX(N(E1033),N(F1033))&gt;=Settings!$C$9,MOD(MAX(N(E1033),N(F1033)),Settings!$C$10)=0),"Round amount | ",""))-3)))</f>
        <v/>
      </c>
      <c r="M1033" s="21" t="str">
        <f aca="false">IF(A1033="","",IF(COUNTIF($A$9:A1033,A1033)=1,MAX($M$8:M1032)+1,""))</f>
        <v/>
      </c>
    </row>
    <row r="1034" customFormat="false" ht="15" hidden="false" customHeight="false" outlineLevel="0" collapsed="false">
      <c r="A1034" s="8"/>
      <c r="B1034" s="17"/>
      <c r="C1034" s="19"/>
      <c r="D1034" s="8"/>
      <c r="E1034" s="18"/>
      <c r="F1034" s="18"/>
      <c r="G1034" s="8"/>
      <c r="H1034" s="8"/>
      <c r="I1034" s="8"/>
      <c r="J1034" s="8"/>
      <c r="K1034" s="10" t="str">
        <f aca="false">IF(A1034="","",IF(ABS(SUMIFS($E$9:$E$2008,$A$9:$A$2008,A1034)-SUMIFS($F$9:$F$2008,$A$9:$A$2008,A1034))&lt;0.5,"Yes","No"))</f>
        <v/>
      </c>
      <c r="L1034" s="10" t="str">
        <f aca="false">IF(A1034="","",IF(IF(K1034="No","Does not balance | ","")&amp;IF(I1034="","Not approved | ",IF(UPPER(TRIM(H1034))=UPPER(TRIM(I1034)),"Self-approved | ",""))&amp;IF(J1034="","No support | ","")&amp;IF(WEEKDAY(B1034,2)&gt;5,"Weekend posting | ","")&amp;IF(COUNTIF(Settings!$A$14:$A$43,B1034)&gt;0,"Holiday posting | ","")&amp;IF(B1034&gt;Settings!$C$8,"Posted after close | ","")&amp;IF(OR(B1034&lt;Settings!$C$6,B1034&gt;Settings!$C$7),"Outside period | ","")&amp;IF(COUNTIF(Settings!$E$14:$E$43,C1034&amp;"")&gt;0,"Sensitive account | ","")&amp;IF(AND(MAX(N(E1034),N(F1034))&gt;=Settings!$C$9,MOD(MAX(N(E1034),N(F1034)),Settings!$C$10)=0),"Round amount | ","")="","",LEFT(IF(K1034="No","Does not balance | ","")&amp;IF(I1034="","Not approved | ",IF(UPPER(TRIM(H1034))=UPPER(TRIM(I1034)),"Self-approved | ",""))&amp;IF(J1034="","No support | ","")&amp;IF(WEEKDAY(B1034,2)&gt;5,"Weekend posting | ","")&amp;IF(COUNTIF(Settings!$A$14:$A$43,B1034)&gt;0,"Holiday posting | ","")&amp;IF(B1034&gt;Settings!$C$8,"Posted after close | ","")&amp;IF(OR(B1034&lt;Settings!$C$6,B1034&gt;Settings!$C$7),"Outside period | ","")&amp;IF(COUNTIF(Settings!$E$14:$E$43,C1034&amp;"")&gt;0,"Sensitive account | ","")&amp;IF(AND(MAX(N(E1034),N(F1034))&gt;=Settings!$C$9,MOD(MAX(N(E1034),N(F1034)),Settings!$C$10)=0),"Round amount | ",""),LEN(IF(K1034="No","Does not balance | ","")&amp;IF(I1034="","Not approved | ",IF(UPPER(TRIM(H1034))=UPPER(TRIM(I1034)),"Self-approved | ",""))&amp;IF(J1034="","No support | ","")&amp;IF(WEEKDAY(B1034,2)&gt;5,"Weekend posting | ","")&amp;IF(COUNTIF(Settings!$A$14:$A$43,B1034)&gt;0,"Holiday posting | ","")&amp;IF(B1034&gt;Settings!$C$8,"Posted after close | ","")&amp;IF(OR(B1034&lt;Settings!$C$6,B1034&gt;Settings!$C$7),"Outside period | ","")&amp;IF(COUNTIF(Settings!$E$14:$E$43,C1034&amp;"")&gt;0,"Sensitive account | ","")&amp;IF(AND(MAX(N(E1034),N(F1034))&gt;=Settings!$C$9,MOD(MAX(N(E1034),N(F1034)),Settings!$C$10)=0),"Round amount | ",""))-3)))</f>
        <v/>
      </c>
      <c r="M1034" s="21" t="str">
        <f aca="false">IF(A1034="","",IF(COUNTIF($A$9:A1034,A1034)=1,MAX($M$8:M1033)+1,""))</f>
        <v/>
      </c>
    </row>
    <row r="1035" customFormat="false" ht="15" hidden="false" customHeight="false" outlineLevel="0" collapsed="false">
      <c r="A1035" s="8"/>
      <c r="B1035" s="17"/>
      <c r="C1035" s="19"/>
      <c r="D1035" s="8"/>
      <c r="E1035" s="18"/>
      <c r="F1035" s="18"/>
      <c r="G1035" s="8"/>
      <c r="H1035" s="8"/>
      <c r="I1035" s="8"/>
      <c r="J1035" s="8"/>
      <c r="K1035" s="10" t="str">
        <f aca="false">IF(A1035="","",IF(ABS(SUMIFS($E$9:$E$2008,$A$9:$A$2008,A1035)-SUMIFS($F$9:$F$2008,$A$9:$A$2008,A1035))&lt;0.5,"Yes","No"))</f>
        <v/>
      </c>
      <c r="L1035" s="10" t="str">
        <f aca="false">IF(A1035="","",IF(IF(K1035="No","Does not balance | ","")&amp;IF(I1035="","Not approved | ",IF(UPPER(TRIM(H1035))=UPPER(TRIM(I1035)),"Self-approved | ",""))&amp;IF(J1035="","No support | ","")&amp;IF(WEEKDAY(B1035,2)&gt;5,"Weekend posting | ","")&amp;IF(COUNTIF(Settings!$A$14:$A$43,B1035)&gt;0,"Holiday posting | ","")&amp;IF(B1035&gt;Settings!$C$8,"Posted after close | ","")&amp;IF(OR(B1035&lt;Settings!$C$6,B1035&gt;Settings!$C$7),"Outside period | ","")&amp;IF(COUNTIF(Settings!$E$14:$E$43,C1035&amp;"")&gt;0,"Sensitive account | ","")&amp;IF(AND(MAX(N(E1035),N(F1035))&gt;=Settings!$C$9,MOD(MAX(N(E1035),N(F1035)),Settings!$C$10)=0),"Round amount | ","")="","",LEFT(IF(K1035="No","Does not balance | ","")&amp;IF(I1035="","Not approved | ",IF(UPPER(TRIM(H1035))=UPPER(TRIM(I1035)),"Self-approved | ",""))&amp;IF(J1035="","No support | ","")&amp;IF(WEEKDAY(B1035,2)&gt;5,"Weekend posting | ","")&amp;IF(COUNTIF(Settings!$A$14:$A$43,B1035)&gt;0,"Holiday posting | ","")&amp;IF(B1035&gt;Settings!$C$8,"Posted after close | ","")&amp;IF(OR(B1035&lt;Settings!$C$6,B1035&gt;Settings!$C$7),"Outside period | ","")&amp;IF(COUNTIF(Settings!$E$14:$E$43,C1035&amp;"")&gt;0,"Sensitive account | ","")&amp;IF(AND(MAX(N(E1035),N(F1035))&gt;=Settings!$C$9,MOD(MAX(N(E1035),N(F1035)),Settings!$C$10)=0),"Round amount | ",""),LEN(IF(K1035="No","Does not balance | ","")&amp;IF(I1035="","Not approved | ",IF(UPPER(TRIM(H1035))=UPPER(TRIM(I1035)),"Self-approved | ",""))&amp;IF(J1035="","No support | ","")&amp;IF(WEEKDAY(B1035,2)&gt;5,"Weekend posting | ","")&amp;IF(COUNTIF(Settings!$A$14:$A$43,B1035)&gt;0,"Holiday posting | ","")&amp;IF(B1035&gt;Settings!$C$8,"Posted after close | ","")&amp;IF(OR(B1035&lt;Settings!$C$6,B1035&gt;Settings!$C$7),"Outside period | ","")&amp;IF(COUNTIF(Settings!$E$14:$E$43,C1035&amp;"")&gt;0,"Sensitive account | ","")&amp;IF(AND(MAX(N(E1035),N(F1035))&gt;=Settings!$C$9,MOD(MAX(N(E1035),N(F1035)),Settings!$C$10)=0),"Round amount | ",""))-3)))</f>
        <v/>
      </c>
      <c r="M1035" s="21" t="str">
        <f aca="false">IF(A1035="","",IF(COUNTIF($A$9:A1035,A1035)=1,MAX($M$8:M1034)+1,""))</f>
        <v/>
      </c>
    </row>
    <row r="1036" customFormat="false" ht="15" hidden="false" customHeight="false" outlineLevel="0" collapsed="false">
      <c r="A1036" s="8"/>
      <c r="B1036" s="17"/>
      <c r="C1036" s="19"/>
      <c r="D1036" s="8"/>
      <c r="E1036" s="18"/>
      <c r="F1036" s="18"/>
      <c r="G1036" s="8"/>
      <c r="H1036" s="8"/>
      <c r="I1036" s="8"/>
      <c r="J1036" s="8"/>
      <c r="K1036" s="10" t="str">
        <f aca="false">IF(A1036="","",IF(ABS(SUMIFS($E$9:$E$2008,$A$9:$A$2008,A1036)-SUMIFS($F$9:$F$2008,$A$9:$A$2008,A1036))&lt;0.5,"Yes","No"))</f>
        <v/>
      </c>
      <c r="L1036" s="10" t="str">
        <f aca="false">IF(A1036="","",IF(IF(K1036="No","Does not balance | ","")&amp;IF(I1036="","Not approved | ",IF(UPPER(TRIM(H1036))=UPPER(TRIM(I1036)),"Self-approved | ",""))&amp;IF(J1036="","No support | ","")&amp;IF(WEEKDAY(B1036,2)&gt;5,"Weekend posting | ","")&amp;IF(COUNTIF(Settings!$A$14:$A$43,B1036)&gt;0,"Holiday posting | ","")&amp;IF(B1036&gt;Settings!$C$8,"Posted after close | ","")&amp;IF(OR(B1036&lt;Settings!$C$6,B1036&gt;Settings!$C$7),"Outside period | ","")&amp;IF(COUNTIF(Settings!$E$14:$E$43,C1036&amp;"")&gt;0,"Sensitive account | ","")&amp;IF(AND(MAX(N(E1036),N(F1036))&gt;=Settings!$C$9,MOD(MAX(N(E1036),N(F1036)),Settings!$C$10)=0),"Round amount | ","")="","",LEFT(IF(K1036="No","Does not balance | ","")&amp;IF(I1036="","Not approved | ",IF(UPPER(TRIM(H1036))=UPPER(TRIM(I1036)),"Self-approved | ",""))&amp;IF(J1036="","No support | ","")&amp;IF(WEEKDAY(B1036,2)&gt;5,"Weekend posting | ","")&amp;IF(COUNTIF(Settings!$A$14:$A$43,B1036)&gt;0,"Holiday posting | ","")&amp;IF(B1036&gt;Settings!$C$8,"Posted after close | ","")&amp;IF(OR(B1036&lt;Settings!$C$6,B1036&gt;Settings!$C$7),"Outside period | ","")&amp;IF(COUNTIF(Settings!$E$14:$E$43,C1036&amp;"")&gt;0,"Sensitive account | ","")&amp;IF(AND(MAX(N(E1036),N(F1036))&gt;=Settings!$C$9,MOD(MAX(N(E1036),N(F1036)),Settings!$C$10)=0),"Round amount | ",""),LEN(IF(K1036="No","Does not balance | ","")&amp;IF(I1036="","Not approved | ",IF(UPPER(TRIM(H1036))=UPPER(TRIM(I1036)),"Self-approved | ",""))&amp;IF(J1036="","No support | ","")&amp;IF(WEEKDAY(B1036,2)&gt;5,"Weekend posting | ","")&amp;IF(COUNTIF(Settings!$A$14:$A$43,B1036)&gt;0,"Holiday posting | ","")&amp;IF(B1036&gt;Settings!$C$8,"Posted after close | ","")&amp;IF(OR(B1036&lt;Settings!$C$6,B1036&gt;Settings!$C$7),"Outside period | ","")&amp;IF(COUNTIF(Settings!$E$14:$E$43,C1036&amp;"")&gt;0,"Sensitive account | ","")&amp;IF(AND(MAX(N(E1036),N(F1036))&gt;=Settings!$C$9,MOD(MAX(N(E1036),N(F1036)),Settings!$C$10)=0),"Round amount | ",""))-3)))</f>
        <v/>
      </c>
      <c r="M1036" s="21" t="str">
        <f aca="false">IF(A1036="","",IF(COUNTIF($A$9:A1036,A1036)=1,MAX($M$8:M1035)+1,""))</f>
        <v/>
      </c>
    </row>
    <row r="1037" customFormat="false" ht="15" hidden="false" customHeight="false" outlineLevel="0" collapsed="false">
      <c r="A1037" s="8"/>
      <c r="B1037" s="17"/>
      <c r="C1037" s="19"/>
      <c r="D1037" s="8"/>
      <c r="E1037" s="18"/>
      <c r="F1037" s="18"/>
      <c r="G1037" s="8"/>
      <c r="H1037" s="8"/>
      <c r="I1037" s="8"/>
      <c r="J1037" s="8"/>
      <c r="K1037" s="10" t="str">
        <f aca="false">IF(A1037="","",IF(ABS(SUMIFS($E$9:$E$2008,$A$9:$A$2008,A1037)-SUMIFS($F$9:$F$2008,$A$9:$A$2008,A1037))&lt;0.5,"Yes","No"))</f>
        <v/>
      </c>
      <c r="L1037" s="10" t="str">
        <f aca="false">IF(A1037="","",IF(IF(K1037="No","Does not balance | ","")&amp;IF(I1037="","Not approved | ",IF(UPPER(TRIM(H1037))=UPPER(TRIM(I1037)),"Self-approved | ",""))&amp;IF(J1037="","No support | ","")&amp;IF(WEEKDAY(B1037,2)&gt;5,"Weekend posting | ","")&amp;IF(COUNTIF(Settings!$A$14:$A$43,B1037)&gt;0,"Holiday posting | ","")&amp;IF(B1037&gt;Settings!$C$8,"Posted after close | ","")&amp;IF(OR(B1037&lt;Settings!$C$6,B1037&gt;Settings!$C$7),"Outside period | ","")&amp;IF(COUNTIF(Settings!$E$14:$E$43,C1037&amp;"")&gt;0,"Sensitive account | ","")&amp;IF(AND(MAX(N(E1037),N(F1037))&gt;=Settings!$C$9,MOD(MAX(N(E1037),N(F1037)),Settings!$C$10)=0),"Round amount | ","")="","",LEFT(IF(K1037="No","Does not balance | ","")&amp;IF(I1037="","Not approved | ",IF(UPPER(TRIM(H1037))=UPPER(TRIM(I1037)),"Self-approved | ",""))&amp;IF(J1037="","No support | ","")&amp;IF(WEEKDAY(B1037,2)&gt;5,"Weekend posting | ","")&amp;IF(COUNTIF(Settings!$A$14:$A$43,B1037)&gt;0,"Holiday posting | ","")&amp;IF(B1037&gt;Settings!$C$8,"Posted after close | ","")&amp;IF(OR(B1037&lt;Settings!$C$6,B1037&gt;Settings!$C$7),"Outside period | ","")&amp;IF(COUNTIF(Settings!$E$14:$E$43,C1037&amp;"")&gt;0,"Sensitive account | ","")&amp;IF(AND(MAX(N(E1037),N(F1037))&gt;=Settings!$C$9,MOD(MAX(N(E1037),N(F1037)),Settings!$C$10)=0),"Round amount | ",""),LEN(IF(K1037="No","Does not balance | ","")&amp;IF(I1037="","Not approved | ",IF(UPPER(TRIM(H1037))=UPPER(TRIM(I1037)),"Self-approved | ",""))&amp;IF(J1037="","No support | ","")&amp;IF(WEEKDAY(B1037,2)&gt;5,"Weekend posting | ","")&amp;IF(COUNTIF(Settings!$A$14:$A$43,B1037)&gt;0,"Holiday posting | ","")&amp;IF(B1037&gt;Settings!$C$8,"Posted after close | ","")&amp;IF(OR(B1037&lt;Settings!$C$6,B1037&gt;Settings!$C$7),"Outside period | ","")&amp;IF(COUNTIF(Settings!$E$14:$E$43,C1037&amp;"")&gt;0,"Sensitive account | ","")&amp;IF(AND(MAX(N(E1037),N(F1037))&gt;=Settings!$C$9,MOD(MAX(N(E1037),N(F1037)),Settings!$C$10)=0),"Round amount | ",""))-3)))</f>
        <v/>
      </c>
      <c r="M1037" s="21" t="str">
        <f aca="false">IF(A1037="","",IF(COUNTIF($A$9:A1037,A1037)=1,MAX($M$8:M1036)+1,""))</f>
        <v/>
      </c>
    </row>
    <row r="1038" customFormat="false" ht="15" hidden="false" customHeight="false" outlineLevel="0" collapsed="false">
      <c r="A1038" s="8"/>
      <c r="B1038" s="17"/>
      <c r="C1038" s="19"/>
      <c r="D1038" s="8"/>
      <c r="E1038" s="18"/>
      <c r="F1038" s="18"/>
      <c r="G1038" s="8"/>
      <c r="H1038" s="8"/>
      <c r="I1038" s="8"/>
      <c r="J1038" s="8"/>
      <c r="K1038" s="10" t="str">
        <f aca="false">IF(A1038="","",IF(ABS(SUMIFS($E$9:$E$2008,$A$9:$A$2008,A1038)-SUMIFS($F$9:$F$2008,$A$9:$A$2008,A1038))&lt;0.5,"Yes","No"))</f>
        <v/>
      </c>
      <c r="L1038" s="10" t="str">
        <f aca="false">IF(A1038="","",IF(IF(K1038="No","Does not balance | ","")&amp;IF(I1038="","Not approved | ",IF(UPPER(TRIM(H1038))=UPPER(TRIM(I1038)),"Self-approved | ",""))&amp;IF(J1038="","No support | ","")&amp;IF(WEEKDAY(B1038,2)&gt;5,"Weekend posting | ","")&amp;IF(COUNTIF(Settings!$A$14:$A$43,B1038)&gt;0,"Holiday posting | ","")&amp;IF(B1038&gt;Settings!$C$8,"Posted after close | ","")&amp;IF(OR(B1038&lt;Settings!$C$6,B1038&gt;Settings!$C$7),"Outside period | ","")&amp;IF(COUNTIF(Settings!$E$14:$E$43,C1038&amp;"")&gt;0,"Sensitive account | ","")&amp;IF(AND(MAX(N(E1038),N(F1038))&gt;=Settings!$C$9,MOD(MAX(N(E1038),N(F1038)),Settings!$C$10)=0),"Round amount | ","")="","",LEFT(IF(K1038="No","Does not balance | ","")&amp;IF(I1038="","Not approved | ",IF(UPPER(TRIM(H1038))=UPPER(TRIM(I1038)),"Self-approved | ",""))&amp;IF(J1038="","No support | ","")&amp;IF(WEEKDAY(B1038,2)&gt;5,"Weekend posting | ","")&amp;IF(COUNTIF(Settings!$A$14:$A$43,B1038)&gt;0,"Holiday posting | ","")&amp;IF(B1038&gt;Settings!$C$8,"Posted after close | ","")&amp;IF(OR(B1038&lt;Settings!$C$6,B1038&gt;Settings!$C$7),"Outside period | ","")&amp;IF(COUNTIF(Settings!$E$14:$E$43,C1038&amp;"")&gt;0,"Sensitive account | ","")&amp;IF(AND(MAX(N(E1038),N(F1038))&gt;=Settings!$C$9,MOD(MAX(N(E1038),N(F1038)),Settings!$C$10)=0),"Round amount | ",""),LEN(IF(K1038="No","Does not balance | ","")&amp;IF(I1038="","Not approved | ",IF(UPPER(TRIM(H1038))=UPPER(TRIM(I1038)),"Self-approved | ",""))&amp;IF(J1038="","No support | ","")&amp;IF(WEEKDAY(B1038,2)&gt;5,"Weekend posting | ","")&amp;IF(COUNTIF(Settings!$A$14:$A$43,B1038)&gt;0,"Holiday posting | ","")&amp;IF(B1038&gt;Settings!$C$8,"Posted after close | ","")&amp;IF(OR(B1038&lt;Settings!$C$6,B1038&gt;Settings!$C$7),"Outside period | ","")&amp;IF(COUNTIF(Settings!$E$14:$E$43,C1038&amp;"")&gt;0,"Sensitive account | ","")&amp;IF(AND(MAX(N(E1038),N(F1038))&gt;=Settings!$C$9,MOD(MAX(N(E1038),N(F1038)),Settings!$C$10)=0),"Round amount | ",""))-3)))</f>
        <v/>
      </c>
      <c r="M1038" s="21" t="str">
        <f aca="false">IF(A1038="","",IF(COUNTIF($A$9:A1038,A1038)=1,MAX($M$8:M1037)+1,""))</f>
        <v/>
      </c>
    </row>
    <row r="1039" customFormat="false" ht="15" hidden="false" customHeight="false" outlineLevel="0" collapsed="false">
      <c r="A1039" s="8"/>
      <c r="B1039" s="17"/>
      <c r="C1039" s="19"/>
      <c r="D1039" s="8"/>
      <c r="E1039" s="18"/>
      <c r="F1039" s="18"/>
      <c r="G1039" s="8"/>
      <c r="H1039" s="8"/>
      <c r="I1039" s="8"/>
      <c r="J1039" s="8"/>
      <c r="K1039" s="10" t="str">
        <f aca="false">IF(A1039="","",IF(ABS(SUMIFS($E$9:$E$2008,$A$9:$A$2008,A1039)-SUMIFS($F$9:$F$2008,$A$9:$A$2008,A1039))&lt;0.5,"Yes","No"))</f>
        <v/>
      </c>
      <c r="L1039" s="10" t="str">
        <f aca="false">IF(A1039="","",IF(IF(K1039="No","Does not balance | ","")&amp;IF(I1039="","Not approved | ",IF(UPPER(TRIM(H1039))=UPPER(TRIM(I1039)),"Self-approved | ",""))&amp;IF(J1039="","No support | ","")&amp;IF(WEEKDAY(B1039,2)&gt;5,"Weekend posting | ","")&amp;IF(COUNTIF(Settings!$A$14:$A$43,B1039)&gt;0,"Holiday posting | ","")&amp;IF(B1039&gt;Settings!$C$8,"Posted after close | ","")&amp;IF(OR(B1039&lt;Settings!$C$6,B1039&gt;Settings!$C$7),"Outside period | ","")&amp;IF(COUNTIF(Settings!$E$14:$E$43,C1039&amp;"")&gt;0,"Sensitive account | ","")&amp;IF(AND(MAX(N(E1039),N(F1039))&gt;=Settings!$C$9,MOD(MAX(N(E1039),N(F1039)),Settings!$C$10)=0),"Round amount | ","")="","",LEFT(IF(K1039="No","Does not balance | ","")&amp;IF(I1039="","Not approved | ",IF(UPPER(TRIM(H1039))=UPPER(TRIM(I1039)),"Self-approved | ",""))&amp;IF(J1039="","No support | ","")&amp;IF(WEEKDAY(B1039,2)&gt;5,"Weekend posting | ","")&amp;IF(COUNTIF(Settings!$A$14:$A$43,B1039)&gt;0,"Holiday posting | ","")&amp;IF(B1039&gt;Settings!$C$8,"Posted after close | ","")&amp;IF(OR(B1039&lt;Settings!$C$6,B1039&gt;Settings!$C$7),"Outside period | ","")&amp;IF(COUNTIF(Settings!$E$14:$E$43,C1039&amp;"")&gt;0,"Sensitive account | ","")&amp;IF(AND(MAX(N(E1039),N(F1039))&gt;=Settings!$C$9,MOD(MAX(N(E1039),N(F1039)),Settings!$C$10)=0),"Round amount | ",""),LEN(IF(K1039="No","Does not balance | ","")&amp;IF(I1039="","Not approved | ",IF(UPPER(TRIM(H1039))=UPPER(TRIM(I1039)),"Self-approved | ",""))&amp;IF(J1039="","No support | ","")&amp;IF(WEEKDAY(B1039,2)&gt;5,"Weekend posting | ","")&amp;IF(COUNTIF(Settings!$A$14:$A$43,B1039)&gt;0,"Holiday posting | ","")&amp;IF(B1039&gt;Settings!$C$8,"Posted after close | ","")&amp;IF(OR(B1039&lt;Settings!$C$6,B1039&gt;Settings!$C$7),"Outside period | ","")&amp;IF(COUNTIF(Settings!$E$14:$E$43,C1039&amp;"")&gt;0,"Sensitive account | ","")&amp;IF(AND(MAX(N(E1039),N(F1039))&gt;=Settings!$C$9,MOD(MAX(N(E1039),N(F1039)),Settings!$C$10)=0),"Round amount | ",""))-3)))</f>
        <v/>
      </c>
      <c r="M1039" s="21" t="str">
        <f aca="false">IF(A1039="","",IF(COUNTIF($A$9:A1039,A1039)=1,MAX($M$8:M1038)+1,""))</f>
        <v/>
      </c>
    </row>
    <row r="1040" customFormat="false" ht="15" hidden="false" customHeight="false" outlineLevel="0" collapsed="false">
      <c r="A1040" s="8"/>
      <c r="B1040" s="17"/>
      <c r="C1040" s="19"/>
      <c r="D1040" s="8"/>
      <c r="E1040" s="18"/>
      <c r="F1040" s="18"/>
      <c r="G1040" s="8"/>
      <c r="H1040" s="8"/>
      <c r="I1040" s="8"/>
      <c r="J1040" s="8"/>
      <c r="K1040" s="10" t="str">
        <f aca="false">IF(A1040="","",IF(ABS(SUMIFS($E$9:$E$2008,$A$9:$A$2008,A1040)-SUMIFS($F$9:$F$2008,$A$9:$A$2008,A1040))&lt;0.5,"Yes","No"))</f>
        <v/>
      </c>
      <c r="L1040" s="10" t="str">
        <f aca="false">IF(A1040="","",IF(IF(K1040="No","Does not balance | ","")&amp;IF(I1040="","Not approved | ",IF(UPPER(TRIM(H1040))=UPPER(TRIM(I1040)),"Self-approved | ",""))&amp;IF(J1040="","No support | ","")&amp;IF(WEEKDAY(B1040,2)&gt;5,"Weekend posting | ","")&amp;IF(COUNTIF(Settings!$A$14:$A$43,B1040)&gt;0,"Holiday posting | ","")&amp;IF(B1040&gt;Settings!$C$8,"Posted after close | ","")&amp;IF(OR(B1040&lt;Settings!$C$6,B1040&gt;Settings!$C$7),"Outside period | ","")&amp;IF(COUNTIF(Settings!$E$14:$E$43,C1040&amp;"")&gt;0,"Sensitive account | ","")&amp;IF(AND(MAX(N(E1040),N(F1040))&gt;=Settings!$C$9,MOD(MAX(N(E1040),N(F1040)),Settings!$C$10)=0),"Round amount | ","")="","",LEFT(IF(K1040="No","Does not balance | ","")&amp;IF(I1040="","Not approved | ",IF(UPPER(TRIM(H1040))=UPPER(TRIM(I1040)),"Self-approved | ",""))&amp;IF(J1040="","No support | ","")&amp;IF(WEEKDAY(B1040,2)&gt;5,"Weekend posting | ","")&amp;IF(COUNTIF(Settings!$A$14:$A$43,B1040)&gt;0,"Holiday posting | ","")&amp;IF(B1040&gt;Settings!$C$8,"Posted after close | ","")&amp;IF(OR(B1040&lt;Settings!$C$6,B1040&gt;Settings!$C$7),"Outside period | ","")&amp;IF(COUNTIF(Settings!$E$14:$E$43,C1040&amp;"")&gt;0,"Sensitive account | ","")&amp;IF(AND(MAX(N(E1040),N(F1040))&gt;=Settings!$C$9,MOD(MAX(N(E1040),N(F1040)),Settings!$C$10)=0),"Round amount | ",""),LEN(IF(K1040="No","Does not balance | ","")&amp;IF(I1040="","Not approved | ",IF(UPPER(TRIM(H1040))=UPPER(TRIM(I1040)),"Self-approved | ",""))&amp;IF(J1040="","No support | ","")&amp;IF(WEEKDAY(B1040,2)&gt;5,"Weekend posting | ","")&amp;IF(COUNTIF(Settings!$A$14:$A$43,B1040)&gt;0,"Holiday posting | ","")&amp;IF(B1040&gt;Settings!$C$8,"Posted after close | ","")&amp;IF(OR(B1040&lt;Settings!$C$6,B1040&gt;Settings!$C$7),"Outside period | ","")&amp;IF(COUNTIF(Settings!$E$14:$E$43,C1040&amp;"")&gt;0,"Sensitive account | ","")&amp;IF(AND(MAX(N(E1040),N(F1040))&gt;=Settings!$C$9,MOD(MAX(N(E1040),N(F1040)),Settings!$C$10)=0),"Round amount | ",""))-3)))</f>
        <v/>
      </c>
      <c r="M1040" s="21" t="str">
        <f aca="false">IF(A1040="","",IF(COUNTIF($A$9:A1040,A1040)=1,MAX($M$8:M1039)+1,""))</f>
        <v/>
      </c>
    </row>
    <row r="1041" customFormat="false" ht="15" hidden="false" customHeight="false" outlineLevel="0" collapsed="false">
      <c r="A1041" s="8"/>
      <c r="B1041" s="17"/>
      <c r="C1041" s="19"/>
      <c r="D1041" s="8"/>
      <c r="E1041" s="18"/>
      <c r="F1041" s="18"/>
      <c r="G1041" s="8"/>
      <c r="H1041" s="8"/>
      <c r="I1041" s="8"/>
      <c r="J1041" s="8"/>
      <c r="K1041" s="10" t="str">
        <f aca="false">IF(A1041="","",IF(ABS(SUMIFS($E$9:$E$2008,$A$9:$A$2008,A1041)-SUMIFS($F$9:$F$2008,$A$9:$A$2008,A1041))&lt;0.5,"Yes","No"))</f>
        <v/>
      </c>
      <c r="L1041" s="10" t="str">
        <f aca="false">IF(A1041="","",IF(IF(K1041="No","Does not balance | ","")&amp;IF(I1041="","Not approved | ",IF(UPPER(TRIM(H1041))=UPPER(TRIM(I1041)),"Self-approved | ",""))&amp;IF(J1041="","No support | ","")&amp;IF(WEEKDAY(B1041,2)&gt;5,"Weekend posting | ","")&amp;IF(COUNTIF(Settings!$A$14:$A$43,B1041)&gt;0,"Holiday posting | ","")&amp;IF(B1041&gt;Settings!$C$8,"Posted after close | ","")&amp;IF(OR(B1041&lt;Settings!$C$6,B1041&gt;Settings!$C$7),"Outside period | ","")&amp;IF(COUNTIF(Settings!$E$14:$E$43,C1041&amp;"")&gt;0,"Sensitive account | ","")&amp;IF(AND(MAX(N(E1041),N(F1041))&gt;=Settings!$C$9,MOD(MAX(N(E1041),N(F1041)),Settings!$C$10)=0),"Round amount | ","")="","",LEFT(IF(K1041="No","Does not balance | ","")&amp;IF(I1041="","Not approved | ",IF(UPPER(TRIM(H1041))=UPPER(TRIM(I1041)),"Self-approved | ",""))&amp;IF(J1041="","No support | ","")&amp;IF(WEEKDAY(B1041,2)&gt;5,"Weekend posting | ","")&amp;IF(COUNTIF(Settings!$A$14:$A$43,B1041)&gt;0,"Holiday posting | ","")&amp;IF(B1041&gt;Settings!$C$8,"Posted after close | ","")&amp;IF(OR(B1041&lt;Settings!$C$6,B1041&gt;Settings!$C$7),"Outside period | ","")&amp;IF(COUNTIF(Settings!$E$14:$E$43,C1041&amp;"")&gt;0,"Sensitive account | ","")&amp;IF(AND(MAX(N(E1041),N(F1041))&gt;=Settings!$C$9,MOD(MAX(N(E1041),N(F1041)),Settings!$C$10)=0),"Round amount | ",""),LEN(IF(K1041="No","Does not balance | ","")&amp;IF(I1041="","Not approved | ",IF(UPPER(TRIM(H1041))=UPPER(TRIM(I1041)),"Self-approved | ",""))&amp;IF(J1041="","No support | ","")&amp;IF(WEEKDAY(B1041,2)&gt;5,"Weekend posting | ","")&amp;IF(COUNTIF(Settings!$A$14:$A$43,B1041)&gt;0,"Holiday posting | ","")&amp;IF(B1041&gt;Settings!$C$8,"Posted after close | ","")&amp;IF(OR(B1041&lt;Settings!$C$6,B1041&gt;Settings!$C$7),"Outside period | ","")&amp;IF(COUNTIF(Settings!$E$14:$E$43,C1041&amp;"")&gt;0,"Sensitive account | ","")&amp;IF(AND(MAX(N(E1041),N(F1041))&gt;=Settings!$C$9,MOD(MAX(N(E1041),N(F1041)),Settings!$C$10)=0),"Round amount | ",""))-3)))</f>
        <v/>
      </c>
      <c r="M1041" s="21" t="str">
        <f aca="false">IF(A1041="","",IF(COUNTIF($A$9:A1041,A1041)=1,MAX($M$8:M1040)+1,""))</f>
        <v/>
      </c>
    </row>
    <row r="1042" customFormat="false" ht="15" hidden="false" customHeight="false" outlineLevel="0" collapsed="false">
      <c r="A1042" s="8"/>
      <c r="B1042" s="17"/>
      <c r="C1042" s="19"/>
      <c r="D1042" s="8"/>
      <c r="E1042" s="18"/>
      <c r="F1042" s="18"/>
      <c r="G1042" s="8"/>
      <c r="H1042" s="8"/>
      <c r="I1042" s="8"/>
      <c r="J1042" s="8"/>
      <c r="K1042" s="10" t="str">
        <f aca="false">IF(A1042="","",IF(ABS(SUMIFS($E$9:$E$2008,$A$9:$A$2008,A1042)-SUMIFS($F$9:$F$2008,$A$9:$A$2008,A1042))&lt;0.5,"Yes","No"))</f>
        <v/>
      </c>
      <c r="L1042" s="10" t="str">
        <f aca="false">IF(A1042="","",IF(IF(K1042="No","Does not balance | ","")&amp;IF(I1042="","Not approved | ",IF(UPPER(TRIM(H1042))=UPPER(TRIM(I1042)),"Self-approved | ",""))&amp;IF(J1042="","No support | ","")&amp;IF(WEEKDAY(B1042,2)&gt;5,"Weekend posting | ","")&amp;IF(COUNTIF(Settings!$A$14:$A$43,B1042)&gt;0,"Holiday posting | ","")&amp;IF(B1042&gt;Settings!$C$8,"Posted after close | ","")&amp;IF(OR(B1042&lt;Settings!$C$6,B1042&gt;Settings!$C$7),"Outside period | ","")&amp;IF(COUNTIF(Settings!$E$14:$E$43,C1042&amp;"")&gt;0,"Sensitive account | ","")&amp;IF(AND(MAX(N(E1042),N(F1042))&gt;=Settings!$C$9,MOD(MAX(N(E1042),N(F1042)),Settings!$C$10)=0),"Round amount | ","")="","",LEFT(IF(K1042="No","Does not balance | ","")&amp;IF(I1042="","Not approved | ",IF(UPPER(TRIM(H1042))=UPPER(TRIM(I1042)),"Self-approved | ",""))&amp;IF(J1042="","No support | ","")&amp;IF(WEEKDAY(B1042,2)&gt;5,"Weekend posting | ","")&amp;IF(COUNTIF(Settings!$A$14:$A$43,B1042)&gt;0,"Holiday posting | ","")&amp;IF(B1042&gt;Settings!$C$8,"Posted after close | ","")&amp;IF(OR(B1042&lt;Settings!$C$6,B1042&gt;Settings!$C$7),"Outside period | ","")&amp;IF(COUNTIF(Settings!$E$14:$E$43,C1042&amp;"")&gt;0,"Sensitive account | ","")&amp;IF(AND(MAX(N(E1042),N(F1042))&gt;=Settings!$C$9,MOD(MAX(N(E1042),N(F1042)),Settings!$C$10)=0),"Round amount | ",""),LEN(IF(K1042="No","Does not balance | ","")&amp;IF(I1042="","Not approved | ",IF(UPPER(TRIM(H1042))=UPPER(TRIM(I1042)),"Self-approved | ",""))&amp;IF(J1042="","No support | ","")&amp;IF(WEEKDAY(B1042,2)&gt;5,"Weekend posting | ","")&amp;IF(COUNTIF(Settings!$A$14:$A$43,B1042)&gt;0,"Holiday posting | ","")&amp;IF(B1042&gt;Settings!$C$8,"Posted after close | ","")&amp;IF(OR(B1042&lt;Settings!$C$6,B1042&gt;Settings!$C$7),"Outside period | ","")&amp;IF(COUNTIF(Settings!$E$14:$E$43,C1042&amp;"")&gt;0,"Sensitive account | ","")&amp;IF(AND(MAX(N(E1042),N(F1042))&gt;=Settings!$C$9,MOD(MAX(N(E1042),N(F1042)),Settings!$C$10)=0),"Round amount | ",""))-3)))</f>
        <v/>
      </c>
      <c r="M1042" s="21" t="str">
        <f aca="false">IF(A1042="","",IF(COUNTIF($A$9:A1042,A1042)=1,MAX($M$8:M1041)+1,""))</f>
        <v/>
      </c>
    </row>
    <row r="1043" customFormat="false" ht="15" hidden="false" customHeight="false" outlineLevel="0" collapsed="false">
      <c r="A1043" s="8"/>
      <c r="B1043" s="17"/>
      <c r="C1043" s="19"/>
      <c r="D1043" s="8"/>
      <c r="E1043" s="18"/>
      <c r="F1043" s="18"/>
      <c r="G1043" s="8"/>
      <c r="H1043" s="8"/>
      <c r="I1043" s="8"/>
      <c r="J1043" s="8"/>
      <c r="K1043" s="10" t="str">
        <f aca="false">IF(A1043="","",IF(ABS(SUMIFS($E$9:$E$2008,$A$9:$A$2008,A1043)-SUMIFS($F$9:$F$2008,$A$9:$A$2008,A1043))&lt;0.5,"Yes","No"))</f>
        <v/>
      </c>
      <c r="L1043" s="10" t="str">
        <f aca="false">IF(A1043="","",IF(IF(K1043="No","Does not balance | ","")&amp;IF(I1043="","Not approved | ",IF(UPPER(TRIM(H1043))=UPPER(TRIM(I1043)),"Self-approved | ",""))&amp;IF(J1043="","No support | ","")&amp;IF(WEEKDAY(B1043,2)&gt;5,"Weekend posting | ","")&amp;IF(COUNTIF(Settings!$A$14:$A$43,B1043)&gt;0,"Holiday posting | ","")&amp;IF(B1043&gt;Settings!$C$8,"Posted after close | ","")&amp;IF(OR(B1043&lt;Settings!$C$6,B1043&gt;Settings!$C$7),"Outside period | ","")&amp;IF(COUNTIF(Settings!$E$14:$E$43,C1043&amp;"")&gt;0,"Sensitive account | ","")&amp;IF(AND(MAX(N(E1043),N(F1043))&gt;=Settings!$C$9,MOD(MAX(N(E1043),N(F1043)),Settings!$C$10)=0),"Round amount | ","")="","",LEFT(IF(K1043="No","Does not balance | ","")&amp;IF(I1043="","Not approved | ",IF(UPPER(TRIM(H1043))=UPPER(TRIM(I1043)),"Self-approved | ",""))&amp;IF(J1043="","No support | ","")&amp;IF(WEEKDAY(B1043,2)&gt;5,"Weekend posting | ","")&amp;IF(COUNTIF(Settings!$A$14:$A$43,B1043)&gt;0,"Holiday posting | ","")&amp;IF(B1043&gt;Settings!$C$8,"Posted after close | ","")&amp;IF(OR(B1043&lt;Settings!$C$6,B1043&gt;Settings!$C$7),"Outside period | ","")&amp;IF(COUNTIF(Settings!$E$14:$E$43,C1043&amp;"")&gt;0,"Sensitive account | ","")&amp;IF(AND(MAX(N(E1043),N(F1043))&gt;=Settings!$C$9,MOD(MAX(N(E1043),N(F1043)),Settings!$C$10)=0),"Round amount | ",""),LEN(IF(K1043="No","Does not balance | ","")&amp;IF(I1043="","Not approved | ",IF(UPPER(TRIM(H1043))=UPPER(TRIM(I1043)),"Self-approved | ",""))&amp;IF(J1043="","No support | ","")&amp;IF(WEEKDAY(B1043,2)&gt;5,"Weekend posting | ","")&amp;IF(COUNTIF(Settings!$A$14:$A$43,B1043)&gt;0,"Holiday posting | ","")&amp;IF(B1043&gt;Settings!$C$8,"Posted after close | ","")&amp;IF(OR(B1043&lt;Settings!$C$6,B1043&gt;Settings!$C$7),"Outside period | ","")&amp;IF(COUNTIF(Settings!$E$14:$E$43,C1043&amp;"")&gt;0,"Sensitive account | ","")&amp;IF(AND(MAX(N(E1043),N(F1043))&gt;=Settings!$C$9,MOD(MAX(N(E1043),N(F1043)),Settings!$C$10)=0),"Round amount | ",""))-3)))</f>
        <v/>
      </c>
      <c r="M1043" s="21" t="str">
        <f aca="false">IF(A1043="","",IF(COUNTIF($A$9:A1043,A1043)=1,MAX($M$8:M1042)+1,""))</f>
        <v/>
      </c>
    </row>
    <row r="1044" customFormat="false" ht="15" hidden="false" customHeight="false" outlineLevel="0" collapsed="false">
      <c r="A1044" s="8"/>
      <c r="B1044" s="17"/>
      <c r="C1044" s="19"/>
      <c r="D1044" s="8"/>
      <c r="E1044" s="18"/>
      <c r="F1044" s="18"/>
      <c r="G1044" s="8"/>
      <c r="H1044" s="8"/>
      <c r="I1044" s="8"/>
      <c r="J1044" s="8"/>
      <c r="K1044" s="10" t="str">
        <f aca="false">IF(A1044="","",IF(ABS(SUMIFS($E$9:$E$2008,$A$9:$A$2008,A1044)-SUMIFS($F$9:$F$2008,$A$9:$A$2008,A1044))&lt;0.5,"Yes","No"))</f>
        <v/>
      </c>
      <c r="L1044" s="10" t="str">
        <f aca="false">IF(A1044="","",IF(IF(K1044="No","Does not balance | ","")&amp;IF(I1044="","Not approved | ",IF(UPPER(TRIM(H1044))=UPPER(TRIM(I1044)),"Self-approved | ",""))&amp;IF(J1044="","No support | ","")&amp;IF(WEEKDAY(B1044,2)&gt;5,"Weekend posting | ","")&amp;IF(COUNTIF(Settings!$A$14:$A$43,B1044)&gt;0,"Holiday posting | ","")&amp;IF(B1044&gt;Settings!$C$8,"Posted after close | ","")&amp;IF(OR(B1044&lt;Settings!$C$6,B1044&gt;Settings!$C$7),"Outside period | ","")&amp;IF(COUNTIF(Settings!$E$14:$E$43,C1044&amp;"")&gt;0,"Sensitive account | ","")&amp;IF(AND(MAX(N(E1044),N(F1044))&gt;=Settings!$C$9,MOD(MAX(N(E1044),N(F1044)),Settings!$C$10)=0),"Round amount | ","")="","",LEFT(IF(K1044="No","Does not balance | ","")&amp;IF(I1044="","Not approved | ",IF(UPPER(TRIM(H1044))=UPPER(TRIM(I1044)),"Self-approved | ",""))&amp;IF(J1044="","No support | ","")&amp;IF(WEEKDAY(B1044,2)&gt;5,"Weekend posting | ","")&amp;IF(COUNTIF(Settings!$A$14:$A$43,B1044)&gt;0,"Holiday posting | ","")&amp;IF(B1044&gt;Settings!$C$8,"Posted after close | ","")&amp;IF(OR(B1044&lt;Settings!$C$6,B1044&gt;Settings!$C$7),"Outside period | ","")&amp;IF(COUNTIF(Settings!$E$14:$E$43,C1044&amp;"")&gt;0,"Sensitive account | ","")&amp;IF(AND(MAX(N(E1044),N(F1044))&gt;=Settings!$C$9,MOD(MAX(N(E1044),N(F1044)),Settings!$C$10)=0),"Round amount | ",""),LEN(IF(K1044="No","Does not balance | ","")&amp;IF(I1044="","Not approved | ",IF(UPPER(TRIM(H1044))=UPPER(TRIM(I1044)),"Self-approved | ",""))&amp;IF(J1044="","No support | ","")&amp;IF(WEEKDAY(B1044,2)&gt;5,"Weekend posting | ","")&amp;IF(COUNTIF(Settings!$A$14:$A$43,B1044)&gt;0,"Holiday posting | ","")&amp;IF(B1044&gt;Settings!$C$8,"Posted after close | ","")&amp;IF(OR(B1044&lt;Settings!$C$6,B1044&gt;Settings!$C$7),"Outside period | ","")&amp;IF(COUNTIF(Settings!$E$14:$E$43,C1044&amp;"")&gt;0,"Sensitive account | ","")&amp;IF(AND(MAX(N(E1044),N(F1044))&gt;=Settings!$C$9,MOD(MAX(N(E1044),N(F1044)),Settings!$C$10)=0),"Round amount | ",""))-3)))</f>
        <v/>
      </c>
      <c r="M1044" s="21" t="str">
        <f aca="false">IF(A1044="","",IF(COUNTIF($A$9:A1044,A1044)=1,MAX($M$8:M1043)+1,""))</f>
        <v/>
      </c>
    </row>
    <row r="1045" customFormat="false" ht="15" hidden="false" customHeight="false" outlineLevel="0" collapsed="false">
      <c r="A1045" s="8"/>
      <c r="B1045" s="17"/>
      <c r="C1045" s="19"/>
      <c r="D1045" s="8"/>
      <c r="E1045" s="18"/>
      <c r="F1045" s="18"/>
      <c r="G1045" s="8"/>
      <c r="H1045" s="8"/>
      <c r="I1045" s="8"/>
      <c r="J1045" s="8"/>
      <c r="K1045" s="10" t="str">
        <f aca="false">IF(A1045="","",IF(ABS(SUMIFS($E$9:$E$2008,$A$9:$A$2008,A1045)-SUMIFS($F$9:$F$2008,$A$9:$A$2008,A1045))&lt;0.5,"Yes","No"))</f>
        <v/>
      </c>
      <c r="L1045" s="10" t="str">
        <f aca="false">IF(A1045="","",IF(IF(K1045="No","Does not balance | ","")&amp;IF(I1045="","Not approved | ",IF(UPPER(TRIM(H1045))=UPPER(TRIM(I1045)),"Self-approved | ",""))&amp;IF(J1045="","No support | ","")&amp;IF(WEEKDAY(B1045,2)&gt;5,"Weekend posting | ","")&amp;IF(COUNTIF(Settings!$A$14:$A$43,B1045)&gt;0,"Holiday posting | ","")&amp;IF(B1045&gt;Settings!$C$8,"Posted after close | ","")&amp;IF(OR(B1045&lt;Settings!$C$6,B1045&gt;Settings!$C$7),"Outside period | ","")&amp;IF(COUNTIF(Settings!$E$14:$E$43,C1045&amp;"")&gt;0,"Sensitive account | ","")&amp;IF(AND(MAX(N(E1045),N(F1045))&gt;=Settings!$C$9,MOD(MAX(N(E1045),N(F1045)),Settings!$C$10)=0),"Round amount | ","")="","",LEFT(IF(K1045="No","Does not balance | ","")&amp;IF(I1045="","Not approved | ",IF(UPPER(TRIM(H1045))=UPPER(TRIM(I1045)),"Self-approved | ",""))&amp;IF(J1045="","No support | ","")&amp;IF(WEEKDAY(B1045,2)&gt;5,"Weekend posting | ","")&amp;IF(COUNTIF(Settings!$A$14:$A$43,B1045)&gt;0,"Holiday posting | ","")&amp;IF(B1045&gt;Settings!$C$8,"Posted after close | ","")&amp;IF(OR(B1045&lt;Settings!$C$6,B1045&gt;Settings!$C$7),"Outside period | ","")&amp;IF(COUNTIF(Settings!$E$14:$E$43,C1045&amp;"")&gt;0,"Sensitive account | ","")&amp;IF(AND(MAX(N(E1045),N(F1045))&gt;=Settings!$C$9,MOD(MAX(N(E1045),N(F1045)),Settings!$C$10)=0),"Round amount | ",""),LEN(IF(K1045="No","Does not balance | ","")&amp;IF(I1045="","Not approved | ",IF(UPPER(TRIM(H1045))=UPPER(TRIM(I1045)),"Self-approved | ",""))&amp;IF(J1045="","No support | ","")&amp;IF(WEEKDAY(B1045,2)&gt;5,"Weekend posting | ","")&amp;IF(COUNTIF(Settings!$A$14:$A$43,B1045)&gt;0,"Holiday posting | ","")&amp;IF(B1045&gt;Settings!$C$8,"Posted after close | ","")&amp;IF(OR(B1045&lt;Settings!$C$6,B1045&gt;Settings!$C$7),"Outside period | ","")&amp;IF(COUNTIF(Settings!$E$14:$E$43,C1045&amp;"")&gt;0,"Sensitive account | ","")&amp;IF(AND(MAX(N(E1045),N(F1045))&gt;=Settings!$C$9,MOD(MAX(N(E1045),N(F1045)),Settings!$C$10)=0),"Round amount | ",""))-3)))</f>
        <v/>
      </c>
      <c r="M1045" s="21" t="str">
        <f aca="false">IF(A1045="","",IF(COUNTIF($A$9:A1045,A1045)=1,MAX($M$8:M1044)+1,""))</f>
        <v/>
      </c>
    </row>
    <row r="1046" customFormat="false" ht="15" hidden="false" customHeight="false" outlineLevel="0" collapsed="false">
      <c r="A1046" s="8"/>
      <c r="B1046" s="17"/>
      <c r="C1046" s="19"/>
      <c r="D1046" s="8"/>
      <c r="E1046" s="18"/>
      <c r="F1046" s="18"/>
      <c r="G1046" s="8"/>
      <c r="H1046" s="8"/>
      <c r="I1046" s="8"/>
      <c r="J1046" s="8"/>
      <c r="K1046" s="10" t="str">
        <f aca="false">IF(A1046="","",IF(ABS(SUMIFS($E$9:$E$2008,$A$9:$A$2008,A1046)-SUMIFS($F$9:$F$2008,$A$9:$A$2008,A1046))&lt;0.5,"Yes","No"))</f>
        <v/>
      </c>
      <c r="L1046" s="10" t="str">
        <f aca="false">IF(A1046="","",IF(IF(K1046="No","Does not balance | ","")&amp;IF(I1046="","Not approved | ",IF(UPPER(TRIM(H1046))=UPPER(TRIM(I1046)),"Self-approved | ",""))&amp;IF(J1046="","No support | ","")&amp;IF(WEEKDAY(B1046,2)&gt;5,"Weekend posting | ","")&amp;IF(COUNTIF(Settings!$A$14:$A$43,B1046)&gt;0,"Holiday posting | ","")&amp;IF(B1046&gt;Settings!$C$8,"Posted after close | ","")&amp;IF(OR(B1046&lt;Settings!$C$6,B1046&gt;Settings!$C$7),"Outside period | ","")&amp;IF(COUNTIF(Settings!$E$14:$E$43,C1046&amp;"")&gt;0,"Sensitive account | ","")&amp;IF(AND(MAX(N(E1046),N(F1046))&gt;=Settings!$C$9,MOD(MAX(N(E1046),N(F1046)),Settings!$C$10)=0),"Round amount | ","")="","",LEFT(IF(K1046="No","Does not balance | ","")&amp;IF(I1046="","Not approved | ",IF(UPPER(TRIM(H1046))=UPPER(TRIM(I1046)),"Self-approved | ",""))&amp;IF(J1046="","No support | ","")&amp;IF(WEEKDAY(B1046,2)&gt;5,"Weekend posting | ","")&amp;IF(COUNTIF(Settings!$A$14:$A$43,B1046)&gt;0,"Holiday posting | ","")&amp;IF(B1046&gt;Settings!$C$8,"Posted after close | ","")&amp;IF(OR(B1046&lt;Settings!$C$6,B1046&gt;Settings!$C$7),"Outside period | ","")&amp;IF(COUNTIF(Settings!$E$14:$E$43,C1046&amp;"")&gt;0,"Sensitive account | ","")&amp;IF(AND(MAX(N(E1046),N(F1046))&gt;=Settings!$C$9,MOD(MAX(N(E1046),N(F1046)),Settings!$C$10)=0),"Round amount | ",""),LEN(IF(K1046="No","Does not balance | ","")&amp;IF(I1046="","Not approved | ",IF(UPPER(TRIM(H1046))=UPPER(TRIM(I1046)),"Self-approved | ",""))&amp;IF(J1046="","No support | ","")&amp;IF(WEEKDAY(B1046,2)&gt;5,"Weekend posting | ","")&amp;IF(COUNTIF(Settings!$A$14:$A$43,B1046)&gt;0,"Holiday posting | ","")&amp;IF(B1046&gt;Settings!$C$8,"Posted after close | ","")&amp;IF(OR(B1046&lt;Settings!$C$6,B1046&gt;Settings!$C$7),"Outside period | ","")&amp;IF(COUNTIF(Settings!$E$14:$E$43,C1046&amp;"")&gt;0,"Sensitive account | ","")&amp;IF(AND(MAX(N(E1046),N(F1046))&gt;=Settings!$C$9,MOD(MAX(N(E1046),N(F1046)),Settings!$C$10)=0),"Round amount | ",""))-3)))</f>
        <v/>
      </c>
      <c r="M1046" s="21" t="str">
        <f aca="false">IF(A1046="","",IF(COUNTIF($A$9:A1046,A1046)=1,MAX($M$8:M1045)+1,""))</f>
        <v/>
      </c>
    </row>
    <row r="1047" customFormat="false" ht="15" hidden="false" customHeight="false" outlineLevel="0" collapsed="false">
      <c r="A1047" s="8"/>
      <c r="B1047" s="17"/>
      <c r="C1047" s="19"/>
      <c r="D1047" s="8"/>
      <c r="E1047" s="18"/>
      <c r="F1047" s="18"/>
      <c r="G1047" s="8"/>
      <c r="H1047" s="8"/>
      <c r="I1047" s="8"/>
      <c r="J1047" s="8"/>
      <c r="K1047" s="10" t="str">
        <f aca="false">IF(A1047="","",IF(ABS(SUMIFS($E$9:$E$2008,$A$9:$A$2008,A1047)-SUMIFS($F$9:$F$2008,$A$9:$A$2008,A1047))&lt;0.5,"Yes","No"))</f>
        <v/>
      </c>
      <c r="L1047" s="10" t="str">
        <f aca="false">IF(A1047="","",IF(IF(K1047="No","Does not balance | ","")&amp;IF(I1047="","Not approved | ",IF(UPPER(TRIM(H1047))=UPPER(TRIM(I1047)),"Self-approved | ",""))&amp;IF(J1047="","No support | ","")&amp;IF(WEEKDAY(B1047,2)&gt;5,"Weekend posting | ","")&amp;IF(COUNTIF(Settings!$A$14:$A$43,B1047)&gt;0,"Holiday posting | ","")&amp;IF(B1047&gt;Settings!$C$8,"Posted after close | ","")&amp;IF(OR(B1047&lt;Settings!$C$6,B1047&gt;Settings!$C$7),"Outside period | ","")&amp;IF(COUNTIF(Settings!$E$14:$E$43,C1047&amp;"")&gt;0,"Sensitive account | ","")&amp;IF(AND(MAX(N(E1047),N(F1047))&gt;=Settings!$C$9,MOD(MAX(N(E1047),N(F1047)),Settings!$C$10)=0),"Round amount | ","")="","",LEFT(IF(K1047="No","Does not balance | ","")&amp;IF(I1047="","Not approved | ",IF(UPPER(TRIM(H1047))=UPPER(TRIM(I1047)),"Self-approved | ",""))&amp;IF(J1047="","No support | ","")&amp;IF(WEEKDAY(B1047,2)&gt;5,"Weekend posting | ","")&amp;IF(COUNTIF(Settings!$A$14:$A$43,B1047)&gt;0,"Holiday posting | ","")&amp;IF(B1047&gt;Settings!$C$8,"Posted after close | ","")&amp;IF(OR(B1047&lt;Settings!$C$6,B1047&gt;Settings!$C$7),"Outside period | ","")&amp;IF(COUNTIF(Settings!$E$14:$E$43,C1047&amp;"")&gt;0,"Sensitive account | ","")&amp;IF(AND(MAX(N(E1047),N(F1047))&gt;=Settings!$C$9,MOD(MAX(N(E1047),N(F1047)),Settings!$C$10)=0),"Round amount | ",""),LEN(IF(K1047="No","Does not balance | ","")&amp;IF(I1047="","Not approved | ",IF(UPPER(TRIM(H1047))=UPPER(TRIM(I1047)),"Self-approved | ",""))&amp;IF(J1047="","No support | ","")&amp;IF(WEEKDAY(B1047,2)&gt;5,"Weekend posting | ","")&amp;IF(COUNTIF(Settings!$A$14:$A$43,B1047)&gt;0,"Holiday posting | ","")&amp;IF(B1047&gt;Settings!$C$8,"Posted after close | ","")&amp;IF(OR(B1047&lt;Settings!$C$6,B1047&gt;Settings!$C$7),"Outside period | ","")&amp;IF(COUNTIF(Settings!$E$14:$E$43,C1047&amp;"")&gt;0,"Sensitive account | ","")&amp;IF(AND(MAX(N(E1047),N(F1047))&gt;=Settings!$C$9,MOD(MAX(N(E1047),N(F1047)),Settings!$C$10)=0),"Round amount | ",""))-3)))</f>
        <v/>
      </c>
      <c r="M1047" s="21" t="str">
        <f aca="false">IF(A1047="","",IF(COUNTIF($A$9:A1047,A1047)=1,MAX($M$8:M1046)+1,""))</f>
        <v/>
      </c>
    </row>
    <row r="1048" customFormat="false" ht="15" hidden="false" customHeight="false" outlineLevel="0" collapsed="false">
      <c r="A1048" s="8"/>
      <c r="B1048" s="17"/>
      <c r="C1048" s="19"/>
      <c r="D1048" s="8"/>
      <c r="E1048" s="18"/>
      <c r="F1048" s="18"/>
      <c r="G1048" s="8"/>
      <c r="H1048" s="8"/>
      <c r="I1048" s="8"/>
      <c r="J1048" s="8"/>
      <c r="K1048" s="10" t="str">
        <f aca="false">IF(A1048="","",IF(ABS(SUMIFS($E$9:$E$2008,$A$9:$A$2008,A1048)-SUMIFS($F$9:$F$2008,$A$9:$A$2008,A1048))&lt;0.5,"Yes","No"))</f>
        <v/>
      </c>
      <c r="L1048" s="10" t="str">
        <f aca="false">IF(A1048="","",IF(IF(K1048="No","Does not balance | ","")&amp;IF(I1048="","Not approved | ",IF(UPPER(TRIM(H1048))=UPPER(TRIM(I1048)),"Self-approved | ",""))&amp;IF(J1048="","No support | ","")&amp;IF(WEEKDAY(B1048,2)&gt;5,"Weekend posting | ","")&amp;IF(COUNTIF(Settings!$A$14:$A$43,B1048)&gt;0,"Holiday posting | ","")&amp;IF(B1048&gt;Settings!$C$8,"Posted after close | ","")&amp;IF(OR(B1048&lt;Settings!$C$6,B1048&gt;Settings!$C$7),"Outside period | ","")&amp;IF(COUNTIF(Settings!$E$14:$E$43,C1048&amp;"")&gt;0,"Sensitive account | ","")&amp;IF(AND(MAX(N(E1048),N(F1048))&gt;=Settings!$C$9,MOD(MAX(N(E1048),N(F1048)),Settings!$C$10)=0),"Round amount | ","")="","",LEFT(IF(K1048="No","Does not balance | ","")&amp;IF(I1048="","Not approved | ",IF(UPPER(TRIM(H1048))=UPPER(TRIM(I1048)),"Self-approved | ",""))&amp;IF(J1048="","No support | ","")&amp;IF(WEEKDAY(B1048,2)&gt;5,"Weekend posting | ","")&amp;IF(COUNTIF(Settings!$A$14:$A$43,B1048)&gt;0,"Holiday posting | ","")&amp;IF(B1048&gt;Settings!$C$8,"Posted after close | ","")&amp;IF(OR(B1048&lt;Settings!$C$6,B1048&gt;Settings!$C$7),"Outside period | ","")&amp;IF(COUNTIF(Settings!$E$14:$E$43,C1048&amp;"")&gt;0,"Sensitive account | ","")&amp;IF(AND(MAX(N(E1048),N(F1048))&gt;=Settings!$C$9,MOD(MAX(N(E1048),N(F1048)),Settings!$C$10)=0),"Round amount | ",""),LEN(IF(K1048="No","Does not balance | ","")&amp;IF(I1048="","Not approved | ",IF(UPPER(TRIM(H1048))=UPPER(TRIM(I1048)),"Self-approved | ",""))&amp;IF(J1048="","No support | ","")&amp;IF(WEEKDAY(B1048,2)&gt;5,"Weekend posting | ","")&amp;IF(COUNTIF(Settings!$A$14:$A$43,B1048)&gt;0,"Holiday posting | ","")&amp;IF(B1048&gt;Settings!$C$8,"Posted after close | ","")&amp;IF(OR(B1048&lt;Settings!$C$6,B1048&gt;Settings!$C$7),"Outside period | ","")&amp;IF(COUNTIF(Settings!$E$14:$E$43,C1048&amp;"")&gt;0,"Sensitive account | ","")&amp;IF(AND(MAX(N(E1048),N(F1048))&gt;=Settings!$C$9,MOD(MAX(N(E1048),N(F1048)),Settings!$C$10)=0),"Round amount | ",""))-3)))</f>
        <v/>
      </c>
      <c r="M1048" s="21" t="str">
        <f aca="false">IF(A1048="","",IF(COUNTIF($A$9:A1048,A1048)=1,MAX($M$8:M1047)+1,""))</f>
        <v/>
      </c>
    </row>
    <row r="1049" customFormat="false" ht="15" hidden="false" customHeight="false" outlineLevel="0" collapsed="false">
      <c r="A1049" s="8"/>
      <c r="B1049" s="17"/>
      <c r="C1049" s="19"/>
      <c r="D1049" s="8"/>
      <c r="E1049" s="18"/>
      <c r="F1049" s="18"/>
      <c r="G1049" s="8"/>
      <c r="H1049" s="8"/>
      <c r="I1049" s="8"/>
      <c r="J1049" s="8"/>
      <c r="K1049" s="10" t="str">
        <f aca="false">IF(A1049="","",IF(ABS(SUMIFS($E$9:$E$2008,$A$9:$A$2008,A1049)-SUMIFS($F$9:$F$2008,$A$9:$A$2008,A1049))&lt;0.5,"Yes","No"))</f>
        <v/>
      </c>
      <c r="L1049" s="10" t="str">
        <f aca="false">IF(A1049="","",IF(IF(K1049="No","Does not balance | ","")&amp;IF(I1049="","Not approved | ",IF(UPPER(TRIM(H1049))=UPPER(TRIM(I1049)),"Self-approved | ",""))&amp;IF(J1049="","No support | ","")&amp;IF(WEEKDAY(B1049,2)&gt;5,"Weekend posting | ","")&amp;IF(COUNTIF(Settings!$A$14:$A$43,B1049)&gt;0,"Holiday posting | ","")&amp;IF(B1049&gt;Settings!$C$8,"Posted after close | ","")&amp;IF(OR(B1049&lt;Settings!$C$6,B1049&gt;Settings!$C$7),"Outside period | ","")&amp;IF(COUNTIF(Settings!$E$14:$E$43,C1049&amp;"")&gt;0,"Sensitive account | ","")&amp;IF(AND(MAX(N(E1049),N(F1049))&gt;=Settings!$C$9,MOD(MAX(N(E1049),N(F1049)),Settings!$C$10)=0),"Round amount | ","")="","",LEFT(IF(K1049="No","Does not balance | ","")&amp;IF(I1049="","Not approved | ",IF(UPPER(TRIM(H1049))=UPPER(TRIM(I1049)),"Self-approved | ",""))&amp;IF(J1049="","No support | ","")&amp;IF(WEEKDAY(B1049,2)&gt;5,"Weekend posting | ","")&amp;IF(COUNTIF(Settings!$A$14:$A$43,B1049)&gt;0,"Holiday posting | ","")&amp;IF(B1049&gt;Settings!$C$8,"Posted after close | ","")&amp;IF(OR(B1049&lt;Settings!$C$6,B1049&gt;Settings!$C$7),"Outside period | ","")&amp;IF(COUNTIF(Settings!$E$14:$E$43,C1049&amp;"")&gt;0,"Sensitive account | ","")&amp;IF(AND(MAX(N(E1049),N(F1049))&gt;=Settings!$C$9,MOD(MAX(N(E1049),N(F1049)),Settings!$C$10)=0),"Round amount | ",""),LEN(IF(K1049="No","Does not balance | ","")&amp;IF(I1049="","Not approved | ",IF(UPPER(TRIM(H1049))=UPPER(TRIM(I1049)),"Self-approved | ",""))&amp;IF(J1049="","No support | ","")&amp;IF(WEEKDAY(B1049,2)&gt;5,"Weekend posting | ","")&amp;IF(COUNTIF(Settings!$A$14:$A$43,B1049)&gt;0,"Holiday posting | ","")&amp;IF(B1049&gt;Settings!$C$8,"Posted after close | ","")&amp;IF(OR(B1049&lt;Settings!$C$6,B1049&gt;Settings!$C$7),"Outside period | ","")&amp;IF(COUNTIF(Settings!$E$14:$E$43,C1049&amp;"")&gt;0,"Sensitive account | ","")&amp;IF(AND(MAX(N(E1049),N(F1049))&gt;=Settings!$C$9,MOD(MAX(N(E1049),N(F1049)),Settings!$C$10)=0),"Round amount | ",""))-3)))</f>
        <v/>
      </c>
      <c r="M1049" s="21" t="str">
        <f aca="false">IF(A1049="","",IF(COUNTIF($A$9:A1049,A1049)=1,MAX($M$8:M1048)+1,""))</f>
        <v/>
      </c>
    </row>
    <row r="1050" customFormat="false" ht="15" hidden="false" customHeight="false" outlineLevel="0" collapsed="false">
      <c r="A1050" s="8"/>
      <c r="B1050" s="17"/>
      <c r="C1050" s="19"/>
      <c r="D1050" s="8"/>
      <c r="E1050" s="18"/>
      <c r="F1050" s="18"/>
      <c r="G1050" s="8"/>
      <c r="H1050" s="8"/>
      <c r="I1050" s="8"/>
      <c r="J1050" s="8"/>
      <c r="K1050" s="10" t="str">
        <f aca="false">IF(A1050="","",IF(ABS(SUMIFS($E$9:$E$2008,$A$9:$A$2008,A1050)-SUMIFS($F$9:$F$2008,$A$9:$A$2008,A1050))&lt;0.5,"Yes","No"))</f>
        <v/>
      </c>
      <c r="L1050" s="10" t="str">
        <f aca="false">IF(A1050="","",IF(IF(K1050="No","Does not balance | ","")&amp;IF(I1050="","Not approved | ",IF(UPPER(TRIM(H1050))=UPPER(TRIM(I1050)),"Self-approved | ",""))&amp;IF(J1050="","No support | ","")&amp;IF(WEEKDAY(B1050,2)&gt;5,"Weekend posting | ","")&amp;IF(COUNTIF(Settings!$A$14:$A$43,B1050)&gt;0,"Holiday posting | ","")&amp;IF(B1050&gt;Settings!$C$8,"Posted after close | ","")&amp;IF(OR(B1050&lt;Settings!$C$6,B1050&gt;Settings!$C$7),"Outside period | ","")&amp;IF(COUNTIF(Settings!$E$14:$E$43,C1050&amp;"")&gt;0,"Sensitive account | ","")&amp;IF(AND(MAX(N(E1050),N(F1050))&gt;=Settings!$C$9,MOD(MAX(N(E1050),N(F1050)),Settings!$C$10)=0),"Round amount | ","")="","",LEFT(IF(K1050="No","Does not balance | ","")&amp;IF(I1050="","Not approved | ",IF(UPPER(TRIM(H1050))=UPPER(TRIM(I1050)),"Self-approved | ",""))&amp;IF(J1050="","No support | ","")&amp;IF(WEEKDAY(B1050,2)&gt;5,"Weekend posting | ","")&amp;IF(COUNTIF(Settings!$A$14:$A$43,B1050)&gt;0,"Holiday posting | ","")&amp;IF(B1050&gt;Settings!$C$8,"Posted after close | ","")&amp;IF(OR(B1050&lt;Settings!$C$6,B1050&gt;Settings!$C$7),"Outside period | ","")&amp;IF(COUNTIF(Settings!$E$14:$E$43,C1050&amp;"")&gt;0,"Sensitive account | ","")&amp;IF(AND(MAX(N(E1050),N(F1050))&gt;=Settings!$C$9,MOD(MAX(N(E1050),N(F1050)),Settings!$C$10)=0),"Round amount | ",""),LEN(IF(K1050="No","Does not balance | ","")&amp;IF(I1050="","Not approved | ",IF(UPPER(TRIM(H1050))=UPPER(TRIM(I1050)),"Self-approved | ",""))&amp;IF(J1050="","No support | ","")&amp;IF(WEEKDAY(B1050,2)&gt;5,"Weekend posting | ","")&amp;IF(COUNTIF(Settings!$A$14:$A$43,B1050)&gt;0,"Holiday posting | ","")&amp;IF(B1050&gt;Settings!$C$8,"Posted after close | ","")&amp;IF(OR(B1050&lt;Settings!$C$6,B1050&gt;Settings!$C$7),"Outside period | ","")&amp;IF(COUNTIF(Settings!$E$14:$E$43,C1050&amp;"")&gt;0,"Sensitive account | ","")&amp;IF(AND(MAX(N(E1050),N(F1050))&gt;=Settings!$C$9,MOD(MAX(N(E1050),N(F1050)),Settings!$C$10)=0),"Round amount | ",""))-3)))</f>
        <v/>
      </c>
      <c r="M1050" s="21" t="str">
        <f aca="false">IF(A1050="","",IF(COUNTIF($A$9:A1050,A1050)=1,MAX($M$8:M1049)+1,""))</f>
        <v/>
      </c>
    </row>
    <row r="1051" customFormat="false" ht="15" hidden="false" customHeight="false" outlineLevel="0" collapsed="false">
      <c r="A1051" s="8"/>
      <c r="B1051" s="17"/>
      <c r="C1051" s="19"/>
      <c r="D1051" s="8"/>
      <c r="E1051" s="18"/>
      <c r="F1051" s="18"/>
      <c r="G1051" s="8"/>
      <c r="H1051" s="8"/>
      <c r="I1051" s="8"/>
      <c r="J1051" s="8"/>
      <c r="K1051" s="10" t="str">
        <f aca="false">IF(A1051="","",IF(ABS(SUMIFS($E$9:$E$2008,$A$9:$A$2008,A1051)-SUMIFS($F$9:$F$2008,$A$9:$A$2008,A1051))&lt;0.5,"Yes","No"))</f>
        <v/>
      </c>
      <c r="L1051" s="10" t="str">
        <f aca="false">IF(A1051="","",IF(IF(K1051="No","Does not balance | ","")&amp;IF(I1051="","Not approved | ",IF(UPPER(TRIM(H1051))=UPPER(TRIM(I1051)),"Self-approved | ",""))&amp;IF(J1051="","No support | ","")&amp;IF(WEEKDAY(B1051,2)&gt;5,"Weekend posting | ","")&amp;IF(COUNTIF(Settings!$A$14:$A$43,B1051)&gt;0,"Holiday posting | ","")&amp;IF(B1051&gt;Settings!$C$8,"Posted after close | ","")&amp;IF(OR(B1051&lt;Settings!$C$6,B1051&gt;Settings!$C$7),"Outside period | ","")&amp;IF(COUNTIF(Settings!$E$14:$E$43,C1051&amp;"")&gt;0,"Sensitive account | ","")&amp;IF(AND(MAX(N(E1051),N(F1051))&gt;=Settings!$C$9,MOD(MAX(N(E1051),N(F1051)),Settings!$C$10)=0),"Round amount | ","")="","",LEFT(IF(K1051="No","Does not balance | ","")&amp;IF(I1051="","Not approved | ",IF(UPPER(TRIM(H1051))=UPPER(TRIM(I1051)),"Self-approved | ",""))&amp;IF(J1051="","No support | ","")&amp;IF(WEEKDAY(B1051,2)&gt;5,"Weekend posting | ","")&amp;IF(COUNTIF(Settings!$A$14:$A$43,B1051)&gt;0,"Holiday posting | ","")&amp;IF(B1051&gt;Settings!$C$8,"Posted after close | ","")&amp;IF(OR(B1051&lt;Settings!$C$6,B1051&gt;Settings!$C$7),"Outside period | ","")&amp;IF(COUNTIF(Settings!$E$14:$E$43,C1051&amp;"")&gt;0,"Sensitive account | ","")&amp;IF(AND(MAX(N(E1051),N(F1051))&gt;=Settings!$C$9,MOD(MAX(N(E1051),N(F1051)),Settings!$C$10)=0),"Round amount | ",""),LEN(IF(K1051="No","Does not balance | ","")&amp;IF(I1051="","Not approved | ",IF(UPPER(TRIM(H1051))=UPPER(TRIM(I1051)),"Self-approved | ",""))&amp;IF(J1051="","No support | ","")&amp;IF(WEEKDAY(B1051,2)&gt;5,"Weekend posting | ","")&amp;IF(COUNTIF(Settings!$A$14:$A$43,B1051)&gt;0,"Holiday posting | ","")&amp;IF(B1051&gt;Settings!$C$8,"Posted after close | ","")&amp;IF(OR(B1051&lt;Settings!$C$6,B1051&gt;Settings!$C$7),"Outside period | ","")&amp;IF(COUNTIF(Settings!$E$14:$E$43,C1051&amp;"")&gt;0,"Sensitive account | ","")&amp;IF(AND(MAX(N(E1051),N(F1051))&gt;=Settings!$C$9,MOD(MAX(N(E1051),N(F1051)),Settings!$C$10)=0),"Round amount | ",""))-3)))</f>
        <v/>
      </c>
      <c r="M1051" s="21" t="str">
        <f aca="false">IF(A1051="","",IF(COUNTIF($A$9:A1051,A1051)=1,MAX($M$8:M1050)+1,""))</f>
        <v/>
      </c>
    </row>
    <row r="1052" customFormat="false" ht="15" hidden="false" customHeight="false" outlineLevel="0" collapsed="false">
      <c r="A1052" s="8"/>
      <c r="B1052" s="17"/>
      <c r="C1052" s="19"/>
      <c r="D1052" s="8"/>
      <c r="E1052" s="18"/>
      <c r="F1052" s="18"/>
      <c r="G1052" s="8"/>
      <c r="H1052" s="8"/>
      <c r="I1052" s="8"/>
      <c r="J1052" s="8"/>
      <c r="K1052" s="10" t="str">
        <f aca="false">IF(A1052="","",IF(ABS(SUMIFS($E$9:$E$2008,$A$9:$A$2008,A1052)-SUMIFS($F$9:$F$2008,$A$9:$A$2008,A1052))&lt;0.5,"Yes","No"))</f>
        <v/>
      </c>
      <c r="L1052" s="10" t="str">
        <f aca="false">IF(A1052="","",IF(IF(K1052="No","Does not balance | ","")&amp;IF(I1052="","Not approved | ",IF(UPPER(TRIM(H1052))=UPPER(TRIM(I1052)),"Self-approved | ",""))&amp;IF(J1052="","No support | ","")&amp;IF(WEEKDAY(B1052,2)&gt;5,"Weekend posting | ","")&amp;IF(COUNTIF(Settings!$A$14:$A$43,B1052)&gt;0,"Holiday posting | ","")&amp;IF(B1052&gt;Settings!$C$8,"Posted after close | ","")&amp;IF(OR(B1052&lt;Settings!$C$6,B1052&gt;Settings!$C$7),"Outside period | ","")&amp;IF(COUNTIF(Settings!$E$14:$E$43,C1052&amp;"")&gt;0,"Sensitive account | ","")&amp;IF(AND(MAX(N(E1052),N(F1052))&gt;=Settings!$C$9,MOD(MAX(N(E1052),N(F1052)),Settings!$C$10)=0),"Round amount | ","")="","",LEFT(IF(K1052="No","Does not balance | ","")&amp;IF(I1052="","Not approved | ",IF(UPPER(TRIM(H1052))=UPPER(TRIM(I1052)),"Self-approved | ",""))&amp;IF(J1052="","No support | ","")&amp;IF(WEEKDAY(B1052,2)&gt;5,"Weekend posting | ","")&amp;IF(COUNTIF(Settings!$A$14:$A$43,B1052)&gt;0,"Holiday posting | ","")&amp;IF(B1052&gt;Settings!$C$8,"Posted after close | ","")&amp;IF(OR(B1052&lt;Settings!$C$6,B1052&gt;Settings!$C$7),"Outside period | ","")&amp;IF(COUNTIF(Settings!$E$14:$E$43,C1052&amp;"")&gt;0,"Sensitive account | ","")&amp;IF(AND(MAX(N(E1052),N(F1052))&gt;=Settings!$C$9,MOD(MAX(N(E1052),N(F1052)),Settings!$C$10)=0),"Round amount | ",""),LEN(IF(K1052="No","Does not balance | ","")&amp;IF(I1052="","Not approved | ",IF(UPPER(TRIM(H1052))=UPPER(TRIM(I1052)),"Self-approved | ",""))&amp;IF(J1052="","No support | ","")&amp;IF(WEEKDAY(B1052,2)&gt;5,"Weekend posting | ","")&amp;IF(COUNTIF(Settings!$A$14:$A$43,B1052)&gt;0,"Holiday posting | ","")&amp;IF(B1052&gt;Settings!$C$8,"Posted after close | ","")&amp;IF(OR(B1052&lt;Settings!$C$6,B1052&gt;Settings!$C$7),"Outside period | ","")&amp;IF(COUNTIF(Settings!$E$14:$E$43,C1052&amp;"")&gt;0,"Sensitive account | ","")&amp;IF(AND(MAX(N(E1052),N(F1052))&gt;=Settings!$C$9,MOD(MAX(N(E1052),N(F1052)),Settings!$C$10)=0),"Round amount | ",""))-3)))</f>
        <v/>
      </c>
      <c r="M1052" s="21" t="str">
        <f aca="false">IF(A1052="","",IF(COUNTIF($A$9:A1052,A1052)=1,MAX($M$8:M1051)+1,""))</f>
        <v/>
      </c>
    </row>
    <row r="1053" customFormat="false" ht="15" hidden="false" customHeight="false" outlineLevel="0" collapsed="false">
      <c r="A1053" s="8"/>
      <c r="B1053" s="17"/>
      <c r="C1053" s="19"/>
      <c r="D1053" s="8"/>
      <c r="E1053" s="18"/>
      <c r="F1053" s="18"/>
      <c r="G1053" s="8"/>
      <c r="H1053" s="8"/>
      <c r="I1053" s="8"/>
      <c r="J1053" s="8"/>
      <c r="K1053" s="10" t="str">
        <f aca="false">IF(A1053="","",IF(ABS(SUMIFS($E$9:$E$2008,$A$9:$A$2008,A1053)-SUMIFS($F$9:$F$2008,$A$9:$A$2008,A1053))&lt;0.5,"Yes","No"))</f>
        <v/>
      </c>
      <c r="L1053" s="10" t="str">
        <f aca="false">IF(A1053="","",IF(IF(K1053="No","Does not balance | ","")&amp;IF(I1053="","Not approved | ",IF(UPPER(TRIM(H1053))=UPPER(TRIM(I1053)),"Self-approved | ",""))&amp;IF(J1053="","No support | ","")&amp;IF(WEEKDAY(B1053,2)&gt;5,"Weekend posting | ","")&amp;IF(COUNTIF(Settings!$A$14:$A$43,B1053)&gt;0,"Holiday posting | ","")&amp;IF(B1053&gt;Settings!$C$8,"Posted after close | ","")&amp;IF(OR(B1053&lt;Settings!$C$6,B1053&gt;Settings!$C$7),"Outside period | ","")&amp;IF(COUNTIF(Settings!$E$14:$E$43,C1053&amp;"")&gt;0,"Sensitive account | ","")&amp;IF(AND(MAX(N(E1053),N(F1053))&gt;=Settings!$C$9,MOD(MAX(N(E1053),N(F1053)),Settings!$C$10)=0),"Round amount | ","")="","",LEFT(IF(K1053="No","Does not balance | ","")&amp;IF(I1053="","Not approved | ",IF(UPPER(TRIM(H1053))=UPPER(TRIM(I1053)),"Self-approved | ",""))&amp;IF(J1053="","No support | ","")&amp;IF(WEEKDAY(B1053,2)&gt;5,"Weekend posting | ","")&amp;IF(COUNTIF(Settings!$A$14:$A$43,B1053)&gt;0,"Holiday posting | ","")&amp;IF(B1053&gt;Settings!$C$8,"Posted after close | ","")&amp;IF(OR(B1053&lt;Settings!$C$6,B1053&gt;Settings!$C$7),"Outside period | ","")&amp;IF(COUNTIF(Settings!$E$14:$E$43,C1053&amp;"")&gt;0,"Sensitive account | ","")&amp;IF(AND(MAX(N(E1053),N(F1053))&gt;=Settings!$C$9,MOD(MAX(N(E1053),N(F1053)),Settings!$C$10)=0),"Round amount | ",""),LEN(IF(K1053="No","Does not balance | ","")&amp;IF(I1053="","Not approved | ",IF(UPPER(TRIM(H1053))=UPPER(TRIM(I1053)),"Self-approved | ",""))&amp;IF(J1053="","No support | ","")&amp;IF(WEEKDAY(B1053,2)&gt;5,"Weekend posting | ","")&amp;IF(COUNTIF(Settings!$A$14:$A$43,B1053)&gt;0,"Holiday posting | ","")&amp;IF(B1053&gt;Settings!$C$8,"Posted after close | ","")&amp;IF(OR(B1053&lt;Settings!$C$6,B1053&gt;Settings!$C$7),"Outside period | ","")&amp;IF(COUNTIF(Settings!$E$14:$E$43,C1053&amp;"")&gt;0,"Sensitive account | ","")&amp;IF(AND(MAX(N(E1053),N(F1053))&gt;=Settings!$C$9,MOD(MAX(N(E1053),N(F1053)),Settings!$C$10)=0),"Round amount | ",""))-3)))</f>
        <v/>
      </c>
      <c r="M1053" s="21" t="str">
        <f aca="false">IF(A1053="","",IF(COUNTIF($A$9:A1053,A1053)=1,MAX($M$8:M1052)+1,""))</f>
        <v/>
      </c>
    </row>
    <row r="1054" customFormat="false" ht="15" hidden="false" customHeight="false" outlineLevel="0" collapsed="false">
      <c r="A1054" s="8"/>
      <c r="B1054" s="17"/>
      <c r="C1054" s="19"/>
      <c r="D1054" s="8"/>
      <c r="E1054" s="18"/>
      <c r="F1054" s="18"/>
      <c r="G1054" s="8"/>
      <c r="H1054" s="8"/>
      <c r="I1054" s="8"/>
      <c r="J1054" s="8"/>
      <c r="K1054" s="10" t="str">
        <f aca="false">IF(A1054="","",IF(ABS(SUMIFS($E$9:$E$2008,$A$9:$A$2008,A1054)-SUMIFS($F$9:$F$2008,$A$9:$A$2008,A1054))&lt;0.5,"Yes","No"))</f>
        <v/>
      </c>
      <c r="L1054" s="10" t="str">
        <f aca="false">IF(A1054="","",IF(IF(K1054="No","Does not balance | ","")&amp;IF(I1054="","Not approved | ",IF(UPPER(TRIM(H1054))=UPPER(TRIM(I1054)),"Self-approved | ",""))&amp;IF(J1054="","No support | ","")&amp;IF(WEEKDAY(B1054,2)&gt;5,"Weekend posting | ","")&amp;IF(COUNTIF(Settings!$A$14:$A$43,B1054)&gt;0,"Holiday posting | ","")&amp;IF(B1054&gt;Settings!$C$8,"Posted after close | ","")&amp;IF(OR(B1054&lt;Settings!$C$6,B1054&gt;Settings!$C$7),"Outside period | ","")&amp;IF(COUNTIF(Settings!$E$14:$E$43,C1054&amp;"")&gt;0,"Sensitive account | ","")&amp;IF(AND(MAX(N(E1054),N(F1054))&gt;=Settings!$C$9,MOD(MAX(N(E1054),N(F1054)),Settings!$C$10)=0),"Round amount | ","")="","",LEFT(IF(K1054="No","Does not balance | ","")&amp;IF(I1054="","Not approved | ",IF(UPPER(TRIM(H1054))=UPPER(TRIM(I1054)),"Self-approved | ",""))&amp;IF(J1054="","No support | ","")&amp;IF(WEEKDAY(B1054,2)&gt;5,"Weekend posting | ","")&amp;IF(COUNTIF(Settings!$A$14:$A$43,B1054)&gt;0,"Holiday posting | ","")&amp;IF(B1054&gt;Settings!$C$8,"Posted after close | ","")&amp;IF(OR(B1054&lt;Settings!$C$6,B1054&gt;Settings!$C$7),"Outside period | ","")&amp;IF(COUNTIF(Settings!$E$14:$E$43,C1054&amp;"")&gt;0,"Sensitive account | ","")&amp;IF(AND(MAX(N(E1054),N(F1054))&gt;=Settings!$C$9,MOD(MAX(N(E1054),N(F1054)),Settings!$C$10)=0),"Round amount | ",""),LEN(IF(K1054="No","Does not balance | ","")&amp;IF(I1054="","Not approved | ",IF(UPPER(TRIM(H1054))=UPPER(TRIM(I1054)),"Self-approved | ",""))&amp;IF(J1054="","No support | ","")&amp;IF(WEEKDAY(B1054,2)&gt;5,"Weekend posting | ","")&amp;IF(COUNTIF(Settings!$A$14:$A$43,B1054)&gt;0,"Holiday posting | ","")&amp;IF(B1054&gt;Settings!$C$8,"Posted after close | ","")&amp;IF(OR(B1054&lt;Settings!$C$6,B1054&gt;Settings!$C$7),"Outside period | ","")&amp;IF(COUNTIF(Settings!$E$14:$E$43,C1054&amp;"")&gt;0,"Sensitive account | ","")&amp;IF(AND(MAX(N(E1054),N(F1054))&gt;=Settings!$C$9,MOD(MAX(N(E1054),N(F1054)),Settings!$C$10)=0),"Round amount | ",""))-3)))</f>
        <v/>
      </c>
      <c r="M1054" s="21" t="str">
        <f aca="false">IF(A1054="","",IF(COUNTIF($A$9:A1054,A1054)=1,MAX($M$8:M1053)+1,""))</f>
        <v/>
      </c>
    </row>
    <row r="1055" customFormat="false" ht="15" hidden="false" customHeight="false" outlineLevel="0" collapsed="false">
      <c r="A1055" s="8"/>
      <c r="B1055" s="17"/>
      <c r="C1055" s="19"/>
      <c r="D1055" s="8"/>
      <c r="E1055" s="18"/>
      <c r="F1055" s="18"/>
      <c r="G1055" s="8"/>
      <c r="H1055" s="8"/>
      <c r="I1055" s="8"/>
      <c r="J1055" s="8"/>
      <c r="K1055" s="10" t="str">
        <f aca="false">IF(A1055="","",IF(ABS(SUMIFS($E$9:$E$2008,$A$9:$A$2008,A1055)-SUMIFS($F$9:$F$2008,$A$9:$A$2008,A1055))&lt;0.5,"Yes","No"))</f>
        <v/>
      </c>
      <c r="L1055" s="10" t="str">
        <f aca="false">IF(A1055="","",IF(IF(K1055="No","Does not balance | ","")&amp;IF(I1055="","Not approved | ",IF(UPPER(TRIM(H1055))=UPPER(TRIM(I1055)),"Self-approved | ",""))&amp;IF(J1055="","No support | ","")&amp;IF(WEEKDAY(B1055,2)&gt;5,"Weekend posting | ","")&amp;IF(COUNTIF(Settings!$A$14:$A$43,B1055)&gt;0,"Holiday posting | ","")&amp;IF(B1055&gt;Settings!$C$8,"Posted after close | ","")&amp;IF(OR(B1055&lt;Settings!$C$6,B1055&gt;Settings!$C$7),"Outside period | ","")&amp;IF(COUNTIF(Settings!$E$14:$E$43,C1055&amp;"")&gt;0,"Sensitive account | ","")&amp;IF(AND(MAX(N(E1055),N(F1055))&gt;=Settings!$C$9,MOD(MAX(N(E1055),N(F1055)),Settings!$C$10)=0),"Round amount | ","")="","",LEFT(IF(K1055="No","Does not balance | ","")&amp;IF(I1055="","Not approved | ",IF(UPPER(TRIM(H1055))=UPPER(TRIM(I1055)),"Self-approved | ",""))&amp;IF(J1055="","No support | ","")&amp;IF(WEEKDAY(B1055,2)&gt;5,"Weekend posting | ","")&amp;IF(COUNTIF(Settings!$A$14:$A$43,B1055)&gt;0,"Holiday posting | ","")&amp;IF(B1055&gt;Settings!$C$8,"Posted after close | ","")&amp;IF(OR(B1055&lt;Settings!$C$6,B1055&gt;Settings!$C$7),"Outside period | ","")&amp;IF(COUNTIF(Settings!$E$14:$E$43,C1055&amp;"")&gt;0,"Sensitive account | ","")&amp;IF(AND(MAX(N(E1055),N(F1055))&gt;=Settings!$C$9,MOD(MAX(N(E1055),N(F1055)),Settings!$C$10)=0),"Round amount | ",""),LEN(IF(K1055="No","Does not balance | ","")&amp;IF(I1055="","Not approved | ",IF(UPPER(TRIM(H1055))=UPPER(TRIM(I1055)),"Self-approved | ",""))&amp;IF(J1055="","No support | ","")&amp;IF(WEEKDAY(B1055,2)&gt;5,"Weekend posting | ","")&amp;IF(COUNTIF(Settings!$A$14:$A$43,B1055)&gt;0,"Holiday posting | ","")&amp;IF(B1055&gt;Settings!$C$8,"Posted after close | ","")&amp;IF(OR(B1055&lt;Settings!$C$6,B1055&gt;Settings!$C$7),"Outside period | ","")&amp;IF(COUNTIF(Settings!$E$14:$E$43,C1055&amp;"")&gt;0,"Sensitive account | ","")&amp;IF(AND(MAX(N(E1055),N(F1055))&gt;=Settings!$C$9,MOD(MAX(N(E1055),N(F1055)),Settings!$C$10)=0),"Round amount | ",""))-3)))</f>
        <v/>
      </c>
      <c r="M1055" s="21" t="str">
        <f aca="false">IF(A1055="","",IF(COUNTIF($A$9:A1055,A1055)=1,MAX($M$8:M1054)+1,""))</f>
        <v/>
      </c>
    </row>
    <row r="1056" customFormat="false" ht="15" hidden="false" customHeight="false" outlineLevel="0" collapsed="false">
      <c r="A1056" s="8"/>
      <c r="B1056" s="17"/>
      <c r="C1056" s="19"/>
      <c r="D1056" s="8"/>
      <c r="E1056" s="18"/>
      <c r="F1056" s="18"/>
      <c r="G1056" s="8"/>
      <c r="H1056" s="8"/>
      <c r="I1056" s="8"/>
      <c r="J1056" s="8"/>
      <c r="K1056" s="10" t="str">
        <f aca="false">IF(A1056="","",IF(ABS(SUMIFS($E$9:$E$2008,$A$9:$A$2008,A1056)-SUMIFS($F$9:$F$2008,$A$9:$A$2008,A1056))&lt;0.5,"Yes","No"))</f>
        <v/>
      </c>
      <c r="L1056" s="10" t="str">
        <f aca="false">IF(A1056="","",IF(IF(K1056="No","Does not balance | ","")&amp;IF(I1056="","Not approved | ",IF(UPPER(TRIM(H1056))=UPPER(TRIM(I1056)),"Self-approved | ",""))&amp;IF(J1056="","No support | ","")&amp;IF(WEEKDAY(B1056,2)&gt;5,"Weekend posting | ","")&amp;IF(COUNTIF(Settings!$A$14:$A$43,B1056)&gt;0,"Holiday posting | ","")&amp;IF(B1056&gt;Settings!$C$8,"Posted after close | ","")&amp;IF(OR(B1056&lt;Settings!$C$6,B1056&gt;Settings!$C$7),"Outside period | ","")&amp;IF(COUNTIF(Settings!$E$14:$E$43,C1056&amp;"")&gt;0,"Sensitive account | ","")&amp;IF(AND(MAX(N(E1056),N(F1056))&gt;=Settings!$C$9,MOD(MAX(N(E1056),N(F1056)),Settings!$C$10)=0),"Round amount | ","")="","",LEFT(IF(K1056="No","Does not balance | ","")&amp;IF(I1056="","Not approved | ",IF(UPPER(TRIM(H1056))=UPPER(TRIM(I1056)),"Self-approved | ",""))&amp;IF(J1056="","No support | ","")&amp;IF(WEEKDAY(B1056,2)&gt;5,"Weekend posting | ","")&amp;IF(COUNTIF(Settings!$A$14:$A$43,B1056)&gt;0,"Holiday posting | ","")&amp;IF(B1056&gt;Settings!$C$8,"Posted after close | ","")&amp;IF(OR(B1056&lt;Settings!$C$6,B1056&gt;Settings!$C$7),"Outside period | ","")&amp;IF(COUNTIF(Settings!$E$14:$E$43,C1056&amp;"")&gt;0,"Sensitive account | ","")&amp;IF(AND(MAX(N(E1056),N(F1056))&gt;=Settings!$C$9,MOD(MAX(N(E1056),N(F1056)),Settings!$C$10)=0),"Round amount | ",""),LEN(IF(K1056="No","Does not balance | ","")&amp;IF(I1056="","Not approved | ",IF(UPPER(TRIM(H1056))=UPPER(TRIM(I1056)),"Self-approved | ",""))&amp;IF(J1056="","No support | ","")&amp;IF(WEEKDAY(B1056,2)&gt;5,"Weekend posting | ","")&amp;IF(COUNTIF(Settings!$A$14:$A$43,B1056)&gt;0,"Holiday posting | ","")&amp;IF(B1056&gt;Settings!$C$8,"Posted after close | ","")&amp;IF(OR(B1056&lt;Settings!$C$6,B1056&gt;Settings!$C$7),"Outside period | ","")&amp;IF(COUNTIF(Settings!$E$14:$E$43,C1056&amp;"")&gt;0,"Sensitive account | ","")&amp;IF(AND(MAX(N(E1056),N(F1056))&gt;=Settings!$C$9,MOD(MAX(N(E1056),N(F1056)),Settings!$C$10)=0),"Round amount | ",""))-3)))</f>
        <v/>
      </c>
      <c r="M1056" s="21" t="str">
        <f aca="false">IF(A1056="","",IF(COUNTIF($A$9:A1056,A1056)=1,MAX($M$8:M1055)+1,""))</f>
        <v/>
      </c>
    </row>
    <row r="1057" customFormat="false" ht="15" hidden="false" customHeight="false" outlineLevel="0" collapsed="false">
      <c r="A1057" s="8"/>
      <c r="B1057" s="17"/>
      <c r="C1057" s="19"/>
      <c r="D1057" s="8"/>
      <c r="E1057" s="18"/>
      <c r="F1057" s="18"/>
      <c r="G1057" s="8"/>
      <c r="H1057" s="8"/>
      <c r="I1057" s="8"/>
      <c r="J1057" s="8"/>
      <c r="K1057" s="10" t="str">
        <f aca="false">IF(A1057="","",IF(ABS(SUMIFS($E$9:$E$2008,$A$9:$A$2008,A1057)-SUMIFS($F$9:$F$2008,$A$9:$A$2008,A1057))&lt;0.5,"Yes","No"))</f>
        <v/>
      </c>
      <c r="L1057" s="10" t="str">
        <f aca="false">IF(A1057="","",IF(IF(K1057="No","Does not balance | ","")&amp;IF(I1057="","Not approved | ",IF(UPPER(TRIM(H1057))=UPPER(TRIM(I1057)),"Self-approved | ",""))&amp;IF(J1057="","No support | ","")&amp;IF(WEEKDAY(B1057,2)&gt;5,"Weekend posting | ","")&amp;IF(COUNTIF(Settings!$A$14:$A$43,B1057)&gt;0,"Holiday posting | ","")&amp;IF(B1057&gt;Settings!$C$8,"Posted after close | ","")&amp;IF(OR(B1057&lt;Settings!$C$6,B1057&gt;Settings!$C$7),"Outside period | ","")&amp;IF(COUNTIF(Settings!$E$14:$E$43,C1057&amp;"")&gt;0,"Sensitive account | ","")&amp;IF(AND(MAX(N(E1057),N(F1057))&gt;=Settings!$C$9,MOD(MAX(N(E1057),N(F1057)),Settings!$C$10)=0),"Round amount | ","")="","",LEFT(IF(K1057="No","Does not balance | ","")&amp;IF(I1057="","Not approved | ",IF(UPPER(TRIM(H1057))=UPPER(TRIM(I1057)),"Self-approved | ",""))&amp;IF(J1057="","No support | ","")&amp;IF(WEEKDAY(B1057,2)&gt;5,"Weekend posting | ","")&amp;IF(COUNTIF(Settings!$A$14:$A$43,B1057)&gt;0,"Holiday posting | ","")&amp;IF(B1057&gt;Settings!$C$8,"Posted after close | ","")&amp;IF(OR(B1057&lt;Settings!$C$6,B1057&gt;Settings!$C$7),"Outside period | ","")&amp;IF(COUNTIF(Settings!$E$14:$E$43,C1057&amp;"")&gt;0,"Sensitive account | ","")&amp;IF(AND(MAX(N(E1057),N(F1057))&gt;=Settings!$C$9,MOD(MAX(N(E1057),N(F1057)),Settings!$C$10)=0),"Round amount | ",""),LEN(IF(K1057="No","Does not balance | ","")&amp;IF(I1057="","Not approved | ",IF(UPPER(TRIM(H1057))=UPPER(TRIM(I1057)),"Self-approved | ",""))&amp;IF(J1057="","No support | ","")&amp;IF(WEEKDAY(B1057,2)&gt;5,"Weekend posting | ","")&amp;IF(COUNTIF(Settings!$A$14:$A$43,B1057)&gt;0,"Holiday posting | ","")&amp;IF(B1057&gt;Settings!$C$8,"Posted after close | ","")&amp;IF(OR(B1057&lt;Settings!$C$6,B1057&gt;Settings!$C$7),"Outside period | ","")&amp;IF(COUNTIF(Settings!$E$14:$E$43,C1057&amp;"")&gt;0,"Sensitive account | ","")&amp;IF(AND(MAX(N(E1057),N(F1057))&gt;=Settings!$C$9,MOD(MAX(N(E1057),N(F1057)),Settings!$C$10)=0),"Round amount | ",""))-3)))</f>
        <v/>
      </c>
      <c r="M1057" s="21" t="str">
        <f aca="false">IF(A1057="","",IF(COUNTIF($A$9:A1057,A1057)=1,MAX($M$8:M1056)+1,""))</f>
        <v/>
      </c>
    </row>
    <row r="1058" customFormat="false" ht="15" hidden="false" customHeight="false" outlineLevel="0" collapsed="false">
      <c r="A1058" s="8"/>
      <c r="B1058" s="17"/>
      <c r="C1058" s="19"/>
      <c r="D1058" s="8"/>
      <c r="E1058" s="18"/>
      <c r="F1058" s="18"/>
      <c r="G1058" s="8"/>
      <c r="H1058" s="8"/>
      <c r="I1058" s="8"/>
      <c r="J1058" s="8"/>
      <c r="K1058" s="10" t="str">
        <f aca="false">IF(A1058="","",IF(ABS(SUMIFS($E$9:$E$2008,$A$9:$A$2008,A1058)-SUMIFS($F$9:$F$2008,$A$9:$A$2008,A1058))&lt;0.5,"Yes","No"))</f>
        <v/>
      </c>
      <c r="L1058" s="10" t="str">
        <f aca="false">IF(A1058="","",IF(IF(K1058="No","Does not balance | ","")&amp;IF(I1058="","Not approved | ",IF(UPPER(TRIM(H1058))=UPPER(TRIM(I1058)),"Self-approved | ",""))&amp;IF(J1058="","No support | ","")&amp;IF(WEEKDAY(B1058,2)&gt;5,"Weekend posting | ","")&amp;IF(COUNTIF(Settings!$A$14:$A$43,B1058)&gt;0,"Holiday posting | ","")&amp;IF(B1058&gt;Settings!$C$8,"Posted after close | ","")&amp;IF(OR(B1058&lt;Settings!$C$6,B1058&gt;Settings!$C$7),"Outside period | ","")&amp;IF(COUNTIF(Settings!$E$14:$E$43,C1058&amp;"")&gt;0,"Sensitive account | ","")&amp;IF(AND(MAX(N(E1058),N(F1058))&gt;=Settings!$C$9,MOD(MAX(N(E1058),N(F1058)),Settings!$C$10)=0),"Round amount | ","")="","",LEFT(IF(K1058="No","Does not balance | ","")&amp;IF(I1058="","Not approved | ",IF(UPPER(TRIM(H1058))=UPPER(TRIM(I1058)),"Self-approved | ",""))&amp;IF(J1058="","No support | ","")&amp;IF(WEEKDAY(B1058,2)&gt;5,"Weekend posting | ","")&amp;IF(COUNTIF(Settings!$A$14:$A$43,B1058)&gt;0,"Holiday posting | ","")&amp;IF(B1058&gt;Settings!$C$8,"Posted after close | ","")&amp;IF(OR(B1058&lt;Settings!$C$6,B1058&gt;Settings!$C$7),"Outside period | ","")&amp;IF(COUNTIF(Settings!$E$14:$E$43,C1058&amp;"")&gt;0,"Sensitive account | ","")&amp;IF(AND(MAX(N(E1058),N(F1058))&gt;=Settings!$C$9,MOD(MAX(N(E1058),N(F1058)),Settings!$C$10)=0),"Round amount | ",""),LEN(IF(K1058="No","Does not balance | ","")&amp;IF(I1058="","Not approved | ",IF(UPPER(TRIM(H1058))=UPPER(TRIM(I1058)),"Self-approved | ",""))&amp;IF(J1058="","No support | ","")&amp;IF(WEEKDAY(B1058,2)&gt;5,"Weekend posting | ","")&amp;IF(COUNTIF(Settings!$A$14:$A$43,B1058)&gt;0,"Holiday posting | ","")&amp;IF(B1058&gt;Settings!$C$8,"Posted after close | ","")&amp;IF(OR(B1058&lt;Settings!$C$6,B1058&gt;Settings!$C$7),"Outside period | ","")&amp;IF(COUNTIF(Settings!$E$14:$E$43,C1058&amp;"")&gt;0,"Sensitive account | ","")&amp;IF(AND(MAX(N(E1058),N(F1058))&gt;=Settings!$C$9,MOD(MAX(N(E1058),N(F1058)),Settings!$C$10)=0),"Round amount | ",""))-3)))</f>
        <v/>
      </c>
      <c r="M1058" s="21" t="str">
        <f aca="false">IF(A1058="","",IF(COUNTIF($A$9:A1058,A1058)=1,MAX($M$8:M1057)+1,""))</f>
        <v/>
      </c>
    </row>
    <row r="1059" customFormat="false" ht="15" hidden="false" customHeight="false" outlineLevel="0" collapsed="false">
      <c r="A1059" s="8"/>
      <c r="B1059" s="17"/>
      <c r="C1059" s="19"/>
      <c r="D1059" s="8"/>
      <c r="E1059" s="18"/>
      <c r="F1059" s="18"/>
      <c r="G1059" s="8"/>
      <c r="H1059" s="8"/>
      <c r="I1059" s="8"/>
      <c r="J1059" s="8"/>
      <c r="K1059" s="10" t="str">
        <f aca="false">IF(A1059="","",IF(ABS(SUMIFS($E$9:$E$2008,$A$9:$A$2008,A1059)-SUMIFS($F$9:$F$2008,$A$9:$A$2008,A1059))&lt;0.5,"Yes","No"))</f>
        <v/>
      </c>
      <c r="L1059" s="10" t="str">
        <f aca="false">IF(A1059="","",IF(IF(K1059="No","Does not balance | ","")&amp;IF(I1059="","Not approved | ",IF(UPPER(TRIM(H1059))=UPPER(TRIM(I1059)),"Self-approved | ",""))&amp;IF(J1059="","No support | ","")&amp;IF(WEEKDAY(B1059,2)&gt;5,"Weekend posting | ","")&amp;IF(COUNTIF(Settings!$A$14:$A$43,B1059)&gt;0,"Holiday posting | ","")&amp;IF(B1059&gt;Settings!$C$8,"Posted after close | ","")&amp;IF(OR(B1059&lt;Settings!$C$6,B1059&gt;Settings!$C$7),"Outside period | ","")&amp;IF(COUNTIF(Settings!$E$14:$E$43,C1059&amp;"")&gt;0,"Sensitive account | ","")&amp;IF(AND(MAX(N(E1059),N(F1059))&gt;=Settings!$C$9,MOD(MAX(N(E1059),N(F1059)),Settings!$C$10)=0),"Round amount | ","")="","",LEFT(IF(K1059="No","Does not balance | ","")&amp;IF(I1059="","Not approved | ",IF(UPPER(TRIM(H1059))=UPPER(TRIM(I1059)),"Self-approved | ",""))&amp;IF(J1059="","No support | ","")&amp;IF(WEEKDAY(B1059,2)&gt;5,"Weekend posting | ","")&amp;IF(COUNTIF(Settings!$A$14:$A$43,B1059)&gt;0,"Holiday posting | ","")&amp;IF(B1059&gt;Settings!$C$8,"Posted after close | ","")&amp;IF(OR(B1059&lt;Settings!$C$6,B1059&gt;Settings!$C$7),"Outside period | ","")&amp;IF(COUNTIF(Settings!$E$14:$E$43,C1059&amp;"")&gt;0,"Sensitive account | ","")&amp;IF(AND(MAX(N(E1059),N(F1059))&gt;=Settings!$C$9,MOD(MAX(N(E1059),N(F1059)),Settings!$C$10)=0),"Round amount | ",""),LEN(IF(K1059="No","Does not balance | ","")&amp;IF(I1059="","Not approved | ",IF(UPPER(TRIM(H1059))=UPPER(TRIM(I1059)),"Self-approved | ",""))&amp;IF(J1059="","No support | ","")&amp;IF(WEEKDAY(B1059,2)&gt;5,"Weekend posting | ","")&amp;IF(COUNTIF(Settings!$A$14:$A$43,B1059)&gt;0,"Holiday posting | ","")&amp;IF(B1059&gt;Settings!$C$8,"Posted after close | ","")&amp;IF(OR(B1059&lt;Settings!$C$6,B1059&gt;Settings!$C$7),"Outside period | ","")&amp;IF(COUNTIF(Settings!$E$14:$E$43,C1059&amp;"")&gt;0,"Sensitive account | ","")&amp;IF(AND(MAX(N(E1059),N(F1059))&gt;=Settings!$C$9,MOD(MAX(N(E1059),N(F1059)),Settings!$C$10)=0),"Round amount | ",""))-3)))</f>
        <v/>
      </c>
      <c r="M1059" s="21" t="str">
        <f aca="false">IF(A1059="","",IF(COUNTIF($A$9:A1059,A1059)=1,MAX($M$8:M1058)+1,""))</f>
        <v/>
      </c>
    </row>
    <row r="1060" customFormat="false" ht="15" hidden="false" customHeight="false" outlineLevel="0" collapsed="false">
      <c r="A1060" s="8"/>
      <c r="B1060" s="17"/>
      <c r="C1060" s="19"/>
      <c r="D1060" s="8"/>
      <c r="E1060" s="18"/>
      <c r="F1060" s="18"/>
      <c r="G1060" s="8"/>
      <c r="H1060" s="8"/>
      <c r="I1060" s="8"/>
      <c r="J1060" s="8"/>
      <c r="K1060" s="10" t="str">
        <f aca="false">IF(A1060="","",IF(ABS(SUMIFS($E$9:$E$2008,$A$9:$A$2008,A1060)-SUMIFS($F$9:$F$2008,$A$9:$A$2008,A1060))&lt;0.5,"Yes","No"))</f>
        <v/>
      </c>
      <c r="L1060" s="10" t="str">
        <f aca="false">IF(A1060="","",IF(IF(K1060="No","Does not balance | ","")&amp;IF(I1060="","Not approved | ",IF(UPPER(TRIM(H1060))=UPPER(TRIM(I1060)),"Self-approved | ",""))&amp;IF(J1060="","No support | ","")&amp;IF(WEEKDAY(B1060,2)&gt;5,"Weekend posting | ","")&amp;IF(COUNTIF(Settings!$A$14:$A$43,B1060)&gt;0,"Holiday posting | ","")&amp;IF(B1060&gt;Settings!$C$8,"Posted after close | ","")&amp;IF(OR(B1060&lt;Settings!$C$6,B1060&gt;Settings!$C$7),"Outside period | ","")&amp;IF(COUNTIF(Settings!$E$14:$E$43,C1060&amp;"")&gt;0,"Sensitive account | ","")&amp;IF(AND(MAX(N(E1060),N(F1060))&gt;=Settings!$C$9,MOD(MAX(N(E1060),N(F1060)),Settings!$C$10)=0),"Round amount | ","")="","",LEFT(IF(K1060="No","Does not balance | ","")&amp;IF(I1060="","Not approved | ",IF(UPPER(TRIM(H1060))=UPPER(TRIM(I1060)),"Self-approved | ",""))&amp;IF(J1060="","No support | ","")&amp;IF(WEEKDAY(B1060,2)&gt;5,"Weekend posting | ","")&amp;IF(COUNTIF(Settings!$A$14:$A$43,B1060)&gt;0,"Holiday posting | ","")&amp;IF(B1060&gt;Settings!$C$8,"Posted after close | ","")&amp;IF(OR(B1060&lt;Settings!$C$6,B1060&gt;Settings!$C$7),"Outside period | ","")&amp;IF(COUNTIF(Settings!$E$14:$E$43,C1060&amp;"")&gt;0,"Sensitive account | ","")&amp;IF(AND(MAX(N(E1060),N(F1060))&gt;=Settings!$C$9,MOD(MAX(N(E1060),N(F1060)),Settings!$C$10)=0),"Round amount | ",""),LEN(IF(K1060="No","Does not balance | ","")&amp;IF(I1060="","Not approved | ",IF(UPPER(TRIM(H1060))=UPPER(TRIM(I1060)),"Self-approved | ",""))&amp;IF(J1060="","No support | ","")&amp;IF(WEEKDAY(B1060,2)&gt;5,"Weekend posting | ","")&amp;IF(COUNTIF(Settings!$A$14:$A$43,B1060)&gt;0,"Holiday posting | ","")&amp;IF(B1060&gt;Settings!$C$8,"Posted after close | ","")&amp;IF(OR(B1060&lt;Settings!$C$6,B1060&gt;Settings!$C$7),"Outside period | ","")&amp;IF(COUNTIF(Settings!$E$14:$E$43,C1060&amp;"")&gt;0,"Sensitive account | ","")&amp;IF(AND(MAX(N(E1060),N(F1060))&gt;=Settings!$C$9,MOD(MAX(N(E1060),N(F1060)),Settings!$C$10)=0),"Round amount | ",""))-3)))</f>
        <v/>
      </c>
      <c r="M1060" s="21" t="str">
        <f aca="false">IF(A1060="","",IF(COUNTIF($A$9:A1060,A1060)=1,MAX($M$8:M1059)+1,""))</f>
        <v/>
      </c>
    </row>
    <row r="1061" customFormat="false" ht="15" hidden="false" customHeight="false" outlineLevel="0" collapsed="false">
      <c r="A1061" s="8"/>
      <c r="B1061" s="17"/>
      <c r="C1061" s="19"/>
      <c r="D1061" s="8"/>
      <c r="E1061" s="18"/>
      <c r="F1061" s="18"/>
      <c r="G1061" s="8"/>
      <c r="H1061" s="8"/>
      <c r="I1061" s="8"/>
      <c r="J1061" s="8"/>
      <c r="K1061" s="10" t="str">
        <f aca="false">IF(A1061="","",IF(ABS(SUMIFS($E$9:$E$2008,$A$9:$A$2008,A1061)-SUMIFS($F$9:$F$2008,$A$9:$A$2008,A1061))&lt;0.5,"Yes","No"))</f>
        <v/>
      </c>
      <c r="L1061" s="10" t="str">
        <f aca="false">IF(A1061="","",IF(IF(K1061="No","Does not balance | ","")&amp;IF(I1061="","Not approved | ",IF(UPPER(TRIM(H1061))=UPPER(TRIM(I1061)),"Self-approved | ",""))&amp;IF(J1061="","No support | ","")&amp;IF(WEEKDAY(B1061,2)&gt;5,"Weekend posting | ","")&amp;IF(COUNTIF(Settings!$A$14:$A$43,B1061)&gt;0,"Holiday posting | ","")&amp;IF(B1061&gt;Settings!$C$8,"Posted after close | ","")&amp;IF(OR(B1061&lt;Settings!$C$6,B1061&gt;Settings!$C$7),"Outside period | ","")&amp;IF(COUNTIF(Settings!$E$14:$E$43,C1061&amp;"")&gt;0,"Sensitive account | ","")&amp;IF(AND(MAX(N(E1061),N(F1061))&gt;=Settings!$C$9,MOD(MAX(N(E1061),N(F1061)),Settings!$C$10)=0),"Round amount | ","")="","",LEFT(IF(K1061="No","Does not balance | ","")&amp;IF(I1061="","Not approved | ",IF(UPPER(TRIM(H1061))=UPPER(TRIM(I1061)),"Self-approved | ",""))&amp;IF(J1061="","No support | ","")&amp;IF(WEEKDAY(B1061,2)&gt;5,"Weekend posting | ","")&amp;IF(COUNTIF(Settings!$A$14:$A$43,B1061)&gt;0,"Holiday posting | ","")&amp;IF(B1061&gt;Settings!$C$8,"Posted after close | ","")&amp;IF(OR(B1061&lt;Settings!$C$6,B1061&gt;Settings!$C$7),"Outside period | ","")&amp;IF(COUNTIF(Settings!$E$14:$E$43,C1061&amp;"")&gt;0,"Sensitive account | ","")&amp;IF(AND(MAX(N(E1061),N(F1061))&gt;=Settings!$C$9,MOD(MAX(N(E1061),N(F1061)),Settings!$C$10)=0),"Round amount | ",""),LEN(IF(K1061="No","Does not balance | ","")&amp;IF(I1061="","Not approved | ",IF(UPPER(TRIM(H1061))=UPPER(TRIM(I1061)),"Self-approved | ",""))&amp;IF(J1061="","No support | ","")&amp;IF(WEEKDAY(B1061,2)&gt;5,"Weekend posting | ","")&amp;IF(COUNTIF(Settings!$A$14:$A$43,B1061)&gt;0,"Holiday posting | ","")&amp;IF(B1061&gt;Settings!$C$8,"Posted after close | ","")&amp;IF(OR(B1061&lt;Settings!$C$6,B1061&gt;Settings!$C$7),"Outside period | ","")&amp;IF(COUNTIF(Settings!$E$14:$E$43,C1061&amp;"")&gt;0,"Sensitive account | ","")&amp;IF(AND(MAX(N(E1061),N(F1061))&gt;=Settings!$C$9,MOD(MAX(N(E1061),N(F1061)),Settings!$C$10)=0),"Round amount | ",""))-3)))</f>
        <v/>
      </c>
      <c r="M1061" s="21" t="str">
        <f aca="false">IF(A1061="","",IF(COUNTIF($A$9:A1061,A1061)=1,MAX($M$8:M1060)+1,""))</f>
        <v/>
      </c>
    </row>
    <row r="1062" customFormat="false" ht="15" hidden="false" customHeight="false" outlineLevel="0" collapsed="false">
      <c r="A1062" s="8"/>
      <c r="B1062" s="17"/>
      <c r="C1062" s="19"/>
      <c r="D1062" s="8"/>
      <c r="E1062" s="18"/>
      <c r="F1062" s="18"/>
      <c r="G1062" s="8"/>
      <c r="H1062" s="8"/>
      <c r="I1062" s="8"/>
      <c r="J1062" s="8"/>
      <c r="K1062" s="10" t="str">
        <f aca="false">IF(A1062="","",IF(ABS(SUMIFS($E$9:$E$2008,$A$9:$A$2008,A1062)-SUMIFS($F$9:$F$2008,$A$9:$A$2008,A1062))&lt;0.5,"Yes","No"))</f>
        <v/>
      </c>
      <c r="L1062" s="10" t="str">
        <f aca="false">IF(A1062="","",IF(IF(K1062="No","Does not balance | ","")&amp;IF(I1062="","Not approved | ",IF(UPPER(TRIM(H1062))=UPPER(TRIM(I1062)),"Self-approved | ",""))&amp;IF(J1062="","No support | ","")&amp;IF(WEEKDAY(B1062,2)&gt;5,"Weekend posting | ","")&amp;IF(COUNTIF(Settings!$A$14:$A$43,B1062)&gt;0,"Holiday posting | ","")&amp;IF(B1062&gt;Settings!$C$8,"Posted after close | ","")&amp;IF(OR(B1062&lt;Settings!$C$6,B1062&gt;Settings!$C$7),"Outside period | ","")&amp;IF(COUNTIF(Settings!$E$14:$E$43,C1062&amp;"")&gt;0,"Sensitive account | ","")&amp;IF(AND(MAX(N(E1062),N(F1062))&gt;=Settings!$C$9,MOD(MAX(N(E1062),N(F1062)),Settings!$C$10)=0),"Round amount | ","")="","",LEFT(IF(K1062="No","Does not balance | ","")&amp;IF(I1062="","Not approved | ",IF(UPPER(TRIM(H1062))=UPPER(TRIM(I1062)),"Self-approved | ",""))&amp;IF(J1062="","No support | ","")&amp;IF(WEEKDAY(B1062,2)&gt;5,"Weekend posting | ","")&amp;IF(COUNTIF(Settings!$A$14:$A$43,B1062)&gt;0,"Holiday posting | ","")&amp;IF(B1062&gt;Settings!$C$8,"Posted after close | ","")&amp;IF(OR(B1062&lt;Settings!$C$6,B1062&gt;Settings!$C$7),"Outside period | ","")&amp;IF(COUNTIF(Settings!$E$14:$E$43,C1062&amp;"")&gt;0,"Sensitive account | ","")&amp;IF(AND(MAX(N(E1062),N(F1062))&gt;=Settings!$C$9,MOD(MAX(N(E1062),N(F1062)),Settings!$C$10)=0),"Round amount | ",""),LEN(IF(K1062="No","Does not balance | ","")&amp;IF(I1062="","Not approved | ",IF(UPPER(TRIM(H1062))=UPPER(TRIM(I1062)),"Self-approved | ",""))&amp;IF(J1062="","No support | ","")&amp;IF(WEEKDAY(B1062,2)&gt;5,"Weekend posting | ","")&amp;IF(COUNTIF(Settings!$A$14:$A$43,B1062)&gt;0,"Holiday posting | ","")&amp;IF(B1062&gt;Settings!$C$8,"Posted after close | ","")&amp;IF(OR(B1062&lt;Settings!$C$6,B1062&gt;Settings!$C$7),"Outside period | ","")&amp;IF(COUNTIF(Settings!$E$14:$E$43,C1062&amp;"")&gt;0,"Sensitive account | ","")&amp;IF(AND(MAX(N(E1062),N(F1062))&gt;=Settings!$C$9,MOD(MAX(N(E1062),N(F1062)),Settings!$C$10)=0),"Round amount | ",""))-3)))</f>
        <v/>
      </c>
      <c r="M1062" s="21" t="str">
        <f aca="false">IF(A1062="","",IF(COUNTIF($A$9:A1062,A1062)=1,MAX($M$8:M1061)+1,""))</f>
        <v/>
      </c>
    </row>
    <row r="1063" customFormat="false" ht="15" hidden="false" customHeight="false" outlineLevel="0" collapsed="false">
      <c r="A1063" s="8"/>
      <c r="B1063" s="17"/>
      <c r="C1063" s="19"/>
      <c r="D1063" s="8"/>
      <c r="E1063" s="18"/>
      <c r="F1063" s="18"/>
      <c r="G1063" s="8"/>
      <c r="H1063" s="8"/>
      <c r="I1063" s="8"/>
      <c r="J1063" s="8"/>
      <c r="K1063" s="10" t="str">
        <f aca="false">IF(A1063="","",IF(ABS(SUMIFS($E$9:$E$2008,$A$9:$A$2008,A1063)-SUMIFS($F$9:$F$2008,$A$9:$A$2008,A1063))&lt;0.5,"Yes","No"))</f>
        <v/>
      </c>
      <c r="L1063" s="10" t="str">
        <f aca="false">IF(A1063="","",IF(IF(K1063="No","Does not balance | ","")&amp;IF(I1063="","Not approved | ",IF(UPPER(TRIM(H1063))=UPPER(TRIM(I1063)),"Self-approved | ",""))&amp;IF(J1063="","No support | ","")&amp;IF(WEEKDAY(B1063,2)&gt;5,"Weekend posting | ","")&amp;IF(COUNTIF(Settings!$A$14:$A$43,B1063)&gt;0,"Holiday posting | ","")&amp;IF(B1063&gt;Settings!$C$8,"Posted after close | ","")&amp;IF(OR(B1063&lt;Settings!$C$6,B1063&gt;Settings!$C$7),"Outside period | ","")&amp;IF(COUNTIF(Settings!$E$14:$E$43,C1063&amp;"")&gt;0,"Sensitive account | ","")&amp;IF(AND(MAX(N(E1063),N(F1063))&gt;=Settings!$C$9,MOD(MAX(N(E1063),N(F1063)),Settings!$C$10)=0),"Round amount | ","")="","",LEFT(IF(K1063="No","Does not balance | ","")&amp;IF(I1063="","Not approved | ",IF(UPPER(TRIM(H1063))=UPPER(TRIM(I1063)),"Self-approved | ",""))&amp;IF(J1063="","No support | ","")&amp;IF(WEEKDAY(B1063,2)&gt;5,"Weekend posting | ","")&amp;IF(COUNTIF(Settings!$A$14:$A$43,B1063)&gt;0,"Holiday posting | ","")&amp;IF(B1063&gt;Settings!$C$8,"Posted after close | ","")&amp;IF(OR(B1063&lt;Settings!$C$6,B1063&gt;Settings!$C$7),"Outside period | ","")&amp;IF(COUNTIF(Settings!$E$14:$E$43,C1063&amp;"")&gt;0,"Sensitive account | ","")&amp;IF(AND(MAX(N(E1063),N(F1063))&gt;=Settings!$C$9,MOD(MAX(N(E1063),N(F1063)),Settings!$C$10)=0),"Round amount | ",""),LEN(IF(K1063="No","Does not balance | ","")&amp;IF(I1063="","Not approved | ",IF(UPPER(TRIM(H1063))=UPPER(TRIM(I1063)),"Self-approved | ",""))&amp;IF(J1063="","No support | ","")&amp;IF(WEEKDAY(B1063,2)&gt;5,"Weekend posting | ","")&amp;IF(COUNTIF(Settings!$A$14:$A$43,B1063)&gt;0,"Holiday posting | ","")&amp;IF(B1063&gt;Settings!$C$8,"Posted after close | ","")&amp;IF(OR(B1063&lt;Settings!$C$6,B1063&gt;Settings!$C$7),"Outside period | ","")&amp;IF(COUNTIF(Settings!$E$14:$E$43,C1063&amp;"")&gt;0,"Sensitive account | ","")&amp;IF(AND(MAX(N(E1063),N(F1063))&gt;=Settings!$C$9,MOD(MAX(N(E1063),N(F1063)),Settings!$C$10)=0),"Round amount | ",""))-3)))</f>
        <v/>
      </c>
      <c r="M1063" s="21" t="str">
        <f aca="false">IF(A1063="","",IF(COUNTIF($A$9:A1063,A1063)=1,MAX($M$8:M1062)+1,""))</f>
        <v/>
      </c>
    </row>
    <row r="1064" customFormat="false" ht="15" hidden="false" customHeight="false" outlineLevel="0" collapsed="false">
      <c r="A1064" s="8"/>
      <c r="B1064" s="17"/>
      <c r="C1064" s="19"/>
      <c r="D1064" s="8"/>
      <c r="E1064" s="18"/>
      <c r="F1064" s="18"/>
      <c r="G1064" s="8"/>
      <c r="H1064" s="8"/>
      <c r="I1064" s="8"/>
      <c r="J1064" s="8"/>
      <c r="K1064" s="10" t="str">
        <f aca="false">IF(A1064="","",IF(ABS(SUMIFS($E$9:$E$2008,$A$9:$A$2008,A1064)-SUMIFS($F$9:$F$2008,$A$9:$A$2008,A1064))&lt;0.5,"Yes","No"))</f>
        <v/>
      </c>
      <c r="L1064" s="10" t="str">
        <f aca="false">IF(A1064="","",IF(IF(K1064="No","Does not balance | ","")&amp;IF(I1064="","Not approved | ",IF(UPPER(TRIM(H1064))=UPPER(TRIM(I1064)),"Self-approved | ",""))&amp;IF(J1064="","No support | ","")&amp;IF(WEEKDAY(B1064,2)&gt;5,"Weekend posting | ","")&amp;IF(COUNTIF(Settings!$A$14:$A$43,B1064)&gt;0,"Holiday posting | ","")&amp;IF(B1064&gt;Settings!$C$8,"Posted after close | ","")&amp;IF(OR(B1064&lt;Settings!$C$6,B1064&gt;Settings!$C$7),"Outside period | ","")&amp;IF(COUNTIF(Settings!$E$14:$E$43,C1064&amp;"")&gt;0,"Sensitive account | ","")&amp;IF(AND(MAX(N(E1064),N(F1064))&gt;=Settings!$C$9,MOD(MAX(N(E1064),N(F1064)),Settings!$C$10)=0),"Round amount | ","")="","",LEFT(IF(K1064="No","Does not balance | ","")&amp;IF(I1064="","Not approved | ",IF(UPPER(TRIM(H1064))=UPPER(TRIM(I1064)),"Self-approved | ",""))&amp;IF(J1064="","No support | ","")&amp;IF(WEEKDAY(B1064,2)&gt;5,"Weekend posting | ","")&amp;IF(COUNTIF(Settings!$A$14:$A$43,B1064)&gt;0,"Holiday posting | ","")&amp;IF(B1064&gt;Settings!$C$8,"Posted after close | ","")&amp;IF(OR(B1064&lt;Settings!$C$6,B1064&gt;Settings!$C$7),"Outside period | ","")&amp;IF(COUNTIF(Settings!$E$14:$E$43,C1064&amp;"")&gt;0,"Sensitive account | ","")&amp;IF(AND(MAX(N(E1064),N(F1064))&gt;=Settings!$C$9,MOD(MAX(N(E1064),N(F1064)),Settings!$C$10)=0),"Round amount | ",""),LEN(IF(K1064="No","Does not balance | ","")&amp;IF(I1064="","Not approved | ",IF(UPPER(TRIM(H1064))=UPPER(TRIM(I1064)),"Self-approved | ",""))&amp;IF(J1064="","No support | ","")&amp;IF(WEEKDAY(B1064,2)&gt;5,"Weekend posting | ","")&amp;IF(COUNTIF(Settings!$A$14:$A$43,B1064)&gt;0,"Holiday posting | ","")&amp;IF(B1064&gt;Settings!$C$8,"Posted after close | ","")&amp;IF(OR(B1064&lt;Settings!$C$6,B1064&gt;Settings!$C$7),"Outside period | ","")&amp;IF(COUNTIF(Settings!$E$14:$E$43,C1064&amp;"")&gt;0,"Sensitive account | ","")&amp;IF(AND(MAX(N(E1064),N(F1064))&gt;=Settings!$C$9,MOD(MAX(N(E1064),N(F1064)),Settings!$C$10)=0),"Round amount | ",""))-3)))</f>
        <v/>
      </c>
      <c r="M1064" s="21" t="str">
        <f aca="false">IF(A1064="","",IF(COUNTIF($A$9:A1064,A1064)=1,MAX($M$8:M1063)+1,""))</f>
        <v/>
      </c>
    </row>
    <row r="1065" customFormat="false" ht="15" hidden="false" customHeight="false" outlineLevel="0" collapsed="false">
      <c r="A1065" s="8"/>
      <c r="B1065" s="17"/>
      <c r="C1065" s="19"/>
      <c r="D1065" s="8"/>
      <c r="E1065" s="18"/>
      <c r="F1065" s="18"/>
      <c r="G1065" s="8"/>
      <c r="H1065" s="8"/>
      <c r="I1065" s="8"/>
      <c r="J1065" s="8"/>
      <c r="K1065" s="10" t="str">
        <f aca="false">IF(A1065="","",IF(ABS(SUMIFS($E$9:$E$2008,$A$9:$A$2008,A1065)-SUMIFS($F$9:$F$2008,$A$9:$A$2008,A1065))&lt;0.5,"Yes","No"))</f>
        <v/>
      </c>
      <c r="L1065" s="10" t="str">
        <f aca="false">IF(A1065="","",IF(IF(K1065="No","Does not balance | ","")&amp;IF(I1065="","Not approved | ",IF(UPPER(TRIM(H1065))=UPPER(TRIM(I1065)),"Self-approved | ",""))&amp;IF(J1065="","No support | ","")&amp;IF(WEEKDAY(B1065,2)&gt;5,"Weekend posting | ","")&amp;IF(COUNTIF(Settings!$A$14:$A$43,B1065)&gt;0,"Holiday posting | ","")&amp;IF(B1065&gt;Settings!$C$8,"Posted after close | ","")&amp;IF(OR(B1065&lt;Settings!$C$6,B1065&gt;Settings!$C$7),"Outside period | ","")&amp;IF(COUNTIF(Settings!$E$14:$E$43,C1065&amp;"")&gt;0,"Sensitive account | ","")&amp;IF(AND(MAX(N(E1065),N(F1065))&gt;=Settings!$C$9,MOD(MAX(N(E1065),N(F1065)),Settings!$C$10)=0),"Round amount | ","")="","",LEFT(IF(K1065="No","Does not balance | ","")&amp;IF(I1065="","Not approved | ",IF(UPPER(TRIM(H1065))=UPPER(TRIM(I1065)),"Self-approved | ",""))&amp;IF(J1065="","No support | ","")&amp;IF(WEEKDAY(B1065,2)&gt;5,"Weekend posting | ","")&amp;IF(COUNTIF(Settings!$A$14:$A$43,B1065)&gt;0,"Holiday posting | ","")&amp;IF(B1065&gt;Settings!$C$8,"Posted after close | ","")&amp;IF(OR(B1065&lt;Settings!$C$6,B1065&gt;Settings!$C$7),"Outside period | ","")&amp;IF(COUNTIF(Settings!$E$14:$E$43,C1065&amp;"")&gt;0,"Sensitive account | ","")&amp;IF(AND(MAX(N(E1065),N(F1065))&gt;=Settings!$C$9,MOD(MAX(N(E1065),N(F1065)),Settings!$C$10)=0),"Round amount | ",""),LEN(IF(K1065="No","Does not balance | ","")&amp;IF(I1065="","Not approved | ",IF(UPPER(TRIM(H1065))=UPPER(TRIM(I1065)),"Self-approved | ",""))&amp;IF(J1065="","No support | ","")&amp;IF(WEEKDAY(B1065,2)&gt;5,"Weekend posting | ","")&amp;IF(COUNTIF(Settings!$A$14:$A$43,B1065)&gt;0,"Holiday posting | ","")&amp;IF(B1065&gt;Settings!$C$8,"Posted after close | ","")&amp;IF(OR(B1065&lt;Settings!$C$6,B1065&gt;Settings!$C$7),"Outside period | ","")&amp;IF(COUNTIF(Settings!$E$14:$E$43,C1065&amp;"")&gt;0,"Sensitive account | ","")&amp;IF(AND(MAX(N(E1065),N(F1065))&gt;=Settings!$C$9,MOD(MAX(N(E1065),N(F1065)),Settings!$C$10)=0),"Round amount | ",""))-3)))</f>
        <v/>
      </c>
      <c r="M1065" s="21" t="str">
        <f aca="false">IF(A1065="","",IF(COUNTIF($A$9:A1065,A1065)=1,MAX($M$8:M1064)+1,""))</f>
        <v/>
      </c>
    </row>
    <row r="1066" customFormat="false" ht="15" hidden="false" customHeight="false" outlineLevel="0" collapsed="false">
      <c r="A1066" s="8"/>
      <c r="B1066" s="17"/>
      <c r="C1066" s="19"/>
      <c r="D1066" s="8"/>
      <c r="E1066" s="18"/>
      <c r="F1066" s="18"/>
      <c r="G1066" s="8"/>
      <c r="H1066" s="8"/>
      <c r="I1066" s="8"/>
      <c r="J1066" s="8"/>
      <c r="K1066" s="10" t="str">
        <f aca="false">IF(A1066="","",IF(ABS(SUMIFS($E$9:$E$2008,$A$9:$A$2008,A1066)-SUMIFS($F$9:$F$2008,$A$9:$A$2008,A1066))&lt;0.5,"Yes","No"))</f>
        <v/>
      </c>
      <c r="L1066" s="10" t="str">
        <f aca="false">IF(A1066="","",IF(IF(K1066="No","Does not balance | ","")&amp;IF(I1066="","Not approved | ",IF(UPPER(TRIM(H1066))=UPPER(TRIM(I1066)),"Self-approved | ",""))&amp;IF(J1066="","No support | ","")&amp;IF(WEEKDAY(B1066,2)&gt;5,"Weekend posting | ","")&amp;IF(COUNTIF(Settings!$A$14:$A$43,B1066)&gt;0,"Holiday posting | ","")&amp;IF(B1066&gt;Settings!$C$8,"Posted after close | ","")&amp;IF(OR(B1066&lt;Settings!$C$6,B1066&gt;Settings!$C$7),"Outside period | ","")&amp;IF(COUNTIF(Settings!$E$14:$E$43,C1066&amp;"")&gt;0,"Sensitive account | ","")&amp;IF(AND(MAX(N(E1066),N(F1066))&gt;=Settings!$C$9,MOD(MAX(N(E1066),N(F1066)),Settings!$C$10)=0),"Round amount | ","")="","",LEFT(IF(K1066="No","Does not balance | ","")&amp;IF(I1066="","Not approved | ",IF(UPPER(TRIM(H1066))=UPPER(TRIM(I1066)),"Self-approved | ",""))&amp;IF(J1066="","No support | ","")&amp;IF(WEEKDAY(B1066,2)&gt;5,"Weekend posting | ","")&amp;IF(COUNTIF(Settings!$A$14:$A$43,B1066)&gt;0,"Holiday posting | ","")&amp;IF(B1066&gt;Settings!$C$8,"Posted after close | ","")&amp;IF(OR(B1066&lt;Settings!$C$6,B1066&gt;Settings!$C$7),"Outside period | ","")&amp;IF(COUNTIF(Settings!$E$14:$E$43,C1066&amp;"")&gt;0,"Sensitive account | ","")&amp;IF(AND(MAX(N(E1066),N(F1066))&gt;=Settings!$C$9,MOD(MAX(N(E1066),N(F1066)),Settings!$C$10)=0),"Round amount | ",""),LEN(IF(K1066="No","Does not balance | ","")&amp;IF(I1066="","Not approved | ",IF(UPPER(TRIM(H1066))=UPPER(TRIM(I1066)),"Self-approved | ",""))&amp;IF(J1066="","No support | ","")&amp;IF(WEEKDAY(B1066,2)&gt;5,"Weekend posting | ","")&amp;IF(COUNTIF(Settings!$A$14:$A$43,B1066)&gt;0,"Holiday posting | ","")&amp;IF(B1066&gt;Settings!$C$8,"Posted after close | ","")&amp;IF(OR(B1066&lt;Settings!$C$6,B1066&gt;Settings!$C$7),"Outside period | ","")&amp;IF(COUNTIF(Settings!$E$14:$E$43,C1066&amp;"")&gt;0,"Sensitive account | ","")&amp;IF(AND(MAX(N(E1066),N(F1066))&gt;=Settings!$C$9,MOD(MAX(N(E1066),N(F1066)),Settings!$C$10)=0),"Round amount | ",""))-3)))</f>
        <v/>
      </c>
      <c r="M1066" s="21" t="str">
        <f aca="false">IF(A1066="","",IF(COUNTIF($A$9:A1066,A1066)=1,MAX($M$8:M1065)+1,""))</f>
        <v/>
      </c>
    </row>
    <row r="1067" customFormat="false" ht="15" hidden="false" customHeight="false" outlineLevel="0" collapsed="false">
      <c r="A1067" s="8"/>
      <c r="B1067" s="17"/>
      <c r="C1067" s="19"/>
      <c r="D1067" s="8"/>
      <c r="E1067" s="18"/>
      <c r="F1067" s="18"/>
      <c r="G1067" s="8"/>
      <c r="H1067" s="8"/>
      <c r="I1067" s="8"/>
      <c r="J1067" s="8"/>
      <c r="K1067" s="10" t="str">
        <f aca="false">IF(A1067="","",IF(ABS(SUMIFS($E$9:$E$2008,$A$9:$A$2008,A1067)-SUMIFS($F$9:$F$2008,$A$9:$A$2008,A1067))&lt;0.5,"Yes","No"))</f>
        <v/>
      </c>
      <c r="L1067" s="10" t="str">
        <f aca="false">IF(A1067="","",IF(IF(K1067="No","Does not balance | ","")&amp;IF(I1067="","Not approved | ",IF(UPPER(TRIM(H1067))=UPPER(TRIM(I1067)),"Self-approved | ",""))&amp;IF(J1067="","No support | ","")&amp;IF(WEEKDAY(B1067,2)&gt;5,"Weekend posting | ","")&amp;IF(COUNTIF(Settings!$A$14:$A$43,B1067)&gt;0,"Holiday posting | ","")&amp;IF(B1067&gt;Settings!$C$8,"Posted after close | ","")&amp;IF(OR(B1067&lt;Settings!$C$6,B1067&gt;Settings!$C$7),"Outside period | ","")&amp;IF(COUNTIF(Settings!$E$14:$E$43,C1067&amp;"")&gt;0,"Sensitive account | ","")&amp;IF(AND(MAX(N(E1067),N(F1067))&gt;=Settings!$C$9,MOD(MAX(N(E1067),N(F1067)),Settings!$C$10)=0),"Round amount | ","")="","",LEFT(IF(K1067="No","Does not balance | ","")&amp;IF(I1067="","Not approved | ",IF(UPPER(TRIM(H1067))=UPPER(TRIM(I1067)),"Self-approved | ",""))&amp;IF(J1067="","No support | ","")&amp;IF(WEEKDAY(B1067,2)&gt;5,"Weekend posting | ","")&amp;IF(COUNTIF(Settings!$A$14:$A$43,B1067)&gt;0,"Holiday posting | ","")&amp;IF(B1067&gt;Settings!$C$8,"Posted after close | ","")&amp;IF(OR(B1067&lt;Settings!$C$6,B1067&gt;Settings!$C$7),"Outside period | ","")&amp;IF(COUNTIF(Settings!$E$14:$E$43,C1067&amp;"")&gt;0,"Sensitive account | ","")&amp;IF(AND(MAX(N(E1067),N(F1067))&gt;=Settings!$C$9,MOD(MAX(N(E1067),N(F1067)),Settings!$C$10)=0),"Round amount | ",""),LEN(IF(K1067="No","Does not balance | ","")&amp;IF(I1067="","Not approved | ",IF(UPPER(TRIM(H1067))=UPPER(TRIM(I1067)),"Self-approved | ",""))&amp;IF(J1067="","No support | ","")&amp;IF(WEEKDAY(B1067,2)&gt;5,"Weekend posting | ","")&amp;IF(COUNTIF(Settings!$A$14:$A$43,B1067)&gt;0,"Holiday posting | ","")&amp;IF(B1067&gt;Settings!$C$8,"Posted after close | ","")&amp;IF(OR(B1067&lt;Settings!$C$6,B1067&gt;Settings!$C$7),"Outside period | ","")&amp;IF(COUNTIF(Settings!$E$14:$E$43,C1067&amp;"")&gt;0,"Sensitive account | ","")&amp;IF(AND(MAX(N(E1067),N(F1067))&gt;=Settings!$C$9,MOD(MAX(N(E1067),N(F1067)),Settings!$C$10)=0),"Round amount | ",""))-3)))</f>
        <v/>
      </c>
      <c r="M1067" s="21" t="str">
        <f aca="false">IF(A1067="","",IF(COUNTIF($A$9:A1067,A1067)=1,MAX($M$8:M1066)+1,""))</f>
        <v/>
      </c>
    </row>
    <row r="1068" customFormat="false" ht="15" hidden="false" customHeight="false" outlineLevel="0" collapsed="false">
      <c r="A1068" s="8"/>
      <c r="B1068" s="17"/>
      <c r="C1068" s="19"/>
      <c r="D1068" s="8"/>
      <c r="E1068" s="18"/>
      <c r="F1068" s="18"/>
      <c r="G1068" s="8"/>
      <c r="H1068" s="8"/>
      <c r="I1068" s="8"/>
      <c r="J1068" s="8"/>
      <c r="K1068" s="10" t="str">
        <f aca="false">IF(A1068="","",IF(ABS(SUMIFS($E$9:$E$2008,$A$9:$A$2008,A1068)-SUMIFS($F$9:$F$2008,$A$9:$A$2008,A1068))&lt;0.5,"Yes","No"))</f>
        <v/>
      </c>
      <c r="L1068" s="10" t="str">
        <f aca="false">IF(A1068="","",IF(IF(K1068="No","Does not balance | ","")&amp;IF(I1068="","Not approved | ",IF(UPPER(TRIM(H1068))=UPPER(TRIM(I1068)),"Self-approved | ",""))&amp;IF(J1068="","No support | ","")&amp;IF(WEEKDAY(B1068,2)&gt;5,"Weekend posting | ","")&amp;IF(COUNTIF(Settings!$A$14:$A$43,B1068)&gt;0,"Holiday posting | ","")&amp;IF(B1068&gt;Settings!$C$8,"Posted after close | ","")&amp;IF(OR(B1068&lt;Settings!$C$6,B1068&gt;Settings!$C$7),"Outside period | ","")&amp;IF(COUNTIF(Settings!$E$14:$E$43,C1068&amp;"")&gt;0,"Sensitive account | ","")&amp;IF(AND(MAX(N(E1068),N(F1068))&gt;=Settings!$C$9,MOD(MAX(N(E1068),N(F1068)),Settings!$C$10)=0),"Round amount | ","")="","",LEFT(IF(K1068="No","Does not balance | ","")&amp;IF(I1068="","Not approved | ",IF(UPPER(TRIM(H1068))=UPPER(TRIM(I1068)),"Self-approved | ",""))&amp;IF(J1068="","No support | ","")&amp;IF(WEEKDAY(B1068,2)&gt;5,"Weekend posting | ","")&amp;IF(COUNTIF(Settings!$A$14:$A$43,B1068)&gt;0,"Holiday posting | ","")&amp;IF(B1068&gt;Settings!$C$8,"Posted after close | ","")&amp;IF(OR(B1068&lt;Settings!$C$6,B1068&gt;Settings!$C$7),"Outside period | ","")&amp;IF(COUNTIF(Settings!$E$14:$E$43,C1068&amp;"")&gt;0,"Sensitive account | ","")&amp;IF(AND(MAX(N(E1068),N(F1068))&gt;=Settings!$C$9,MOD(MAX(N(E1068),N(F1068)),Settings!$C$10)=0),"Round amount | ",""),LEN(IF(K1068="No","Does not balance | ","")&amp;IF(I1068="","Not approved | ",IF(UPPER(TRIM(H1068))=UPPER(TRIM(I1068)),"Self-approved | ",""))&amp;IF(J1068="","No support | ","")&amp;IF(WEEKDAY(B1068,2)&gt;5,"Weekend posting | ","")&amp;IF(COUNTIF(Settings!$A$14:$A$43,B1068)&gt;0,"Holiday posting | ","")&amp;IF(B1068&gt;Settings!$C$8,"Posted after close | ","")&amp;IF(OR(B1068&lt;Settings!$C$6,B1068&gt;Settings!$C$7),"Outside period | ","")&amp;IF(COUNTIF(Settings!$E$14:$E$43,C1068&amp;"")&gt;0,"Sensitive account | ","")&amp;IF(AND(MAX(N(E1068),N(F1068))&gt;=Settings!$C$9,MOD(MAX(N(E1068),N(F1068)),Settings!$C$10)=0),"Round amount | ",""))-3)))</f>
        <v/>
      </c>
      <c r="M1068" s="21" t="str">
        <f aca="false">IF(A1068="","",IF(COUNTIF($A$9:A1068,A1068)=1,MAX($M$8:M1067)+1,""))</f>
        <v/>
      </c>
    </row>
    <row r="1069" customFormat="false" ht="15" hidden="false" customHeight="false" outlineLevel="0" collapsed="false">
      <c r="A1069" s="8"/>
      <c r="B1069" s="17"/>
      <c r="C1069" s="19"/>
      <c r="D1069" s="8"/>
      <c r="E1069" s="18"/>
      <c r="F1069" s="18"/>
      <c r="G1069" s="8"/>
      <c r="H1069" s="8"/>
      <c r="I1069" s="8"/>
      <c r="J1069" s="8"/>
      <c r="K1069" s="10" t="str">
        <f aca="false">IF(A1069="","",IF(ABS(SUMIFS($E$9:$E$2008,$A$9:$A$2008,A1069)-SUMIFS($F$9:$F$2008,$A$9:$A$2008,A1069))&lt;0.5,"Yes","No"))</f>
        <v/>
      </c>
      <c r="L1069" s="10" t="str">
        <f aca="false">IF(A1069="","",IF(IF(K1069="No","Does not balance | ","")&amp;IF(I1069="","Not approved | ",IF(UPPER(TRIM(H1069))=UPPER(TRIM(I1069)),"Self-approved | ",""))&amp;IF(J1069="","No support | ","")&amp;IF(WEEKDAY(B1069,2)&gt;5,"Weekend posting | ","")&amp;IF(COUNTIF(Settings!$A$14:$A$43,B1069)&gt;0,"Holiday posting | ","")&amp;IF(B1069&gt;Settings!$C$8,"Posted after close | ","")&amp;IF(OR(B1069&lt;Settings!$C$6,B1069&gt;Settings!$C$7),"Outside period | ","")&amp;IF(COUNTIF(Settings!$E$14:$E$43,C1069&amp;"")&gt;0,"Sensitive account | ","")&amp;IF(AND(MAX(N(E1069),N(F1069))&gt;=Settings!$C$9,MOD(MAX(N(E1069),N(F1069)),Settings!$C$10)=0),"Round amount | ","")="","",LEFT(IF(K1069="No","Does not balance | ","")&amp;IF(I1069="","Not approved | ",IF(UPPER(TRIM(H1069))=UPPER(TRIM(I1069)),"Self-approved | ",""))&amp;IF(J1069="","No support | ","")&amp;IF(WEEKDAY(B1069,2)&gt;5,"Weekend posting | ","")&amp;IF(COUNTIF(Settings!$A$14:$A$43,B1069)&gt;0,"Holiday posting | ","")&amp;IF(B1069&gt;Settings!$C$8,"Posted after close | ","")&amp;IF(OR(B1069&lt;Settings!$C$6,B1069&gt;Settings!$C$7),"Outside period | ","")&amp;IF(COUNTIF(Settings!$E$14:$E$43,C1069&amp;"")&gt;0,"Sensitive account | ","")&amp;IF(AND(MAX(N(E1069),N(F1069))&gt;=Settings!$C$9,MOD(MAX(N(E1069),N(F1069)),Settings!$C$10)=0),"Round amount | ",""),LEN(IF(K1069="No","Does not balance | ","")&amp;IF(I1069="","Not approved | ",IF(UPPER(TRIM(H1069))=UPPER(TRIM(I1069)),"Self-approved | ",""))&amp;IF(J1069="","No support | ","")&amp;IF(WEEKDAY(B1069,2)&gt;5,"Weekend posting | ","")&amp;IF(COUNTIF(Settings!$A$14:$A$43,B1069)&gt;0,"Holiday posting | ","")&amp;IF(B1069&gt;Settings!$C$8,"Posted after close | ","")&amp;IF(OR(B1069&lt;Settings!$C$6,B1069&gt;Settings!$C$7),"Outside period | ","")&amp;IF(COUNTIF(Settings!$E$14:$E$43,C1069&amp;"")&gt;0,"Sensitive account | ","")&amp;IF(AND(MAX(N(E1069),N(F1069))&gt;=Settings!$C$9,MOD(MAX(N(E1069),N(F1069)),Settings!$C$10)=0),"Round amount | ",""))-3)))</f>
        <v/>
      </c>
      <c r="M1069" s="21" t="str">
        <f aca="false">IF(A1069="","",IF(COUNTIF($A$9:A1069,A1069)=1,MAX($M$8:M1068)+1,""))</f>
        <v/>
      </c>
    </row>
    <row r="1070" customFormat="false" ht="15" hidden="false" customHeight="false" outlineLevel="0" collapsed="false">
      <c r="A1070" s="8"/>
      <c r="B1070" s="17"/>
      <c r="C1070" s="19"/>
      <c r="D1070" s="8"/>
      <c r="E1070" s="18"/>
      <c r="F1070" s="18"/>
      <c r="G1070" s="8"/>
      <c r="H1070" s="8"/>
      <c r="I1070" s="8"/>
      <c r="J1070" s="8"/>
      <c r="K1070" s="10" t="str">
        <f aca="false">IF(A1070="","",IF(ABS(SUMIFS($E$9:$E$2008,$A$9:$A$2008,A1070)-SUMIFS($F$9:$F$2008,$A$9:$A$2008,A1070))&lt;0.5,"Yes","No"))</f>
        <v/>
      </c>
      <c r="L1070" s="10" t="str">
        <f aca="false">IF(A1070="","",IF(IF(K1070="No","Does not balance | ","")&amp;IF(I1070="","Not approved | ",IF(UPPER(TRIM(H1070))=UPPER(TRIM(I1070)),"Self-approved | ",""))&amp;IF(J1070="","No support | ","")&amp;IF(WEEKDAY(B1070,2)&gt;5,"Weekend posting | ","")&amp;IF(COUNTIF(Settings!$A$14:$A$43,B1070)&gt;0,"Holiday posting | ","")&amp;IF(B1070&gt;Settings!$C$8,"Posted after close | ","")&amp;IF(OR(B1070&lt;Settings!$C$6,B1070&gt;Settings!$C$7),"Outside period | ","")&amp;IF(COUNTIF(Settings!$E$14:$E$43,C1070&amp;"")&gt;0,"Sensitive account | ","")&amp;IF(AND(MAX(N(E1070),N(F1070))&gt;=Settings!$C$9,MOD(MAX(N(E1070),N(F1070)),Settings!$C$10)=0),"Round amount | ","")="","",LEFT(IF(K1070="No","Does not balance | ","")&amp;IF(I1070="","Not approved | ",IF(UPPER(TRIM(H1070))=UPPER(TRIM(I1070)),"Self-approved | ",""))&amp;IF(J1070="","No support | ","")&amp;IF(WEEKDAY(B1070,2)&gt;5,"Weekend posting | ","")&amp;IF(COUNTIF(Settings!$A$14:$A$43,B1070)&gt;0,"Holiday posting | ","")&amp;IF(B1070&gt;Settings!$C$8,"Posted after close | ","")&amp;IF(OR(B1070&lt;Settings!$C$6,B1070&gt;Settings!$C$7),"Outside period | ","")&amp;IF(COUNTIF(Settings!$E$14:$E$43,C1070&amp;"")&gt;0,"Sensitive account | ","")&amp;IF(AND(MAX(N(E1070),N(F1070))&gt;=Settings!$C$9,MOD(MAX(N(E1070),N(F1070)),Settings!$C$10)=0),"Round amount | ",""),LEN(IF(K1070="No","Does not balance | ","")&amp;IF(I1070="","Not approved | ",IF(UPPER(TRIM(H1070))=UPPER(TRIM(I1070)),"Self-approved | ",""))&amp;IF(J1070="","No support | ","")&amp;IF(WEEKDAY(B1070,2)&gt;5,"Weekend posting | ","")&amp;IF(COUNTIF(Settings!$A$14:$A$43,B1070)&gt;0,"Holiday posting | ","")&amp;IF(B1070&gt;Settings!$C$8,"Posted after close | ","")&amp;IF(OR(B1070&lt;Settings!$C$6,B1070&gt;Settings!$C$7),"Outside period | ","")&amp;IF(COUNTIF(Settings!$E$14:$E$43,C1070&amp;"")&gt;0,"Sensitive account | ","")&amp;IF(AND(MAX(N(E1070),N(F1070))&gt;=Settings!$C$9,MOD(MAX(N(E1070),N(F1070)),Settings!$C$10)=0),"Round amount | ",""))-3)))</f>
        <v/>
      </c>
      <c r="M1070" s="21" t="str">
        <f aca="false">IF(A1070="","",IF(COUNTIF($A$9:A1070,A1070)=1,MAX($M$8:M1069)+1,""))</f>
        <v/>
      </c>
    </row>
    <row r="1071" customFormat="false" ht="15" hidden="false" customHeight="false" outlineLevel="0" collapsed="false">
      <c r="A1071" s="8"/>
      <c r="B1071" s="17"/>
      <c r="C1071" s="19"/>
      <c r="D1071" s="8"/>
      <c r="E1071" s="18"/>
      <c r="F1071" s="18"/>
      <c r="G1071" s="8"/>
      <c r="H1071" s="8"/>
      <c r="I1071" s="8"/>
      <c r="J1071" s="8"/>
      <c r="K1071" s="10" t="str">
        <f aca="false">IF(A1071="","",IF(ABS(SUMIFS($E$9:$E$2008,$A$9:$A$2008,A1071)-SUMIFS($F$9:$F$2008,$A$9:$A$2008,A1071))&lt;0.5,"Yes","No"))</f>
        <v/>
      </c>
      <c r="L1071" s="10" t="str">
        <f aca="false">IF(A1071="","",IF(IF(K1071="No","Does not balance | ","")&amp;IF(I1071="","Not approved | ",IF(UPPER(TRIM(H1071))=UPPER(TRIM(I1071)),"Self-approved | ",""))&amp;IF(J1071="","No support | ","")&amp;IF(WEEKDAY(B1071,2)&gt;5,"Weekend posting | ","")&amp;IF(COUNTIF(Settings!$A$14:$A$43,B1071)&gt;0,"Holiday posting | ","")&amp;IF(B1071&gt;Settings!$C$8,"Posted after close | ","")&amp;IF(OR(B1071&lt;Settings!$C$6,B1071&gt;Settings!$C$7),"Outside period | ","")&amp;IF(COUNTIF(Settings!$E$14:$E$43,C1071&amp;"")&gt;0,"Sensitive account | ","")&amp;IF(AND(MAX(N(E1071),N(F1071))&gt;=Settings!$C$9,MOD(MAX(N(E1071),N(F1071)),Settings!$C$10)=0),"Round amount | ","")="","",LEFT(IF(K1071="No","Does not balance | ","")&amp;IF(I1071="","Not approved | ",IF(UPPER(TRIM(H1071))=UPPER(TRIM(I1071)),"Self-approved | ",""))&amp;IF(J1071="","No support | ","")&amp;IF(WEEKDAY(B1071,2)&gt;5,"Weekend posting | ","")&amp;IF(COUNTIF(Settings!$A$14:$A$43,B1071)&gt;0,"Holiday posting | ","")&amp;IF(B1071&gt;Settings!$C$8,"Posted after close | ","")&amp;IF(OR(B1071&lt;Settings!$C$6,B1071&gt;Settings!$C$7),"Outside period | ","")&amp;IF(COUNTIF(Settings!$E$14:$E$43,C1071&amp;"")&gt;0,"Sensitive account | ","")&amp;IF(AND(MAX(N(E1071),N(F1071))&gt;=Settings!$C$9,MOD(MAX(N(E1071),N(F1071)),Settings!$C$10)=0),"Round amount | ",""),LEN(IF(K1071="No","Does not balance | ","")&amp;IF(I1071="","Not approved | ",IF(UPPER(TRIM(H1071))=UPPER(TRIM(I1071)),"Self-approved | ",""))&amp;IF(J1071="","No support | ","")&amp;IF(WEEKDAY(B1071,2)&gt;5,"Weekend posting | ","")&amp;IF(COUNTIF(Settings!$A$14:$A$43,B1071)&gt;0,"Holiday posting | ","")&amp;IF(B1071&gt;Settings!$C$8,"Posted after close | ","")&amp;IF(OR(B1071&lt;Settings!$C$6,B1071&gt;Settings!$C$7),"Outside period | ","")&amp;IF(COUNTIF(Settings!$E$14:$E$43,C1071&amp;"")&gt;0,"Sensitive account | ","")&amp;IF(AND(MAX(N(E1071),N(F1071))&gt;=Settings!$C$9,MOD(MAX(N(E1071),N(F1071)),Settings!$C$10)=0),"Round amount | ",""))-3)))</f>
        <v/>
      </c>
      <c r="M1071" s="21" t="str">
        <f aca="false">IF(A1071="","",IF(COUNTIF($A$9:A1071,A1071)=1,MAX($M$8:M1070)+1,""))</f>
        <v/>
      </c>
    </row>
    <row r="1072" customFormat="false" ht="15" hidden="false" customHeight="false" outlineLevel="0" collapsed="false">
      <c r="A1072" s="8"/>
      <c r="B1072" s="17"/>
      <c r="C1072" s="19"/>
      <c r="D1072" s="8"/>
      <c r="E1072" s="18"/>
      <c r="F1072" s="18"/>
      <c r="G1072" s="8"/>
      <c r="H1072" s="8"/>
      <c r="I1072" s="8"/>
      <c r="J1072" s="8"/>
      <c r="K1072" s="10" t="str">
        <f aca="false">IF(A1072="","",IF(ABS(SUMIFS($E$9:$E$2008,$A$9:$A$2008,A1072)-SUMIFS($F$9:$F$2008,$A$9:$A$2008,A1072))&lt;0.5,"Yes","No"))</f>
        <v/>
      </c>
      <c r="L1072" s="10" t="str">
        <f aca="false">IF(A1072="","",IF(IF(K1072="No","Does not balance | ","")&amp;IF(I1072="","Not approved | ",IF(UPPER(TRIM(H1072))=UPPER(TRIM(I1072)),"Self-approved | ",""))&amp;IF(J1072="","No support | ","")&amp;IF(WEEKDAY(B1072,2)&gt;5,"Weekend posting | ","")&amp;IF(COUNTIF(Settings!$A$14:$A$43,B1072)&gt;0,"Holiday posting | ","")&amp;IF(B1072&gt;Settings!$C$8,"Posted after close | ","")&amp;IF(OR(B1072&lt;Settings!$C$6,B1072&gt;Settings!$C$7),"Outside period | ","")&amp;IF(COUNTIF(Settings!$E$14:$E$43,C1072&amp;"")&gt;0,"Sensitive account | ","")&amp;IF(AND(MAX(N(E1072),N(F1072))&gt;=Settings!$C$9,MOD(MAX(N(E1072),N(F1072)),Settings!$C$10)=0),"Round amount | ","")="","",LEFT(IF(K1072="No","Does not balance | ","")&amp;IF(I1072="","Not approved | ",IF(UPPER(TRIM(H1072))=UPPER(TRIM(I1072)),"Self-approved | ",""))&amp;IF(J1072="","No support | ","")&amp;IF(WEEKDAY(B1072,2)&gt;5,"Weekend posting | ","")&amp;IF(COUNTIF(Settings!$A$14:$A$43,B1072)&gt;0,"Holiday posting | ","")&amp;IF(B1072&gt;Settings!$C$8,"Posted after close | ","")&amp;IF(OR(B1072&lt;Settings!$C$6,B1072&gt;Settings!$C$7),"Outside period | ","")&amp;IF(COUNTIF(Settings!$E$14:$E$43,C1072&amp;"")&gt;0,"Sensitive account | ","")&amp;IF(AND(MAX(N(E1072),N(F1072))&gt;=Settings!$C$9,MOD(MAX(N(E1072),N(F1072)),Settings!$C$10)=0),"Round amount | ",""),LEN(IF(K1072="No","Does not balance | ","")&amp;IF(I1072="","Not approved | ",IF(UPPER(TRIM(H1072))=UPPER(TRIM(I1072)),"Self-approved | ",""))&amp;IF(J1072="","No support | ","")&amp;IF(WEEKDAY(B1072,2)&gt;5,"Weekend posting | ","")&amp;IF(COUNTIF(Settings!$A$14:$A$43,B1072)&gt;0,"Holiday posting | ","")&amp;IF(B1072&gt;Settings!$C$8,"Posted after close | ","")&amp;IF(OR(B1072&lt;Settings!$C$6,B1072&gt;Settings!$C$7),"Outside period | ","")&amp;IF(COUNTIF(Settings!$E$14:$E$43,C1072&amp;"")&gt;0,"Sensitive account | ","")&amp;IF(AND(MAX(N(E1072),N(F1072))&gt;=Settings!$C$9,MOD(MAX(N(E1072),N(F1072)),Settings!$C$10)=0),"Round amount | ",""))-3)))</f>
        <v/>
      </c>
      <c r="M1072" s="21" t="str">
        <f aca="false">IF(A1072="","",IF(COUNTIF($A$9:A1072,A1072)=1,MAX($M$8:M1071)+1,""))</f>
        <v/>
      </c>
    </row>
    <row r="1073" customFormat="false" ht="15" hidden="false" customHeight="false" outlineLevel="0" collapsed="false">
      <c r="A1073" s="8"/>
      <c r="B1073" s="17"/>
      <c r="C1073" s="19"/>
      <c r="D1073" s="8"/>
      <c r="E1073" s="18"/>
      <c r="F1073" s="18"/>
      <c r="G1073" s="8"/>
      <c r="H1073" s="8"/>
      <c r="I1073" s="8"/>
      <c r="J1073" s="8"/>
      <c r="K1073" s="10" t="str">
        <f aca="false">IF(A1073="","",IF(ABS(SUMIFS($E$9:$E$2008,$A$9:$A$2008,A1073)-SUMIFS($F$9:$F$2008,$A$9:$A$2008,A1073))&lt;0.5,"Yes","No"))</f>
        <v/>
      </c>
      <c r="L1073" s="10" t="str">
        <f aca="false">IF(A1073="","",IF(IF(K1073="No","Does not balance | ","")&amp;IF(I1073="","Not approved | ",IF(UPPER(TRIM(H1073))=UPPER(TRIM(I1073)),"Self-approved | ",""))&amp;IF(J1073="","No support | ","")&amp;IF(WEEKDAY(B1073,2)&gt;5,"Weekend posting | ","")&amp;IF(COUNTIF(Settings!$A$14:$A$43,B1073)&gt;0,"Holiday posting | ","")&amp;IF(B1073&gt;Settings!$C$8,"Posted after close | ","")&amp;IF(OR(B1073&lt;Settings!$C$6,B1073&gt;Settings!$C$7),"Outside period | ","")&amp;IF(COUNTIF(Settings!$E$14:$E$43,C1073&amp;"")&gt;0,"Sensitive account | ","")&amp;IF(AND(MAX(N(E1073),N(F1073))&gt;=Settings!$C$9,MOD(MAX(N(E1073),N(F1073)),Settings!$C$10)=0),"Round amount | ","")="","",LEFT(IF(K1073="No","Does not balance | ","")&amp;IF(I1073="","Not approved | ",IF(UPPER(TRIM(H1073))=UPPER(TRIM(I1073)),"Self-approved | ",""))&amp;IF(J1073="","No support | ","")&amp;IF(WEEKDAY(B1073,2)&gt;5,"Weekend posting | ","")&amp;IF(COUNTIF(Settings!$A$14:$A$43,B1073)&gt;0,"Holiday posting | ","")&amp;IF(B1073&gt;Settings!$C$8,"Posted after close | ","")&amp;IF(OR(B1073&lt;Settings!$C$6,B1073&gt;Settings!$C$7),"Outside period | ","")&amp;IF(COUNTIF(Settings!$E$14:$E$43,C1073&amp;"")&gt;0,"Sensitive account | ","")&amp;IF(AND(MAX(N(E1073),N(F1073))&gt;=Settings!$C$9,MOD(MAX(N(E1073),N(F1073)),Settings!$C$10)=0),"Round amount | ",""),LEN(IF(K1073="No","Does not balance | ","")&amp;IF(I1073="","Not approved | ",IF(UPPER(TRIM(H1073))=UPPER(TRIM(I1073)),"Self-approved | ",""))&amp;IF(J1073="","No support | ","")&amp;IF(WEEKDAY(B1073,2)&gt;5,"Weekend posting | ","")&amp;IF(COUNTIF(Settings!$A$14:$A$43,B1073)&gt;0,"Holiday posting | ","")&amp;IF(B1073&gt;Settings!$C$8,"Posted after close | ","")&amp;IF(OR(B1073&lt;Settings!$C$6,B1073&gt;Settings!$C$7),"Outside period | ","")&amp;IF(COUNTIF(Settings!$E$14:$E$43,C1073&amp;"")&gt;0,"Sensitive account | ","")&amp;IF(AND(MAX(N(E1073),N(F1073))&gt;=Settings!$C$9,MOD(MAX(N(E1073),N(F1073)),Settings!$C$10)=0),"Round amount | ",""))-3)))</f>
        <v/>
      </c>
      <c r="M1073" s="21" t="str">
        <f aca="false">IF(A1073="","",IF(COUNTIF($A$9:A1073,A1073)=1,MAX($M$8:M1072)+1,""))</f>
        <v/>
      </c>
    </row>
    <row r="1074" customFormat="false" ht="15" hidden="false" customHeight="false" outlineLevel="0" collapsed="false">
      <c r="A1074" s="8"/>
      <c r="B1074" s="17"/>
      <c r="C1074" s="19"/>
      <c r="D1074" s="8"/>
      <c r="E1074" s="18"/>
      <c r="F1074" s="18"/>
      <c r="G1074" s="8"/>
      <c r="H1074" s="8"/>
      <c r="I1074" s="8"/>
      <c r="J1074" s="8"/>
      <c r="K1074" s="10" t="str">
        <f aca="false">IF(A1074="","",IF(ABS(SUMIFS($E$9:$E$2008,$A$9:$A$2008,A1074)-SUMIFS($F$9:$F$2008,$A$9:$A$2008,A1074))&lt;0.5,"Yes","No"))</f>
        <v/>
      </c>
      <c r="L1074" s="10" t="str">
        <f aca="false">IF(A1074="","",IF(IF(K1074="No","Does not balance | ","")&amp;IF(I1074="","Not approved | ",IF(UPPER(TRIM(H1074))=UPPER(TRIM(I1074)),"Self-approved | ",""))&amp;IF(J1074="","No support | ","")&amp;IF(WEEKDAY(B1074,2)&gt;5,"Weekend posting | ","")&amp;IF(COUNTIF(Settings!$A$14:$A$43,B1074)&gt;0,"Holiday posting | ","")&amp;IF(B1074&gt;Settings!$C$8,"Posted after close | ","")&amp;IF(OR(B1074&lt;Settings!$C$6,B1074&gt;Settings!$C$7),"Outside period | ","")&amp;IF(COUNTIF(Settings!$E$14:$E$43,C1074&amp;"")&gt;0,"Sensitive account | ","")&amp;IF(AND(MAX(N(E1074),N(F1074))&gt;=Settings!$C$9,MOD(MAX(N(E1074),N(F1074)),Settings!$C$10)=0),"Round amount | ","")="","",LEFT(IF(K1074="No","Does not balance | ","")&amp;IF(I1074="","Not approved | ",IF(UPPER(TRIM(H1074))=UPPER(TRIM(I1074)),"Self-approved | ",""))&amp;IF(J1074="","No support | ","")&amp;IF(WEEKDAY(B1074,2)&gt;5,"Weekend posting | ","")&amp;IF(COUNTIF(Settings!$A$14:$A$43,B1074)&gt;0,"Holiday posting | ","")&amp;IF(B1074&gt;Settings!$C$8,"Posted after close | ","")&amp;IF(OR(B1074&lt;Settings!$C$6,B1074&gt;Settings!$C$7),"Outside period | ","")&amp;IF(COUNTIF(Settings!$E$14:$E$43,C1074&amp;"")&gt;0,"Sensitive account | ","")&amp;IF(AND(MAX(N(E1074),N(F1074))&gt;=Settings!$C$9,MOD(MAX(N(E1074),N(F1074)),Settings!$C$10)=0),"Round amount | ",""),LEN(IF(K1074="No","Does not balance | ","")&amp;IF(I1074="","Not approved | ",IF(UPPER(TRIM(H1074))=UPPER(TRIM(I1074)),"Self-approved | ",""))&amp;IF(J1074="","No support | ","")&amp;IF(WEEKDAY(B1074,2)&gt;5,"Weekend posting | ","")&amp;IF(COUNTIF(Settings!$A$14:$A$43,B1074)&gt;0,"Holiday posting | ","")&amp;IF(B1074&gt;Settings!$C$8,"Posted after close | ","")&amp;IF(OR(B1074&lt;Settings!$C$6,B1074&gt;Settings!$C$7),"Outside period | ","")&amp;IF(COUNTIF(Settings!$E$14:$E$43,C1074&amp;"")&gt;0,"Sensitive account | ","")&amp;IF(AND(MAX(N(E1074),N(F1074))&gt;=Settings!$C$9,MOD(MAX(N(E1074),N(F1074)),Settings!$C$10)=0),"Round amount | ",""))-3)))</f>
        <v/>
      </c>
      <c r="M1074" s="21" t="str">
        <f aca="false">IF(A1074="","",IF(COUNTIF($A$9:A1074,A1074)=1,MAX($M$8:M1073)+1,""))</f>
        <v/>
      </c>
    </row>
    <row r="1075" customFormat="false" ht="15" hidden="false" customHeight="false" outlineLevel="0" collapsed="false">
      <c r="A1075" s="8"/>
      <c r="B1075" s="17"/>
      <c r="C1075" s="19"/>
      <c r="D1075" s="8"/>
      <c r="E1075" s="18"/>
      <c r="F1075" s="18"/>
      <c r="G1075" s="8"/>
      <c r="H1075" s="8"/>
      <c r="I1075" s="8"/>
      <c r="J1075" s="8"/>
      <c r="K1075" s="10" t="str">
        <f aca="false">IF(A1075="","",IF(ABS(SUMIFS($E$9:$E$2008,$A$9:$A$2008,A1075)-SUMIFS($F$9:$F$2008,$A$9:$A$2008,A1075))&lt;0.5,"Yes","No"))</f>
        <v/>
      </c>
      <c r="L1075" s="10" t="str">
        <f aca="false">IF(A1075="","",IF(IF(K1075="No","Does not balance | ","")&amp;IF(I1075="","Not approved | ",IF(UPPER(TRIM(H1075))=UPPER(TRIM(I1075)),"Self-approved | ",""))&amp;IF(J1075="","No support | ","")&amp;IF(WEEKDAY(B1075,2)&gt;5,"Weekend posting | ","")&amp;IF(COUNTIF(Settings!$A$14:$A$43,B1075)&gt;0,"Holiday posting | ","")&amp;IF(B1075&gt;Settings!$C$8,"Posted after close | ","")&amp;IF(OR(B1075&lt;Settings!$C$6,B1075&gt;Settings!$C$7),"Outside period | ","")&amp;IF(COUNTIF(Settings!$E$14:$E$43,C1075&amp;"")&gt;0,"Sensitive account | ","")&amp;IF(AND(MAX(N(E1075),N(F1075))&gt;=Settings!$C$9,MOD(MAX(N(E1075),N(F1075)),Settings!$C$10)=0),"Round amount | ","")="","",LEFT(IF(K1075="No","Does not balance | ","")&amp;IF(I1075="","Not approved | ",IF(UPPER(TRIM(H1075))=UPPER(TRIM(I1075)),"Self-approved | ",""))&amp;IF(J1075="","No support | ","")&amp;IF(WEEKDAY(B1075,2)&gt;5,"Weekend posting | ","")&amp;IF(COUNTIF(Settings!$A$14:$A$43,B1075)&gt;0,"Holiday posting | ","")&amp;IF(B1075&gt;Settings!$C$8,"Posted after close | ","")&amp;IF(OR(B1075&lt;Settings!$C$6,B1075&gt;Settings!$C$7),"Outside period | ","")&amp;IF(COUNTIF(Settings!$E$14:$E$43,C1075&amp;"")&gt;0,"Sensitive account | ","")&amp;IF(AND(MAX(N(E1075),N(F1075))&gt;=Settings!$C$9,MOD(MAX(N(E1075),N(F1075)),Settings!$C$10)=0),"Round amount | ",""),LEN(IF(K1075="No","Does not balance | ","")&amp;IF(I1075="","Not approved | ",IF(UPPER(TRIM(H1075))=UPPER(TRIM(I1075)),"Self-approved | ",""))&amp;IF(J1075="","No support | ","")&amp;IF(WEEKDAY(B1075,2)&gt;5,"Weekend posting | ","")&amp;IF(COUNTIF(Settings!$A$14:$A$43,B1075)&gt;0,"Holiday posting | ","")&amp;IF(B1075&gt;Settings!$C$8,"Posted after close | ","")&amp;IF(OR(B1075&lt;Settings!$C$6,B1075&gt;Settings!$C$7),"Outside period | ","")&amp;IF(COUNTIF(Settings!$E$14:$E$43,C1075&amp;"")&gt;0,"Sensitive account | ","")&amp;IF(AND(MAX(N(E1075),N(F1075))&gt;=Settings!$C$9,MOD(MAX(N(E1075),N(F1075)),Settings!$C$10)=0),"Round amount | ",""))-3)))</f>
        <v/>
      </c>
      <c r="M1075" s="21" t="str">
        <f aca="false">IF(A1075="","",IF(COUNTIF($A$9:A1075,A1075)=1,MAX($M$8:M1074)+1,""))</f>
        <v/>
      </c>
    </row>
    <row r="1076" customFormat="false" ht="15" hidden="false" customHeight="false" outlineLevel="0" collapsed="false">
      <c r="A1076" s="8"/>
      <c r="B1076" s="17"/>
      <c r="C1076" s="19"/>
      <c r="D1076" s="8"/>
      <c r="E1076" s="18"/>
      <c r="F1076" s="18"/>
      <c r="G1076" s="8"/>
      <c r="H1076" s="8"/>
      <c r="I1076" s="8"/>
      <c r="J1076" s="8"/>
      <c r="K1076" s="10" t="str">
        <f aca="false">IF(A1076="","",IF(ABS(SUMIFS($E$9:$E$2008,$A$9:$A$2008,A1076)-SUMIFS($F$9:$F$2008,$A$9:$A$2008,A1076))&lt;0.5,"Yes","No"))</f>
        <v/>
      </c>
      <c r="L1076" s="10" t="str">
        <f aca="false">IF(A1076="","",IF(IF(K1076="No","Does not balance | ","")&amp;IF(I1076="","Not approved | ",IF(UPPER(TRIM(H1076))=UPPER(TRIM(I1076)),"Self-approved | ",""))&amp;IF(J1076="","No support | ","")&amp;IF(WEEKDAY(B1076,2)&gt;5,"Weekend posting | ","")&amp;IF(COUNTIF(Settings!$A$14:$A$43,B1076)&gt;0,"Holiday posting | ","")&amp;IF(B1076&gt;Settings!$C$8,"Posted after close | ","")&amp;IF(OR(B1076&lt;Settings!$C$6,B1076&gt;Settings!$C$7),"Outside period | ","")&amp;IF(COUNTIF(Settings!$E$14:$E$43,C1076&amp;"")&gt;0,"Sensitive account | ","")&amp;IF(AND(MAX(N(E1076),N(F1076))&gt;=Settings!$C$9,MOD(MAX(N(E1076),N(F1076)),Settings!$C$10)=0),"Round amount | ","")="","",LEFT(IF(K1076="No","Does not balance | ","")&amp;IF(I1076="","Not approved | ",IF(UPPER(TRIM(H1076))=UPPER(TRIM(I1076)),"Self-approved | ",""))&amp;IF(J1076="","No support | ","")&amp;IF(WEEKDAY(B1076,2)&gt;5,"Weekend posting | ","")&amp;IF(COUNTIF(Settings!$A$14:$A$43,B1076)&gt;0,"Holiday posting | ","")&amp;IF(B1076&gt;Settings!$C$8,"Posted after close | ","")&amp;IF(OR(B1076&lt;Settings!$C$6,B1076&gt;Settings!$C$7),"Outside period | ","")&amp;IF(COUNTIF(Settings!$E$14:$E$43,C1076&amp;"")&gt;0,"Sensitive account | ","")&amp;IF(AND(MAX(N(E1076),N(F1076))&gt;=Settings!$C$9,MOD(MAX(N(E1076),N(F1076)),Settings!$C$10)=0),"Round amount | ",""),LEN(IF(K1076="No","Does not balance | ","")&amp;IF(I1076="","Not approved | ",IF(UPPER(TRIM(H1076))=UPPER(TRIM(I1076)),"Self-approved | ",""))&amp;IF(J1076="","No support | ","")&amp;IF(WEEKDAY(B1076,2)&gt;5,"Weekend posting | ","")&amp;IF(COUNTIF(Settings!$A$14:$A$43,B1076)&gt;0,"Holiday posting | ","")&amp;IF(B1076&gt;Settings!$C$8,"Posted after close | ","")&amp;IF(OR(B1076&lt;Settings!$C$6,B1076&gt;Settings!$C$7),"Outside period | ","")&amp;IF(COUNTIF(Settings!$E$14:$E$43,C1076&amp;"")&gt;0,"Sensitive account | ","")&amp;IF(AND(MAX(N(E1076),N(F1076))&gt;=Settings!$C$9,MOD(MAX(N(E1076),N(F1076)),Settings!$C$10)=0),"Round amount | ",""))-3)))</f>
        <v/>
      </c>
      <c r="M1076" s="21" t="str">
        <f aca="false">IF(A1076="","",IF(COUNTIF($A$9:A1076,A1076)=1,MAX($M$8:M1075)+1,""))</f>
        <v/>
      </c>
    </row>
    <row r="1077" customFormat="false" ht="15" hidden="false" customHeight="false" outlineLevel="0" collapsed="false">
      <c r="A1077" s="8"/>
      <c r="B1077" s="17"/>
      <c r="C1077" s="19"/>
      <c r="D1077" s="8"/>
      <c r="E1077" s="18"/>
      <c r="F1077" s="18"/>
      <c r="G1077" s="8"/>
      <c r="H1077" s="8"/>
      <c r="I1077" s="8"/>
      <c r="J1077" s="8"/>
      <c r="K1077" s="10" t="str">
        <f aca="false">IF(A1077="","",IF(ABS(SUMIFS($E$9:$E$2008,$A$9:$A$2008,A1077)-SUMIFS($F$9:$F$2008,$A$9:$A$2008,A1077))&lt;0.5,"Yes","No"))</f>
        <v/>
      </c>
      <c r="L1077" s="10" t="str">
        <f aca="false">IF(A1077="","",IF(IF(K1077="No","Does not balance | ","")&amp;IF(I1077="","Not approved | ",IF(UPPER(TRIM(H1077))=UPPER(TRIM(I1077)),"Self-approved | ",""))&amp;IF(J1077="","No support | ","")&amp;IF(WEEKDAY(B1077,2)&gt;5,"Weekend posting | ","")&amp;IF(COUNTIF(Settings!$A$14:$A$43,B1077)&gt;0,"Holiday posting | ","")&amp;IF(B1077&gt;Settings!$C$8,"Posted after close | ","")&amp;IF(OR(B1077&lt;Settings!$C$6,B1077&gt;Settings!$C$7),"Outside period | ","")&amp;IF(COUNTIF(Settings!$E$14:$E$43,C1077&amp;"")&gt;0,"Sensitive account | ","")&amp;IF(AND(MAX(N(E1077),N(F1077))&gt;=Settings!$C$9,MOD(MAX(N(E1077),N(F1077)),Settings!$C$10)=0),"Round amount | ","")="","",LEFT(IF(K1077="No","Does not balance | ","")&amp;IF(I1077="","Not approved | ",IF(UPPER(TRIM(H1077))=UPPER(TRIM(I1077)),"Self-approved | ",""))&amp;IF(J1077="","No support | ","")&amp;IF(WEEKDAY(B1077,2)&gt;5,"Weekend posting | ","")&amp;IF(COUNTIF(Settings!$A$14:$A$43,B1077)&gt;0,"Holiday posting | ","")&amp;IF(B1077&gt;Settings!$C$8,"Posted after close | ","")&amp;IF(OR(B1077&lt;Settings!$C$6,B1077&gt;Settings!$C$7),"Outside period | ","")&amp;IF(COUNTIF(Settings!$E$14:$E$43,C1077&amp;"")&gt;0,"Sensitive account | ","")&amp;IF(AND(MAX(N(E1077),N(F1077))&gt;=Settings!$C$9,MOD(MAX(N(E1077),N(F1077)),Settings!$C$10)=0),"Round amount | ",""),LEN(IF(K1077="No","Does not balance | ","")&amp;IF(I1077="","Not approved | ",IF(UPPER(TRIM(H1077))=UPPER(TRIM(I1077)),"Self-approved | ",""))&amp;IF(J1077="","No support | ","")&amp;IF(WEEKDAY(B1077,2)&gt;5,"Weekend posting | ","")&amp;IF(COUNTIF(Settings!$A$14:$A$43,B1077)&gt;0,"Holiday posting | ","")&amp;IF(B1077&gt;Settings!$C$8,"Posted after close | ","")&amp;IF(OR(B1077&lt;Settings!$C$6,B1077&gt;Settings!$C$7),"Outside period | ","")&amp;IF(COUNTIF(Settings!$E$14:$E$43,C1077&amp;"")&gt;0,"Sensitive account | ","")&amp;IF(AND(MAX(N(E1077),N(F1077))&gt;=Settings!$C$9,MOD(MAX(N(E1077),N(F1077)),Settings!$C$10)=0),"Round amount | ",""))-3)))</f>
        <v/>
      </c>
      <c r="M1077" s="21" t="str">
        <f aca="false">IF(A1077="","",IF(COUNTIF($A$9:A1077,A1077)=1,MAX($M$8:M1076)+1,""))</f>
        <v/>
      </c>
    </row>
    <row r="1078" customFormat="false" ht="15" hidden="false" customHeight="false" outlineLevel="0" collapsed="false">
      <c r="A1078" s="8"/>
      <c r="B1078" s="17"/>
      <c r="C1078" s="19"/>
      <c r="D1078" s="8"/>
      <c r="E1078" s="18"/>
      <c r="F1078" s="18"/>
      <c r="G1078" s="8"/>
      <c r="H1078" s="8"/>
      <c r="I1078" s="8"/>
      <c r="J1078" s="8"/>
      <c r="K1078" s="10" t="str">
        <f aca="false">IF(A1078="","",IF(ABS(SUMIFS($E$9:$E$2008,$A$9:$A$2008,A1078)-SUMIFS($F$9:$F$2008,$A$9:$A$2008,A1078))&lt;0.5,"Yes","No"))</f>
        <v/>
      </c>
      <c r="L1078" s="10" t="str">
        <f aca="false">IF(A1078="","",IF(IF(K1078="No","Does not balance | ","")&amp;IF(I1078="","Not approved | ",IF(UPPER(TRIM(H1078))=UPPER(TRIM(I1078)),"Self-approved | ",""))&amp;IF(J1078="","No support | ","")&amp;IF(WEEKDAY(B1078,2)&gt;5,"Weekend posting | ","")&amp;IF(COUNTIF(Settings!$A$14:$A$43,B1078)&gt;0,"Holiday posting | ","")&amp;IF(B1078&gt;Settings!$C$8,"Posted after close | ","")&amp;IF(OR(B1078&lt;Settings!$C$6,B1078&gt;Settings!$C$7),"Outside period | ","")&amp;IF(COUNTIF(Settings!$E$14:$E$43,C1078&amp;"")&gt;0,"Sensitive account | ","")&amp;IF(AND(MAX(N(E1078),N(F1078))&gt;=Settings!$C$9,MOD(MAX(N(E1078),N(F1078)),Settings!$C$10)=0),"Round amount | ","")="","",LEFT(IF(K1078="No","Does not balance | ","")&amp;IF(I1078="","Not approved | ",IF(UPPER(TRIM(H1078))=UPPER(TRIM(I1078)),"Self-approved | ",""))&amp;IF(J1078="","No support | ","")&amp;IF(WEEKDAY(B1078,2)&gt;5,"Weekend posting | ","")&amp;IF(COUNTIF(Settings!$A$14:$A$43,B1078)&gt;0,"Holiday posting | ","")&amp;IF(B1078&gt;Settings!$C$8,"Posted after close | ","")&amp;IF(OR(B1078&lt;Settings!$C$6,B1078&gt;Settings!$C$7),"Outside period | ","")&amp;IF(COUNTIF(Settings!$E$14:$E$43,C1078&amp;"")&gt;0,"Sensitive account | ","")&amp;IF(AND(MAX(N(E1078),N(F1078))&gt;=Settings!$C$9,MOD(MAX(N(E1078),N(F1078)),Settings!$C$10)=0),"Round amount | ",""),LEN(IF(K1078="No","Does not balance | ","")&amp;IF(I1078="","Not approved | ",IF(UPPER(TRIM(H1078))=UPPER(TRIM(I1078)),"Self-approved | ",""))&amp;IF(J1078="","No support | ","")&amp;IF(WEEKDAY(B1078,2)&gt;5,"Weekend posting | ","")&amp;IF(COUNTIF(Settings!$A$14:$A$43,B1078)&gt;0,"Holiday posting | ","")&amp;IF(B1078&gt;Settings!$C$8,"Posted after close | ","")&amp;IF(OR(B1078&lt;Settings!$C$6,B1078&gt;Settings!$C$7),"Outside period | ","")&amp;IF(COUNTIF(Settings!$E$14:$E$43,C1078&amp;"")&gt;0,"Sensitive account | ","")&amp;IF(AND(MAX(N(E1078),N(F1078))&gt;=Settings!$C$9,MOD(MAX(N(E1078),N(F1078)),Settings!$C$10)=0),"Round amount | ",""))-3)))</f>
        <v/>
      </c>
      <c r="M1078" s="21" t="str">
        <f aca="false">IF(A1078="","",IF(COUNTIF($A$9:A1078,A1078)=1,MAX($M$8:M1077)+1,""))</f>
        <v/>
      </c>
    </row>
    <row r="1079" customFormat="false" ht="15" hidden="false" customHeight="false" outlineLevel="0" collapsed="false">
      <c r="A1079" s="8"/>
      <c r="B1079" s="17"/>
      <c r="C1079" s="19"/>
      <c r="D1079" s="8"/>
      <c r="E1079" s="18"/>
      <c r="F1079" s="18"/>
      <c r="G1079" s="8"/>
      <c r="H1079" s="8"/>
      <c r="I1079" s="8"/>
      <c r="J1079" s="8"/>
      <c r="K1079" s="10" t="str">
        <f aca="false">IF(A1079="","",IF(ABS(SUMIFS($E$9:$E$2008,$A$9:$A$2008,A1079)-SUMIFS($F$9:$F$2008,$A$9:$A$2008,A1079))&lt;0.5,"Yes","No"))</f>
        <v/>
      </c>
      <c r="L1079" s="10" t="str">
        <f aca="false">IF(A1079="","",IF(IF(K1079="No","Does not balance | ","")&amp;IF(I1079="","Not approved | ",IF(UPPER(TRIM(H1079))=UPPER(TRIM(I1079)),"Self-approved | ",""))&amp;IF(J1079="","No support | ","")&amp;IF(WEEKDAY(B1079,2)&gt;5,"Weekend posting | ","")&amp;IF(COUNTIF(Settings!$A$14:$A$43,B1079)&gt;0,"Holiday posting | ","")&amp;IF(B1079&gt;Settings!$C$8,"Posted after close | ","")&amp;IF(OR(B1079&lt;Settings!$C$6,B1079&gt;Settings!$C$7),"Outside period | ","")&amp;IF(COUNTIF(Settings!$E$14:$E$43,C1079&amp;"")&gt;0,"Sensitive account | ","")&amp;IF(AND(MAX(N(E1079),N(F1079))&gt;=Settings!$C$9,MOD(MAX(N(E1079),N(F1079)),Settings!$C$10)=0),"Round amount | ","")="","",LEFT(IF(K1079="No","Does not balance | ","")&amp;IF(I1079="","Not approved | ",IF(UPPER(TRIM(H1079))=UPPER(TRIM(I1079)),"Self-approved | ",""))&amp;IF(J1079="","No support | ","")&amp;IF(WEEKDAY(B1079,2)&gt;5,"Weekend posting | ","")&amp;IF(COUNTIF(Settings!$A$14:$A$43,B1079)&gt;0,"Holiday posting | ","")&amp;IF(B1079&gt;Settings!$C$8,"Posted after close | ","")&amp;IF(OR(B1079&lt;Settings!$C$6,B1079&gt;Settings!$C$7),"Outside period | ","")&amp;IF(COUNTIF(Settings!$E$14:$E$43,C1079&amp;"")&gt;0,"Sensitive account | ","")&amp;IF(AND(MAX(N(E1079),N(F1079))&gt;=Settings!$C$9,MOD(MAX(N(E1079),N(F1079)),Settings!$C$10)=0),"Round amount | ",""),LEN(IF(K1079="No","Does not balance | ","")&amp;IF(I1079="","Not approved | ",IF(UPPER(TRIM(H1079))=UPPER(TRIM(I1079)),"Self-approved | ",""))&amp;IF(J1079="","No support | ","")&amp;IF(WEEKDAY(B1079,2)&gt;5,"Weekend posting | ","")&amp;IF(COUNTIF(Settings!$A$14:$A$43,B1079)&gt;0,"Holiday posting | ","")&amp;IF(B1079&gt;Settings!$C$8,"Posted after close | ","")&amp;IF(OR(B1079&lt;Settings!$C$6,B1079&gt;Settings!$C$7),"Outside period | ","")&amp;IF(COUNTIF(Settings!$E$14:$E$43,C1079&amp;"")&gt;0,"Sensitive account | ","")&amp;IF(AND(MAX(N(E1079),N(F1079))&gt;=Settings!$C$9,MOD(MAX(N(E1079),N(F1079)),Settings!$C$10)=0),"Round amount | ",""))-3)))</f>
        <v/>
      </c>
      <c r="M1079" s="21" t="str">
        <f aca="false">IF(A1079="","",IF(COUNTIF($A$9:A1079,A1079)=1,MAX($M$8:M1078)+1,""))</f>
        <v/>
      </c>
    </row>
    <row r="1080" customFormat="false" ht="15" hidden="false" customHeight="false" outlineLevel="0" collapsed="false">
      <c r="A1080" s="8"/>
      <c r="B1080" s="17"/>
      <c r="C1080" s="19"/>
      <c r="D1080" s="8"/>
      <c r="E1080" s="18"/>
      <c r="F1080" s="18"/>
      <c r="G1080" s="8"/>
      <c r="H1080" s="8"/>
      <c r="I1080" s="8"/>
      <c r="J1080" s="8"/>
      <c r="K1080" s="10" t="str">
        <f aca="false">IF(A1080="","",IF(ABS(SUMIFS($E$9:$E$2008,$A$9:$A$2008,A1080)-SUMIFS($F$9:$F$2008,$A$9:$A$2008,A1080))&lt;0.5,"Yes","No"))</f>
        <v/>
      </c>
      <c r="L1080" s="10" t="str">
        <f aca="false">IF(A1080="","",IF(IF(K1080="No","Does not balance | ","")&amp;IF(I1080="","Not approved | ",IF(UPPER(TRIM(H1080))=UPPER(TRIM(I1080)),"Self-approved | ",""))&amp;IF(J1080="","No support | ","")&amp;IF(WEEKDAY(B1080,2)&gt;5,"Weekend posting | ","")&amp;IF(COUNTIF(Settings!$A$14:$A$43,B1080)&gt;0,"Holiday posting | ","")&amp;IF(B1080&gt;Settings!$C$8,"Posted after close | ","")&amp;IF(OR(B1080&lt;Settings!$C$6,B1080&gt;Settings!$C$7),"Outside period | ","")&amp;IF(COUNTIF(Settings!$E$14:$E$43,C1080&amp;"")&gt;0,"Sensitive account | ","")&amp;IF(AND(MAX(N(E1080),N(F1080))&gt;=Settings!$C$9,MOD(MAX(N(E1080),N(F1080)),Settings!$C$10)=0),"Round amount | ","")="","",LEFT(IF(K1080="No","Does not balance | ","")&amp;IF(I1080="","Not approved | ",IF(UPPER(TRIM(H1080))=UPPER(TRIM(I1080)),"Self-approved | ",""))&amp;IF(J1080="","No support | ","")&amp;IF(WEEKDAY(B1080,2)&gt;5,"Weekend posting | ","")&amp;IF(COUNTIF(Settings!$A$14:$A$43,B1080)&gt;0,"Holiday posting | ","")&amp;IF(B1080&gt;Settings!$C$8,"Posted after close | ","")&amp;IF(OR(B1080&lt;Settings!$C$6,B1080&gt;Settings!$C$7),"Outside period | ","")&amp;IF(COUNTIF(Settings!$E$14:$E$43,C1080&amp;"")&gt;0,"Sensitive account | ","")&amp;IF(AND(MAX(N(E1080),N(F1080))&gt;=Settings!$C$9,MOD(MAX(N(E1080),N(F1080)),Settings!$C$10)=0),"Round amount | ",""),LEN(IF(K1080="No","Does not balance | ","")&amp;IF(I1080="","Not approved | ",IF(UPPER(TRIM(H1080))=UPPER(TRIM(I1080)),"Self-approved | ",""))&amp;IF(J1080="","No support | ","")&amp;IF(WEEKDAY(B1080,2)&gt;5,"Weekend posting | ","")&amp;IF(COUNTIF(Settings!$A$14:$A$43,B1080)&gt;0,"Holiday posting | ","")&amp;IF(B1080&gt;Settings!$C$8,"Posted after close | ","")&amp;IF(OR(B1080&lt;Settings!$C$6,B1080&gt;Settings!$C$7),"Outside period | ","")&amp;IF(COUNTIF(Settings!$E$14:$E$43,C1080&amp;"")&gt;0,"Sensitive account | ","")&amp;IF(AND(MAX(N(E1080),N(F1080))&gt;=Settings!$C$9,MOD(MAX(N(E1080),N(F1080)),Settings!$C$10)=0),"Round amount | ",""))-3)))</f>
        <v/>
      </c>
      <c r="M1080" s="21" t="str">
        <f aca="false">IF(A1080="","",IF(COUNTIF($A$9:A1080,A1080)=1,MAX($M$8:M1079)+1,""))</f>
        <v/>
      </c>
    </row>
    <row r="1081" customFormat="false" ht="15" hidden="false" customHeight="false" outlineLevel="0" collapsed="false">
      <c r="A1081" s="8"/>
      <c r="B1081" s="17"/>
      <c r="C1081" s="19"/>
      <c r="D1081" s="8"/>
      <c r="E1081" s="18"/>
      <c r="F1081" s="18"/>
      <c r="G1081" s="8"/>
      <c r="H1081" s="8"/>
      <c r="I1081" s="8"/>
      <c r="J1081" s="8"/>
      <c r="K1081" s="10" t="str">
        <f aca="false">IF(A1081="","",IF(ABS(SUMIFS($E$9:$E$2008,$A$9:$A$2008,A1081)-SUMIFS($F$9:$F$2008,$A$9:$A$2008,A1081))&lt;0.5,"Yes","No"))</f>
        <v/>
      </c>
      <c r="L1081" s="10" t="str">
        <f aca="false">IF(A1081="","",IF(IF(K1081="No","Does not balance | ","")&amp;IF(I1081="","Not approved | ",IF(UPPER(TRIM(H1081))=UPPER(TRIM(I1081)),"Self-approved | ",""))&amp;IF(J1081="","No support | ","")&amp;IF(WEEKDAY(B1081,2)&gt;5,"Weekend posting | ","")&amp;IF(COUNTIF(Settings!$A$14:$A$43,B1081)&gt;0,"Holiday posting | ","")&amp;IF(B1081&gt;Settings!$C$8,"Posted after close | ","")&amp;IF(OR(B1081&lt;Settings!$C$6,B1081&gt;Settings!$C$7),"Outside period | ","")&amp;IF(COUNTIF(Settings!$E$14:$E$43,C1081&amp;"")&gt;0,"Sensitive account | ","")&amp;IF(AND(MAX(N(E1081),N(F1081))&gt;=Settings!$C$9,MOD(MAX(N(E1081),N(F1081)),Settings!$C$10)=0),"Round amount | ","")="","",LEFT(IF(K1081="No","Does not balance | ","")&amp;IF(I1081="","Not approved | ",IF(UPPER(TRIM(H1081))=UPPER(TRIM(I1081)),"Self-approved | ",""))&amp;IF(J1081="","No support | ","")&amp;IF(WEEKDAY(B1081,2)&gt;5,"Weekend posting | ","")&amp;IF(COUNTIF(Settings!$A$14:$A$43,B1081)&gt;0,"Holiday posting | ","")&amp;IF(B1081&gt;Settings!$C$8,"Posted after close | ","")&amp;IF(OR(B1081&lt;Settings!$C$6,B1081&gt;Settings!$C$7),"Outside period | ","")&amp;IF(COUNTIF(Settings!$E$14:$E$43,C1081&amp;"")&gt;0,"Sensitive account | ","")&amp;IF(AND(MAX(N(E1081),N(F1081))&gt;=Settings!$C$9,MOD(MAX(N(E1081),N(F1081)),Settings!$C$10)=0),"Round amount | ",""),LEN(IF(K1081="No","Does not balance | ","")&amp;IF(I1081="","Not approved | ",IF(UPPER(TRIM(H1081))=UPPER(TRIM(I1081)),"Self-approved | ",""))&amp;IF(J1081="","No support | ","")&amp;IF(WEEKDAY(B1081,2)&gt;5,"Weekend posting | ","")&amp;IF(COUNTIF(Settings!$A$14:$A$43,B1081)&gt;0,"Holiday posting | ","")&amp;IF(B1081&gt;Settings!$C$8,"Posted after close | ","")&amp;IF(OR(B1081&lt;Settings!$C$6,B1081&gt;Settings!$C$7),"Outside period | ","")&amp;IF(COUNTIF(Settings!$E$14:$E$43,C1081&amp;"")&gt;0,"Sensitive account | ","")&amp;IF(AND(MAX(N(E1081),N(F1081))&gt;=Settings!$C$9,MOD(MAX(N(E1081),N(F1081)),Settings!$C$10)=0),"Round amount | ",""))-3)))</f>
        <v/>
      </c>
      <c r="M1081" s="21" t="str">
        <f aca="false">IF(A1081="","",IF(COUNTIF($A$9:A1081,A1081)=1,MAX($M$8:M1080)+1,""))</f>
        <v/>
      </c>
    </row>
    <row r="1082" customFormat="false" ht="15" hidden="false" customHeight="false" outlineLevel="0" collapsed="false">
      <c r="A1082" s="8"/>
      <c r="B1082" s="17"/>
      <c r="C1082" s="19"/>
      <c r="D1082" s="8"/>
      <c r="E1082" s="18"/>
      <c r="F1082" s="18"/>
      <c r="G1082" s="8"/>
      <c r="H1082" s="8"/>
      <c r="I1082" s="8"/>
      <c r="J1082" s="8"/>
      <c r="K1082" s="10" t="str">
        <f aca="false">IF(A1082="","",IF(ABS(SUMIFS($E$9:$E$2008,$A$9:$A$2008,A1082)-SUMIFS($F$9:$F$2008,$A$9:$A$2008,A1082))&lt;0.5,"Yes","No"))</f>
        <v/>
      </c>
      <c r="L1082" s="10" t="str">
        <f aca="false">IF(A1082="","",IF(IF(K1082="No","Does not balance | ","")&amp;IF(I1082="","Not approved | ",IF(UPPER(TRIM(H1082))=UPPER(TRIM(I1082)),"Self-approved | ",""))&amp;IF(J1082="","No support | ","")&amp;IF(WEEKDAY(B1082,2)&gt;5,"Weekend posting | ","")&amp;IF(COUNTIF(Settings!$A$14:$A$43,B1082)&gt;0,"Holiday posting | ","")&amp;IF(B1082&gt;Settings!$C$8,"Posted after close | ","")&amp;IF(OR(B1082&lt;Settings!$C$6,B1082&gt;Settings!$C$7),"Outside period | ","")&amp;IF(COUNTIF(Settings!$E$14:$E$43,C1082&amp;"")&gt;0,"Sensitive account | ","")&amp;IF(AND(MAX(N(E1082),N(F1082))&gt;=Settings!$C$9,MOD(MAX(N(E1082),N(F1082)),Settings!$C$10)=0),"Round amount | ","")="","",LEFT(IF(K1082="No","Does not balance | ","")&amp;IF(I1082="","Not approved | ",IF(UPPER(TRIM(H1082))=UPPER(TRIM(I1082)),"Self-approved | ",""))&amp;IF(J1082="","No support | ","")&amp;IF(WEEKDAY(B1082,2)&gt;5,"Weekend posting | ","")&amp;IF(COUNTIF(Settings!$A$14:$A$43,B1082)&gt;0,"Holiday posting | ","")&amp;IF(B1082&gt;Settings!$C$8,"Posted after close | ","")&amp;IF(OR(B1082&lt;Settings!$C$6,B1082&gt;Settings!$C$7),"Outside period | ","")&amp;IF(COUNTIF(Settings!$E$14:$E$43,C1082&amp;"")&gt;0,"Sensitive account | ","")&amp;IF(AND(MAX(N(E1082),N(F1082))&gt;=Settings!$C$9,MOD(MAX(N(E1082),N(F1082)),Settings!$C$10)=0),"Round amount | ",""),LEN(IF(K1082="No","Does not balance | ","")&amp;IF(I1082="","Not approved | ",IF(UPPER(TRIM(H1082))=UPPER(TRIM(I1082)),"Self-approved | ",""))&amp;IF(J1082="","No support | ","")&amp;IF(WEEKDAY(B1082,2)&gt;5,"Weekend posting | ","")&amp;IF(COUNTIF(Settings!$A$14:$A$43,B1082)&gt;0,"Holiday posting | ","")&amp;IF(B1082&gt;Settings!$C$8,"Posted after close | ","")&amp;IF(OR(B1082&lt;Settings!$C$6,B1082&gt;Settings!$C$7),"Outside period | ","")&amp;IF(COUNTIF(Settings!$E$14:$E$43,C1082&amp;"")&gt;0,"Sensitive account | ","")&amp;IF(AND(MAX(N(E1082),N(F1082))&gt;=Settings!$C$9,MOD(MAX(N(E1082),N(F1082)),Settings!$C$10)=0),"Round amount | ",""))-3)))</f>
        <v/>
      </c>
      <c r="M1082" s="21" t="str">
        <f aca="false">IF(A1082="","",IF(COUNTIF($A$9:A1082,A1082)=1,MAX($M$8:M1081)+1,""))</f>
        <v/>
      </c>
    </row>
    <row r="1083" customFormat="false" ht="15" hidden="false" customHeight="false" outlineLevel="0" collapsed="false">
      <c r="A1083" s="8"/>
      <c r="B1083" s="17"/>
      <c r="C1083" s="19"/>
      <c r="D1083" s="8"/>
      <c r="E1083" s="18"/>
      <c r="F1083" s="18"/>
      <c r="G1083" s="8"/>
      <c r="H1083" s="8"/>
      <c r="I1083" s="8"/>
      <c r="J1083" s="8"/>
      <c r="K1083" s="10" t="str">
        <f aca="false">IF(A1083="","",IF(ABS(SUMIFS($E$9:$E$2008,$A$9:$A$2008,A1083)-SUMIFS($F$9:$F$2008,$A$9:$A$2008,A1083))&lt;0.5,"Yes","No"))</f>
        <v/>
      </c>
      <c r="L1083" s="10" t="str">
        <f aca="false">IF(A1083="","",IF(IF(K1083="No","Does not balance | ","")&amp;IF(I1083="","Not approved | ",IF(UPPER(TRIM(H1083))=UPPER(TRIM(I1083)),"Self-approved | ",""))&amp;IF(J1083="","No support | ","")&amp;IF(WEEKDAY(B1083,2)&gt;5,"Weekend posting | ","")&amp;IF(COUNTIF(Settings!$A$14:$A$43,B1083)&gt;0,"Holiday posting | ","")&amp;IF(B1083&gt;Settings!$C$8,"Posted after close | ","")&amp;IF(OR(B1083&lt;Settings!$C$6,B1083&gt;Settings!$C$7),"Outside period | ","")&amp;IF(COUNTIF(Settings!$E$14:$E$43,C1083&amp;"")&gt;0,"Sensitive account | ","")&amp;IF(AND(MAX(N(E1083),N(F1083))&gt;=Settings!$C$9,MOD(MAX(N(E1083),N(F1083)),Settings!$C$10)=0),"Round amount | ","")="","",LEFT(IF(K1083="No","Does not balance | ","")&amp;IF(I1083="","Not approved | ",IF(UPPER(TRIM(H1083))=UPPER(TRIM(I1083)),"Self-approved | ",""))&amp;IF(J1083="","No support | ","")&amp;IF(WEEKDAY(B1083,2)&gt;5,"Weekend posting | ","")&amp;IF(COUNTIF(Settings!$A$14:$A$43,B1083)&gt;0,"Holiday posting | ","")&amp;IF(B1083&gt;Settings!$C$8,"Posted after close | ","")&amp;IF(OR(B1083&lt;Settings!$C$6,B1083&gt;Settings!$C$7),"Outside period | ","")&amp;IF(COUNTIF(Settings!$E$14:$E$43,C1083&amp;"")&gt;0,"Sensitive account | ","")&amp;IF(AND(MAX(N(E1083),N(F1083))&gt;=Settings!$C$9,MOD(MAX(N(E1083),N(F1083)),Settings!$C$10)=0),"Round amount | ",""),LEN(IF(K1083="No","Does not balance | ","")&amp;IF(I1083="","Not approved | ",IF(UPPER(TRIM(H1083))=UPPER(TRIM(I1083)),"Self-approved | ",""))&amp;IF(J1083="","No support | ","")&amp;IF(WEEKDAY(B1083,2)&gt;5,"Weekend posting | ","")&amp;IF(COUNTIF(Settings!$A$14:$A$43,B1083)&gt;0,"Holiday posting | ","")&amp;IF(B1083&gt;Settings!$C$8,"Posted after close | ","")&amp;IF(OR(B1083&lt;Settings!$C$6,B1083&gt;Settings!$C$7),"Outside period | ","")&amp;IF(COUNTIF(Settings!$E$14:$E$43,C1083&amp;"")&gt;0,"Sensitive account | ","")&amp;IF(AND(MAX(N(E1083),N(F1083))&gt;=Settings!$C$9,MOD(MAX(N(E1083),N(F1083)),Settings!$C$10)=0),"Round amount | ",""))-3)))</f>
        <v/>
      </c>
      <c r="M1083" s="21" t="str">
        <f aca="false">IF(A1083="","",IF(COUNTIF($A$9:A1083,A1083)=1,MAX($M$8:M1082)+1,""))</f>
        <v/>
      </c>
    </row>
    <row r="1084" customFormat="false" ht="15" hidden="false" customHeight="false" outlineLevel="0" collapsed="false">
      <c r="A1084" s="8"/>
      <c r="B1084" s="17"/>
      <c r="C1084" s="19"/>
      <c r="D1084" s="8"/>
      <c r="E1084" s="18"/>
      <c r="F1084" s="18"/>
      <c r="G1084" s="8"/>
      <c r="H1084" s="8"/>
      <c r="I1084" s="8"/>
      <c r="J1084" s="8"/>
      <c r="K1084" s="10" t="str">
        <f aca="false">IF(A1084="","",IF(ABS(SUMIFS($E$9:$E$2008,$A$9:$A$2008,A1084)-SUMIFS($F$9:$F$2008,$A$9:$A$2008,A1084))&lt;0.5,"Yes","No"))</f>
        <v/>
      </c>
      <c r="L1084" s="10" t="str">
        <f aca="false">IF(A1084="","",IF(IF(K1084="No","Does not balance | ","")&amp;IF(I1084="","Not approved | ",IF(UPPER(TRIM(H1084))=UPPER(TRIM(I1084)),"Self-approved | ",""))&amp;IF(J1084="","No support | ","")&amp;IF(WEEKDAY(B1084,2)&gt;5,"Weekend posting | ","")&amp;IF(COUNTIF(Settings!$A$14:$A$43,B1084)&gt;0,"Holiday posting | ","")&amp;IF(B1084&gt;Settings!$C$8,"Posted after close | ","")&amp;IF(OR(B1084&lt;Settings!$C$6,B1084&gt;Settings!$C$7),"Outside period | ","")&amp;IF(COUNTIF(Settings!$E$14:$E$43,C1084&amp;"")&gt;0,"Sensitive account | ","")&amp;IF(AND(MAX(N(E1084),N(F1084))&gt;=Settings!$C$9,MOD(MAX(N(E1084),N(F1084)),Settings!$C$10)=0),"Round amount | ","")="","",LEFT(IF(K1084="No","Does not balance | ","")&amp;IF(I1084="","Not approved | ",IF(UPPER(TRIM(H1084))=UPPER(TRIM(I1084)),"Self-approved | ",""))&amp;IF(J1084="","No support | ","")&amp;IF(WEEKDAY(B1084,2)&gt;5,"Weekend posting | ","")&amp;IF(COUNTIF(Settings!$A$14:$A$43,B1084)&gt;0,"Holiday posting | ","")&amp;IF(B1084&gt;Settings!$C$8,"Posted after close | ","")&amp;IF(OR(B1084&lt;Settings!$C$6,B1084&gt;Settings!$C$7),"Outside period | ","")&amp;IF(COUNTIF(Settings!$E$14:$E$43,C1084&amp;"")&gt;0,"Sensitive account | ","")&amp;IF(AND(MAX(N(E1084),N(F1084))&gt;=Settings!$C$9,MOD(MAX(N(E1084),N(F1084)),Settings!$C$10)=0),"Round amount | ",""),LEN(IF(K1084="No","Does not balance | ","")&amp;IF(I1084="","Not approved | ",IF(UPPER(TRIM(H1084))=UPPER(TRIM(I1084)),"Self-approved | ",""))&amp;IF(J1084="","No support | ","")&amp;IF(WEEKDAY(B1084,2)&gt;5,"Weekend posting | ","")&amp;IF(COUNTIF(Settings!$A$14:$A$43,B1084)&gt;0,"Holiday posting | ","")&amp;IF(B1084&gt;Settings!$C$8,"Posted after close | ","")&amp;IF(OR(B1084&lt;Settings!$C$6,B1084&gt;Settings!$C$7),"Outside period | ","")&amp;IF(COUNTIF(Settings!$E$14:$E$43,C1084&amp;"")&gt;0,"Sensitive account | ","")&amp;IF(AND(MAX(N(E1084),N(F1084))&gt;=Settings!$C$9,MOD(MAX(N(E1084),N(F1084)),Settings!$C$10)=0),"Round amount | ",""))-3)))</f>
        <v/>
      </c>
      <c r="M1084" s="21" t="str">
        <f aca="false">IF(A1084="","",IF(COUNTIF($A$9:A1084,A1084)=1,MAX($M$8:M1083)+1,""))</f>
        <v/>
      </c>
    </row>
    <row r="1085" customFormat="false" ht="15" hidden="false" customHeight="false" outlineLevel="0" collapsed="false">
      <c r="A1085" s="8"/>
      <c r="B1085" s="17"/>
      <c r="C1085" s="19"/>
      <c r="D1085" s="8"/>
      <c r="E1085" s="18"/>
      <c r="F1085" s="18"/>
      <c r="G1085" s="8"/>
      <c r="H1085" s="8"/>
      <c r="I1085" s="8"/>
      <c r="J1085" s="8"/>
      <c r="K1085" s="10" t="str">
        <f aca="false">IF(A1085="","",IF(ABS(SUMIFS($E$9:$E$2008,$A$9:$A$2008,A1085)-SUMIFS($F$9:$F$2008,$A$9:$A$2008,A1085))&lt;0.5,"Yes","No"))</f>
        <v/>
      </c>
      <c r="L1085" s="10" t="str">
        <f aca="false">IF(A1085="","",IF(IF(K1085="No","Does not balance | ","")&amp;IF(I1085="","Not approved | ",IF(UPPER(TRIM(H1085))=UPPER(TRIM(I1085)),"Self-approved | ",""))&amp;IF(J1085="","No support | ","")&amp;IF(WEEKDAY(B1085,2)&gt;5,"Weekend posting | ","")&amp;IF(COUNTIF(Settings!$A$14:$A$43,B1085)&gt;0,"Holiday posting | ","")&amp;IF(B1085&gt;Settings!$C$8,"Posted after close | ","")&amp;IF(OR(B1085&lt;Settings!$C$6,B1085&gt;Settings!$C$7),"Outside period | ","")&amp;IF(COUNTIF(Settings!$E$14:$E$43,C1085&amp;"")&gt;0,"Sensitive account | ","")&amp;IF(AND(MAX(N(E1085),N(F1085))&gt;=Settings!$C$9,MOD(MAX(N(E1085),N(F1085)),Settings!$C$10)=0),"Round amount | ","")="","",LEFT(IF(K1085="No","Does not balance | ","")&amp;IF(I1085="","Not approved | ",IF(UPPER(TRIM(H1085))=UPPER(TRIM(I1085)),"Self-approved | ",""))&amp;IF(J1085="","No support | ","")&amp;IF(WEEKDAY(B1085,2)&gt;5,"Weekend posting | ","")&amp;IF(COUNTIF(Settings!$A$14:$A$43,B1085)&gt;0,"Holiday posting | ","")&amp;IF(B1085&gt;Settings!$C$8,"Posted after close | ","")&amp;IF(OR(B1085&lt;Settings!$C$6,B1085&gt;Settings!$C$7),"Outside period | ","")&amp;IF(COUNTIF(Settings!$E$14:$E$43,C1085&amp;"")&gt;0,"Sensitive account | ","")&amp;IF(AND(MAX(N(E1085),N(F1085))&gt;=Settings!$C$9,MOD(MAX(N(E1085),N(F1085)),Settings!$C$10)=0),"Round amount | ",""),LEN(IF(K1085="No","Does not balance | ","")&amp;IF(I1085="","Not approved | ",IF(UPPER(TRIM(H1085))=UPPER(TRIM(I1085)),"Self-approved | ",""))&amp;IF(J1085="","No support | ","")&amp;IF(WEEKDAY(B1085,2)&gt;5,"Weekend posting | ","")&amp;IF(COUNTIF(Settings!$A$14:$A$43,B1085)&gt;0,"Holiday posting | ","")&amp;IF(B1085&gt;Settings!$C$8,"Posted after close | ","")&amp;IF(OR(B1085&lt;Settings!$C$6,B1085&gt;Settings!$C$7),"Outside period | ","")&amp;IF(COUNTIF(Settings!$E$14:$E$43,C1085&amp;"")&gt;0,"Sensitive account | ","")&amp;IF(AND(MAX(N(E1085),N(F1085))&gt;=Settings!$C$9,MOD(MAX(N(E1085),N(F1085)),Settings!$C$10)=0),"Round amount | ",""))-3)))</f>
        <v/>
      </c>
      <c r="M1085" s="21" t="str">
        <f aca="false">IF(A1085="","",IF(COUNTIF($A$9:A1085,A1085)=1,MAX($M$8:M1084)+1,""))</f>
        <v/>
      </c>
    </row>
    <row r="1086" customFormat="false" ht="15" hidden="false" customHeight="false" outlineLevel="0" collapsed="false">
      <c r="A1086" s="8"/>
      <c r="B1086" s="17"/>
      <c r="C1086" s="19"/>
      <c r="D1086" s="8"/>
      <c r="E1086" s="18"/>
      <c r="F1086" s="18"/>
      <c r="G1086" s="8"/>
      <c r="H1086" s="8"/>
      <c r="I1086" s="8"/>
      <c r="J1086" s="8"/>
      <c r="K1086" s="10" t="str">
        <f aca="false">IF(A1086="","",IF(ABS(SUMIFS($E$9:$E$2008,$A$9:$A$2008,A1086)-SUMIFS($F$9:$F$2008,$A$9:$A$2008,A1086))&lt;0.5,"Yes","No"))</f>
        <v/>
      </c>
      <c r="L1086" s="10" t="str">
        <f aca="false">IF(A1086="","",IF(IF(K1086="No","Does not balance | ","")&amp;IF(I1086="","Not approved | ",IF(UPPER(TRIM(H1086))=UPPER(TRIM(I1086)),"Self-approved | ",""))&amp;IF(J1086="","No support | ","")&amp;IF(WEEKDAY(B1086,2)&gt;5,"Weekend posting | ","")&amp;IF(COUNTIF(Settings!$A$14:$A$43,B1086)&gt;0,"Holiday posting | ","")&amp;IF(B1086&gt;Settings!$C$8,"Posted after close | ","")&amp;IF(OR(B1086&lt;Settings!$C$6,B1086&gt;Settings!$C$7),"Outside period | ","")&amp;IF(COUNTIF(Settings!$E$14:$E$43,C1086&amp;"")&gt;0,"Sensitive account | ","")&amp;IF(AND(MAX(N(E1086),N(F1086))&gt;=Settings!$C$9,MOD(MAX(N(E1086),N(F1086)),Settings!$C$10)=0),"Round amount | ","")="","",LEFT(IF(K1086="No","Does not balance | ","")&amp;IF(I1086="","Not approved | ",IF(UPPER(TRIM(H1086))=UPPER(TRIM(I1086)),"Self-approved | ",""))&amp;IF(J1086="","No support | ","")&amp;IF(WEEKDAY(B1086,2)&gt;5,"Weekend posting | ","")&amp;IF(COUNTIF(Settings!$A$14:$A$43,B1086)&gt;0,"Holiday posting | ","")&amp;IF(B1086&gt;Settings!$C$8,"Posted after close | ","")&amp;IF(OR(B1086&lt;Settings!$C$6,B1086&gt;Settings!$C$7),"Outside period | ","")&amp;IF(COUNTIF(Settings!$E$14:$E$43,C1086&amp;"")&gt;0,"Sensitive account | ","")&amp;IF(AND(MAX(N(E1086),N(F1086))&gt;=Settings!$C$9,MOD(MAX(N(E1086),N(F1086)),Settings!$C$10)=0),"Round amount | ",""),LEN(IF(K1086="No","Does not balance | ","")&amp;IF(I1086="","Not approved | ",IF(UPPER(TRIM(H1086))=UPPER(TRIM(I1086)),"Self-approved | ",""))&amp;IF(J1086="","No support | ","")&amp;IF(WEEKDAY(B1086,2)&gt;5,"Weekend posting | ","")&amp;IF(COUNTIF(Settings!$A$14:$A$43,B1086)&gt;0,"Holiday posting | ","")&amp;IF(B1086&gt;Settings!$C$8,"Posted after close | ","")&amp;IF(OR(B1086&lt;Settings!$C$6,B1086&gt;Settings!$C$7),"Outside period | ","")&amp;IF(COUNTIF(Settings!$E$14:$E$43,C1086&amp;"")&gt;0,"Sensitive account | ","")&amp;IF(AND(MAX(N(E1086),N(F1086))&gt;=Settings!$C$9,MOD(MAX(N(E1086),N(F1086)),Settings!$C$10)=0),"Round amount | ",""))-3)))</f>
        <v/>
      </c>
      <c r="M1086" s="21" t="str">
        <f aca="false">IF(A1086="","",IF(COUNTIF($A$9:A1086,A1086)=1,MAX($M$8:M1085)+1,""))</f>
        <v/>
      </c>
    </row>
    <row r="1087" customFormat="false" ht="15" hidden="false" customHeight="false" outlineLevel="0" collapsed="false">
      <c r="A1087" s="8"/>
      <c r="B1087" s="17"/>
      <c r="C1087" s="19"/>
      <c r="D1087" s="8"/>
      <c r="E1087" s="18"/>
      <c r="F1087" s="18"/>
      <c r="G1087" s="8"/>
      <c r="H1087" s="8"/>
      <c r="I1087" s="8"/>
      <c r="J1087" s="8"/>
      <c r="K1087" s="10" t="str">
        <f aca="false">IF(A1087="","",IF(ABS(SUMIFS($E$9:$E$2008,$A$9:$A$2008,A1087)-SUMIFS($F$9:$F$2008,$A$9:$A$2008,A1087))&lt;0.5,"Yes","No"))</f>
        <v/>
      </c>
      <c r="L1087" s="10" t="str">
        <f aca="false">IF(A1087="","",IF(IF(K1087="No","Does not balance | ","")&amp;IF(I1087="","Not approved | ",IF(UPPER(TRIM(H1087))=UPPER(TRIM(I1087)),"Self-approved | ",""))&amp;IF(J1087="","No support | ","")&amp;IF(WEEKDAY(B1087,2)&gt;5,"Weekend posting | ","")&amp;IF(COUNTIF(Settings!$A$14:$A$43,B1087)&gt;0,"Holiday posting | ","")&amp;IF(B1087&gt;Settings!$C$8,"Posted after close | ","")&amp;IF(OR(B1087&lt;Settings!$C$6,B1087&gt;Settings!$C$7),"Outside period | ","")&amp;IF(COUNTIF(Settings!$E$14:$E$43,C1087&amp;"")&gt;0,"Sensitive account | ","")&amp;IF(AND(MAX(N(E1087),N(F1087))&gt;=Settings!$C$9,MOD(MAX(N(E1087),N(F1087)),Settings!$C$10)=0),"Round amount | ","")="","",LEFT(IF(K1087="No","Does not balance | ","")&amp;IF(I1087="","Not approved | ",IF(UPPER(TRIM(H1087))=UPPER(TRIM(I1087)),"Self-approved | ",""))&amp;IF(J1087="","No support | ","")&amp;IF(WEEKDAY(B1087,2)&gt;5,"Weekend posting | ","")&amp;IF(COUNTIF(Settings!$A$14:$A$43,B1087)&gt;0,"Holiday posting | ","")&amp;IF(B1087&gt;Settings!$C$8,"Posted after close | ","")&amp;IF(OR(B1087&lt;Settings!$C$6,B1087&gt;Settings!$C$7),"Outside period | ","")&amp;IF(COUNTIF(Settings!$E$14:$E$43,C1087&amp;"")&gt;0,"Sensitive account | ","")&amp;IF(AND(MAX(N(E1087),N(F1087))&gt;=Settings!$C$9,MOD(MAX(N(E1087),N(F1087)),Settings!$C$10)=0),"Round amount | ",""),LEN(IF(K1087="No","Does not balance | ","")&amp;IF(I1087="","Not approved | ",IF(UPPER(TRIM(H1087))=UPPER(TRIM(I1087)),"Self-approved | ",""))&amp;IF(J1087="","No support | ","")&amp;IF(WEEKDAY(B1087,2)&gt;5,"Weekend posting | ","")&amp;IF(COUNTIF(Settings!$A$14:$A$43,B1087)&gt;0,"Holiday posting | ","")&amp;IF(B1087&gt;Settings!$C$8,"Posted after close | ","")&amp;IF(OR(B1087&lt;Settings!$C$6,B1087&gt;Settings!$C$7),"Outside period | ","")&amp;IF(COUNTIF(Settings!$E$14:$E$43,C1087&amp;"")&gt;0,"Sensitive account | ","")&amp;IF(AND(MAX(N(E1087),N(F1087))&gt;=Settings!$C$9,MOD(MAX(N(E1087),N(F1087)),Settings!$C$10)=0),"Round amount | ",""))-3)))</f>
        <v/>
      </c>
      <c r="M1087" s="21" t="str">
        <f aca="false">IF(A1087="","",IF(COUNTIF($A$9:A1087,A1087)=1,MAX($M$8:M1086)+1,""))</f>
        <v/>
      </c>
    </row>
    <row r="1088" customFormat="false" ht="15" hidden="false" customHeight="false" outlineLevel="0" collapsed="false">
      <c r="A1088" s="8"/>
      <c r="B1088" s="17"/>
      <c r="C1088" s="19"/>
      <c r="D1088" s="8"/>
      <c r="E1088" s="18"/>
      <c r="F1088" s="18"/>
      <c r="G1088" s="8"/>
      <c r="H1088" s="8"/>
      <c r="I1088" s="8"/>
      <c r="J1088" s="8"/>
      <c r="K1088" s="10" t="str">
        <f aca="false">IF(A1088="","",IF(ABS(SUMIFS($E$9:$E$2008,$A$9:$A$2008,A1088)-SUMIFS($F$9:$F$2008,$A$9:$A$2008,A1088))&lt;0.5,"Yes","No"))</f>
        <v/>
      </c>
      <c r="L1088" s="10" t="str">
        <f aca="false">IF(A1088="","",IF(IF(K1088="No","Does not balance | ","")&amp;IF(I1088="","Not approved | ",IF(UPPER(TRIM(H1088))=UPPER(TRIM(I1088)),"Self-approved | ",""))&amp;IF(J1088="","No support | ","")&amp;IF(WEEKDAY(B1088,2)&gt;5,"Weekend posting | ","")&amp;IF(COUNTIF(Settings!$A$14:$A$43,B1088)&gt;0,"Holiday posting | ","")&amp;IF(B1088&gt;Settings!$C$8,"Posted after close | ","")&amp;IF(OR(B1088&lt;Settings!$C$6,B1088&gt;Settings!$C$7),"Outside period | ","")&amp;IF(COUNTIF(Settings!$E$14:$E$43,C1088&amp;"")&gt;0,"Sensitive account | ","")&amp;IF(AND(MAX(N(E1088),N(F1088))&gt;=Settings!$C$9,MOD(MAX(N(E1088),N(F1088)),Settings!$C$10)=0),"Round amount | ","")="","",LEFT(IF(K1088="No","Does not balance | ","")&amp;IF(I1088="","Not approved | ",IF(UPPER(TRIM(H1088))=UPPER(TRIM(I1088)),"Self-approved | ",""))&amp;IF(J1088="","No support | ","")&amp;IF(WEEKDAY(B1088,2)&gt;5,"Weekend posting | ","")&amp;IF(COUNTIF(Settings!$A$14:$A$43,B1088)&gt;0,"Holiday posting | ","")&amp;IF(B1088&gt;Settings!$C$8,"Posted after close | ","")&amp;IF(OR(B1088&lt;Settings!$C$6,B1088&gt;Settings!$C$7),"Outside period | ","")&amp;IF(COUNTIF(Settings!$E$14:$E$43,C1088&amp;"")&gt;0,"Sensitive account | ","")&amp;IF(AND(MAX(N(E1088),N(F1088))&gt;=Settings!$C$9,MOD(MAX(N(E1088),N(F1088)),Settings!$C$10)=0),"Round amount | ",""),LEN(IF(K1088="No","Does not balance | ","")&amp;IF(I1088="","Not approved | ",IF(UPPER(TRIM(H1088))=UPPER(TRIM(I1088)),"Self-approved | ",""))&amp;IF(J1088="","No support | ","")&amp;IF(WEEKDAY(B1088,2)&gt;5,"Weekend posting | ","")&amp;IF(COUNTIF(Settings!$A$14:$A$43,B1088)&gt;0,"Holiday posting | ","")&amp;IF(B1088&gt;Settings!$C$8,"Posted after close | ","")&amp;IF(OR(B1088&lt;Settings!$C$6,B1088&gt;Settings!$C$7),"Outside period | ","")&amp;IF(COUNTIF(Settings!$E$14:$E$43,C1088&amp;"")&gt;0,"Sensitive account | ","")&amp;IF(AND(MAX(N(E1088),N(F1088))&gt;=Settings!$C$9,MOD(MAX(N(E1088),N(F1088)),Settings!$C$10)=0),"Round amount | ",""))-3)))</f>
        <v/>
      </c>
      <c r="M1088" s="21" t="str">
        <f aca="false">IF(A1088="","",IF(COUNTIF($A$9:A1088,A1088)=1,MAX($M$8:M1087)+1,""))</f>
        <v/>
      </c>
    </row>
    <row r="1089" customFormat="false" ht="15" hidden="false" customHeight="false" outlineLevel="0" collapsed="false">
      <c r="A1089" s="8"/>
      <c r="B1089" s="17"/>
      <c r="C1089" s="19"/>
      <c r="D1089" s="8"/>
      <c r="E1089" s="18"/>
      <c r="F1089" s="18"/>
      <c r="G1089" s="8"/>
      <c r="H1089" s="8"/>
      <c r="I1089" s="8"/>
      <c r="J1089" s="8"/>
      <c r="K1089" s="10" t="str">
        <f aca="false">IF(A1089="","",IF(ABS(SUMIFS($E$9:$E$2008,$A$9:$A$2008,A1089)-SUMIFS($F$9:$F$2008,$A$9:$A$2008,A1089))&lt;0.5,"Yes","No"))</f>
        <v/>
      </c>
      <c r="L1089" s="10" t="str">
        <f aca="false">IF(A1089="","",IF(IF(K1089="No","Does not balance | ","")&amp;IF(I1089="","Not approved | ",IF(UPPER(TRIM(H1089))=UPPER(TRIM(I1089)),"Self-approved | ",""))&amp;IF(J1089="","No support | ","")&amp;IF(WEEKDAY(B1089,2)&gt;5,"Weekend posting | ","")&amp;IF(COUNTIF(Settings!$A$14:$A$43,B1089)&gt;0,"Holiday posting | ","")&amp;IF(B1089&gt;Settings!$C$8,"Posted after close | ","")&amp;IF(OR(B1089&lt;Settings!$C$6,B1089&gt;Settings!$C$7),"Outside period | ","")&amp;IF(COUNTIF(Settings!$E$14:$E$43,C1089&amp;"")&gt;0,"Sensitive account | ","")&amp;IF(AND(MAX(N(E1089),N(F1089))&gt;=Settings!$C$9,MOD(MAX(N(E1089),N(F1089)),Settings!$C$10)=0),"Round amount | ","")="","",LEFT(IF(K1089="No","Does not balance | ","")&amp;IF(I1089="","Not approved | ",IF(UPPER(TRIM(H1089))=UPPER(TRIM(I1089)),"Self-approved | ",""))&amp;IF(J1089="","No support | ","")&amp;IF(WEEKDAY(B1089,2)&gt;5,"Weekend posting | ","")&amp;IF(COUNTIF(Settings!$A$14:$A$43,B1089)&gt;0,"Holiday posting | ","")&amp;IF(B1089&gt;Settings!$C$8,"Posted after close | ","")&amp;IF(OR(B1089&lt;Settings!$C$6,B1089&gt;Settings!$C$7),"Outside period | ","")&amp;IF(COUNTIF(Settings!$E$14:$E$43,C1089&amp;"")&gt;0,"Sensitive account | ","")&amp;IF(AND(MAX(N(E1089),N(F1089))&gt;=Settings!$C$9,MOD(MAX(N(E1089),N(F1089)),Settings!$C$10)=0),"Round amount | ",""),LEN(IF(K1089="No","Does not balance | ","")&amp;IF(I1089="","Not approved | ",IF(UPPER(TRIM(H1089))=UPPER(TRIM(I1089)),"Self-approved | ",""))&amp;IF(J1089="","No support | ","")&amp;IF(WEEKDAY(B1089,2)&gt;5,"Weekend posting | ","")&amp;IF(COUNTIF(Settings!$A$14:$A$43,B1089)&gt;0,"Holiday posting | ","")&amp;IF(B1089&gt;Settings!$C$8,"Posted after close | ","")&amp;IF(OR(B1089&lt;Settings!$C$6,B1089&gt;Settings!$C$7),"Outside period | ","")&amp;IF(COUNTIF(Settings!$E$14:$E$43,C1089&amp;"")&gt;0,"Sensitive account | ","")&amp;IF(AND(MAX(N(E1089),N(F1089))&gt;=Settings!$C$9,MOD(MAX(N(E1089),N(F1089)),Settings!$C$10)=0),"Round amount | ",""))-3)))</f>
        <v/>
      </c>
      <c r="M1089" s="21" t="str">
        <f aca="false">IF(A1089="","",IF(COUNTIF($A$9:A1089,A1089)=1,MAX($M$8:M1088)+1,""))</f>
        <v/>
      </c>
    </row>
    <row r="1090" customFormat="false" ht="15" hidden="false" customHeight="false" outlineLevel="0" collapsed="false">
      <c r="A1090" s="8"/>
      <c r="B1090" s="17"/>
      <c r="C1090" s="19"/>
      <c r="D1090" s="8"/>
      <c r="E1090" s="18"/>
      <c r="F1090" s="18"/>
      <c r="G1090" s="8"/>
      <c r="H1090" s="8"/>
      <c r="I1090" s="8"/>
      <c r="J1090" s="8"/>
      <c r="K1090" s="10" t="str">
        <f aca="false">IF(A1090="","",IF(ABS(SUMIFS($E$9:$E$2008,$A$9:$A$2008,A1090)-SUMIFS($F$9:$F$2008,$A$9:$A$2008,A1090))&lt;0.5,"Yes","No"))</f>
        <v/>
      </c>
      <c r="L1090" s="10" t="str">
        <f aca="false">IF(A1090="","",IF(IF(K1090="No","Does not balance | ","")&amp;IF(I1090="","Not approved | ",IF(UPPER(TRIM(H1090))=UPPER(TRIM(I1090)),"Self-approved | ",""))&amp;IF(J1090="","No support | ","")&amp;IF(WEEKDAY(B1090,2)&gt;5,"Weekend posting | ","")&amp;IF(COUNTIF(Settings!$A$14:$A$43,B1090)&gt;0,"Holiday posting | ","")&amp;IF(B1090&gt;Settings!$C$8,"Posted after close | ","")&amp;IF(OR(B1090&lt;Settings!$C$6,B1090&gt;Settings!$C$7),"Outside period | ","")&amp;IF(COUNTIF(Settings!$E$14:$E$43,C1090&amp;"")&gt;0,"Sensitive account | ","")&amp;IF(AND(MAX(N(E1090),N(F1090))&gt;=Settings!$C$9,MOD(MAX(N(E1090),N(F1090)),Settings!$C$10)=0),"Round amount | ","")="","",LEFT(IF(K1090="No","Does not balance | ","")&amp;IF(I1090="","Not approved | ",IF(UPPER(TRIM(H1090))=UPPER(TRIM(I1090)),"Self-approved | ",""))&amp;IF(J1090="","No support | ","")&amp;IF(WEEKDAY(B1090,2)&gt;5,"Weekend posting | ","")&amp;IF(COUNTIF(Settings!$A$14:$A$43,B1090)&gt;0,"Holiday posting | ","")&amp;IF(B1090&gt;Settings!$C$8,"Posted after close | ","")&amp;IF(OR(B1090&lt;Settings!$C$6,B1090&gt;Settings!$C$7),"Outside period | ","")&amp;IF(COUNTIF(Settings!$E$14:$E$43,C1090&amp;"")&gt;0,"Sensitive account | ","")&amp;IF(AND(MAX(N(E1090),N(F1090))&gt;=Settings!$C$9,MOD(MAX(N(E1090),N(F1090)),Settings!$C$10)=0),"Round amount | ",""),LEN(IF(K1090="No","Does not balance | ","")&amp;IF(I1090="","Not approved | ",IF(UPPER(TRIM(H1090))=UPPER(TRIM(I1090)),"Self-approved | ",""))&amp;IF(J1090="","No support | ","")&amp;IF(WEEKDAY(B1090,2)&gt;5,"Weekend posting | ","")&amp;IF(COUNTIF(Settings!$A$14:$A$43,B1090)&gt;0,"Holiday posting | ","")&amp;IF(B1090&gt;Settings!$C$8,"Posted after close | ","")&amp;IF(OR(B1090&lt;Settings!$C$6,B1090&gt;Settings!$C$7),"Outside period | ","")&amp;IF(COUNTIF(Settings!$E$14:$E$43,C1090&amp;"")&gt;0,"Sensitive account | ","")&amp;IF(AND(MAX(N(E1090),N(F1090))&gt;=Settings!$C$9,MOD(MAX(N(E1090),N(F1090)),Settings!$C$10)=0),"Round amount | ",""))-3)))</f>
        <v/>
      </c>
      <c r="M1090" s="21" t="str">
        <f aca="false">IF(A1090="","",IF(COUNTIF($A$9:A1090,A1090)=1,MAX($M$8:M1089)+1,""))</f>
        <v/>
      </c>
    </row>
    <row r="1091" customFormat="false" ht="15" hidden="false" customHeight="false" outlineLevel="0" collapsed="false">
      <c r="A1091" s="8"/>
      <c r="B1091" s="17"/>
      <c r="C1091" s="19"/>
      <c r="D1091" s="8"/>
      <c r="E1091" s="18"/>
      <c r="F1091" s="18"/>
      <c r="G1091" s="8"/>
      <c r="H1091" s="8"/>
      <c r="I1091" s="8"/>
      <c r="J1091" s="8"/>
      <c r="K1091" s="10" t="str">
        <f aca="false">IF(A1091="","",IF(ABS(SUMIFS($E$9:$E$2008,$A$9:$A$2008,A1091)-SUMIFS($F$9:$F$2008,$A$9:$A$2008,A1091))&lt;0.5,"Yes","No"))</f>
        <v/>
      </c>
      <c r="L1091" s="10" t="str">
        <f aca="false">IF(A1091="","",IF(IF(K1091="No","Does not balance | ","")&amp;IF(I1091="","Not approved | ",IF(UPPER(TRIM(H1091))=UPPER(TRIM(I1091)),"Self-approved | ",""))&amp;IF(J1091="","No support | ","")&amp;IF(WEEKDAY(B1091,2)&gt;5,"Weekend posting | ","")&amp;IF(COUNTIF(Settings!$A$14:$A$43,B1091)&gt;0,"Holiday posting | ","")&amp;IF(B1091&gt;Settings!$C$8,"Posted after close | ","")&amp;IF(OR(B1091&lt;Settings!$C$6,B1091&gt;Settings!$C$7),"Outside period | ","")&amp;IF(COUNTIF(Settings!$E$14:$E$43,C1091&amp;"")&gt;0,"Sensitive account | ","")&amp;IF(AND(MAX(N(E1091),N(F1091))&gt;=Settings!$C$9,MOD(MAX(N(E1091),N(F1091)),Settings!$C$10)=0),"Round amount | ","")="","",LEFT(IF(K1091="No","Does not balance | ","")&amp;IF(I1091="","Not approved | ",IF(UPPER(TRIM(H1091))=UPPER(TRIM(I1091)),"Self-approved | ",""))&amp;IF(J1091="","No support | ","")&amp;IF(WEEKDAY(B1091,2)&gt;5,"Weekend posting | ","")&amp;IF(COUNTIF(Settings!$A$14:$A$43,B1091)&gt;0,"Holiday posting | ","")&amp;IF(B1091&gt;Settings!$C$8,"Posted after close | ","")&amp;IF(OR(B1091&lt;Settings!$C$6,B1091&gt;Settings!$C$7),"Outside period | ","")&amp;IF(COUNTIF(Settings!$E$14:$E$43,C1091&amp;"")&gt;0,"Sensitive account | ","")&amp;IF(AND(MAX(N(E1091),N(F1091))&gt;=Settings!$C$9,MOD(MAX(N(E1091),N(F1091)),Settings!$C$10)=0),"Round amount | ",""),LEN(IF(K1091="No","Does not balance | ","")&amp;IF(I1091="","Not approved | ",IF(UPPER(TRIM(H1091))=UPPER(TRIM(I1091)),"Self-approved | ",""))&amp;IF(J1091="","No support | ","")&amp;IF(WEEKDAY(B1091,2)&gt;5,"Weekend posting | ","")&amp;IF(COUNTIF(Settings!$A$14:$A$43,B1091)&gt;0,"Holiday posting | ","")&amp;IF(B1091&gt;Settings!$C$8,"Posted after close | ","")&amp;IF(OR(B1091&lt;Settings!$C$6,B1091&gt;Settings!$C$7),"Outside period | ","")&amp;IF(COUNTIF(Settings!$E$14:$E$43,C1091&amp;"")&gt;0,"Sensitive account | ","")&amp;IF(AND(MAX(N(E1091),N(F1091))&gt;=Settings!$C$9,MOD(MAX(N(E1091),N(F1091)),Settings!$C$10)=0),"Round amount | ",""))-3)))</f>
        <v/>
      </c>
      <c r="M1091" s="21" t="str">
        <f aca="false">IF(A1091="","",IF(COUNTIF($A$9:A1091,A1091)=1,MAX($M$8:M1090)+1,""))</f>
        <v/>
      </c>
    </row>
    <row r="1092" customFormat="false" ht="15" hidden="false" customHeight="false" outlineLevel="0" collapsed="false">
      <c r="A1092" s="8"/>
      <c r="B1092" s="17"/>
      <c r="C1092" s="19"/>
      <c r="D1092" s="8"/>
      <c r="E1092" s="18"/>
      <c r="F1092" s="18"/>
      <c r="G1092" s="8"/>
      <c r="H1092" s="8"/>
      <c r="I1092" s="8"/>
      <c r="J1092" s="8"/>
      <c r="K1092" s="10" t="str">
        <f aca="false">IF(A1092="","",IF(ABS(SUMIFS($E$9:$E$2008,$A$9:$A$2008,A1092)-SUMIFS($F$9:$F$2008,$A$9:$A$2008,A1092))&lt;0.5,"Yes","No"))</f>
        <v/>
      </c>
      <c r="L1092" s="10" t="str">
        <f aca="false">IF(A1092="","",IF(IF(K1092="No","Does not balance | ","")&amp;IF(I1092="","Not approved | ",IF(UPPER(TRIM(H1092))=UPPER(TRIM(I1092)),"Self-approved | ",""))&amp;IF(J1092="","No support | ","")&amp;IF(WEEKDAY(B1092,2)&gt;5,"Weekend posting | ","")&amp;IF(COUNTIF(Settings!$A$14:$A$43,B1092)&gt;0,"Holiday posting | ","")&amp;IF(B1092&gt;Settings!$C$8,"Posted after close | ","")&amp;IF(OR(B1092&lt;Settings!$C$6,B1092&gt;Settings!$C$7),"Outside period | ","")&amp;IF(COUNTIF(Settings!$E$14:$E$43,C1092&amp;"")&gt;0,"Sensitive account | ","")&amp;IF(AND(MAX(N(E1092),N(F1092))&gt;=Settings!$C$9,MOD(MAX(N(E1092),N(F1092)),Settings!$C$10)=0),"Round amount | ","")="","",LEFT(IF(K1092="No","Does not balance | ","")&amp;IF(I1092="","Not approved | ",IF(UPPER(TRIM(H1092))=UPPER(TRIM(I1092)),"Self-approved | ",""))&amp;IF(J1092="","No support | ","")&amp;IF(WEEKDAY(B1092,2)&gt;5,"Weekend posting | ","")&amp;IF(COUNTIF(Settings!$A$14:$A$43,B1092)&gt;0,"Holiday posting | ","")&amp;IF(B1092&gt;Settings!$C$8,"Posted after close | ","")&amp;IF(OR(B1092&lt;Settings!$C$6,B1092&gt;Settings!$C$7),"Outside period | ","")&amp;IF(COUNTIF(Settings!$E$14:$E$43,C1092&amp;"")&gt;0,"Sensitive account | ","")&amp;IF(AND(MAX(N(E1092),N(F1092))&gt;=Settings!$C$9,MOD(MAX(N(E1092),N(F1092)),Settings!$C$10)=0),"Round amount | ",""),LEN(IF(K1092="No","Does not balance | ","")&amp;IF(I1092="","Not approved | ",IF(UPPER(TRIM(H1092))=UPPER(TRIM(I1092)),"Self-approved | ",""))&amp;IF(J1092="","No support | ","")&amp;IF(WEEKDAY(B1092,2)&gt;5,"Weekend posting | ","")&amp;IF(COUNTIF(Settings!$A$14:$A$43,B1092)&gt;0,"Holiday posting | ","")&amp;IF(B1092&gt;Settings!$C$8,"Posted after close | ","")&amp;IF(OR(B1092&lt;Settings!$C$6,B1092&gt;Settings!$C$7),"Outside period | ","")&amp;IF(COUNTIF(Settings!$E$14:$E$43,C1092&amp;"")&gt;0,"Sensitive account | ","")&amp;IF(AND(MAX(N(E1092),N(F1092))&gt;=Settings!$C$9,MOD(MAX(N(E1092),N(F1092)),Settings!$C$10)=0),"Round amount | ",""))-3)))</f>
        <v/>
      </c>
      <c r="M1092" s="21" t="str">
        <f aca="false">IF(A1092="","",IF(COUNTIF($A$9:A1092,A1092)=1,MAX($M$8:M1091)+1,""))</f>
        <v/>
      </c>
    </row>
    <row r="1093" customFormat="false" ht="15" hidden="false" customHeight="false" outlineLevel="0" collapsed="false">
      <c r="A1093" s="8"/>
      <c r="B1093" s="17"/>
      <c r="C1093" s="19"/>
      <c r="D1093" s="8"/>
      <c r="E1093" s="18"/>
      <c r="F1093" s="18"/>
      <c r="G1093" s="8"/>
      <c r="H1093" s="8"/>
      <c r="I1093" s="8"/>
      <c r="J1093" s="8"/>
      <c r="K1093" s="10" t="str">
        <f aca="false">IF(A1093="","",IF(ABS(SUMIFS($E$9:$E$2008,$A$9:$A$2008,A1093)-SUMIFS($F$9:$F$2008,$A$9:$A$2008,A1093))&lt;0.5,"Yes","No"))</f>
        <v/>
      </c>
      <c r="L1093" s="10" t="str">
        <f aca="false">IF(A1093="","",IF(IF(K1093="No","Does not balance | ","")&amp;IF(I1093="","Not approved | ",IF(UPPER(TRIM(H1093))=UPPER(TRIM(I1093)),"Self-approved | ",""))&amp;IF(J1093="","No support | ","")&amp;IF(WEEKDAY(B1093,2)&gt;5,"Weekend posting | ","")&amp;IF(COUNTIF(Settings!$A$14:$A$43,B1093)&gt;0,"Holiday posting | ","")&amp;IF(B1093&gt;Settings!$C$8,"Posted after close | ","")&amp;IF(OR(B1093&lt;Settings!$C$6,B1093&gt;Settings!$C$7),"Outside period | ","")&amp;IF(COUNTIF(Settings!$E$14:$E$43,C1093&amp;"")&gt;0,"Sensitive account | ","")&amp;IF(AND(MAX(N(E1093),N(F1093))&gt;=Settings!$C$9,MOD(MAX(N(E1093),N(F1093)),Settings!$C$10)=0),"Round amount | ","")="","",LEFT(IF(K1093="No","Does not balance | ","")&amp;IF(I1093="","Not approved | ",IF(UPPER(TRIM(H1093))=UPPER(TRIM(I1093)),"Self-approved | ",""))&amp;IF(J1093="","No support | ","")&amp;IF(WEEKDAY(B1093,2)&gt;5,"Weekend posting | ","")&amp;IF(COUNTIF(Settings!$A$14:$A$43,B1093)&gt;0,"Holiday posting | ","")&amp;IF(B1093&gt;Settings!$C$8,"Posted after close | ","")&amp;IF(OR(B1093&lt;Settings!$C$6,B1093&gt;Settings!$C$7),"Outside period | ","")&amp;IF(COUNTIF(Settings!$E$14:$E$43,C1093&amp;"")&gt;0,"Sensitive account | ","")&amp;IF(AND(MAX(N(E1093),N(F1093))&gt;=Settings!$C$9,MOD(MAX(N(E1093),N(F1093)),Settings!$C$10)=0),"Round amount | ",""),LEN(IF(K1093="No","Does not balance | ","")&amp;IF(I1093="","Not approved | ",IF(UPPER(TRIM(H1093))=UPPER(TRIM(I1093)),"Self-approved | ",""))&amp;IF(J1093="","No support | ","")&amp;IF(WEEKDAY(B1093,2)&gt;5,"Weekend posting | ","")&amp;IF(COUNTIF(Settings!$A$14:$A$43,B1093)&gt;0,"Holiday posting | ","")&amp;IF(B1093&gt;Settings!$C$8,"Posted after close | ","")&amp;IF(OR(B1093&lt;Settings!$C$6,B1093&gt;Settings!$C$7),"Outside period | ","")&amp;IF(COUNTIF(Settings!$E$14:$E$43,C1093&amp;"")&gt;0,"Sensitive account | ","")&amp;IF(AND(MAX(N(E1093),N(F1093))&gt;=Settings!$C$9,MOD(MAX(N(E1093),N(F1093)),Settings!$C$10)=0),"Round amount | ",""))-3)))</f>
        <v/>
      </c>
      <c r="M1093" s="21" t="str">
        <f aca="false">IF(A1093="","",IF(COUNTIF($A$9:A1093,A1093)=1,MAX($M$8:M1092)+1,""))</f>
        <v/>
      </c>
    </row>
    <row r="1094" customFormat="false" ht="15" hidden="false" customHeight="false" outlineLevel="0" collapsed="false">
      <c r="A1094" s="8"/>
      <c r="B1094" s="17"/>
      <c r="C1094" s="19"/>
      <c r="D1094" s="8"/>
      <c r="E1094" s="18"/>
      <c r="F1094" s="18"/>
      <c r="G1094" s="8"/>
      <c r="H1094" s="8"/>
      <c r="I1094" s="8"/>
      <c r="J1094" s="8"/>
      <c r="K1094" s="10" t="str">
        <f aca="false">IF(A1094="","",IF(ABS(SUMIFS($E$9:$E$2008,$A$9:$A$2008,A1094)-SUMIFS($F$9:$F$2008,$A$9:$A$2008,A1094))&lt;0.5,"Yes","No"))</f>
        <v/>
      </c>
      <c r="L1094" s="10" t="str">
        <f aca="false">IF(A1094="","",IF(IF(K1094="No","Does not balance | ","")&amp;IF(I1094="","Not approved | ",IF(UPPER(TRIM(H1094))=UPPER(TRIM(I1094)),"Self-approved | ",""))&amp;IF(J1094="","No support | ","")&amp;IF(WEEKDAY(B1094,2)&gt;5,"Weekend posting | ","")&amp;IF(COUNTIF(Settings!$A$14:$A$43,B1094)&gt;0,"Holiday posting | ","")&amp;IF(B1094&gt;Settings!$C$8,"Posted after close | ","")&amp;IF(OR(B1094&lt;Settings!$C$6,B1094&gt;Settings!$C$7),"Outside period | ","")&amp;IF(COUNTIF(Settings!$E$14:$E$43,C1094&amp;"")&gt;0,"Sensitive account | ","")&amp;IF(AND(MAX(N(E1094),N(F1094))&gt;=Settings!$C$9,MOD(MAX(N(E1094),N(F1094)),Settings!$C$10)=0),"Round amount | ","")="","",LEFT(IF(K1094="No","Does not balance | ","")&amp;IF(I1094="","Not approved | ",IF(UPPER(TRIM(H1094))=UPPER(TRIM(I1094)),"Self-approved | ",""))&amp;IF(J1094="","No support | ","")&amp;IF(WEEKDAY(B1094,2)&gt;5,"Weekend posting | ","")&amp;IF(COUNTIF(Settings!$A$14:$A$43,B1094)&gt;0,"Holiday posting | ","")&amp;IF(B1094&gt;Settings!$C$8,"Posted after close | ","")&amp;IF(OR(B1094&lt;Settings!$C$6,B1094&gt;Settings!$C$7),"Outside period | ","")&amp;IF(COUNTIF(Settings!$E$14:$E$43,C1094&amp;"")&gt;0,"Sensitive account | ","")&amp;IF(AND(MAX(N(E1094),N(F1094))&gt;=Settings!$C$9,MOD(MAX(N(E1094),N(F1094)),Settings!$C$10)=0),"Round amount | ",""),LEN(IF(K1094="No","Does not balance | ","")&amp;IF(I1094="","Not approved | ",IF(UPPER(TRIM(H1094))=UPPER(TRIM(I1094)),"Self-approved | ",""))&amp;IF(J1094="","No support | ","")&amp;IF(WEEKDAY(B1094,2)&gt;5,"Weekend posting | ","")&amp;IF(COUNTIF(Settings!$A$14:$A$43,B1094)&gt;0,"Holiday posting | ","")&amp;IF(B1094&gt;Settings!$C$8,"Posted after close | ","")&amp;IF(OR(B1094&lt;Settings!$C$6,B1094&gt;Settings!$C$7),"Outside period | ","")&amp;IF(COUNTIF(Settings!$E$14:$E$43,C1094&amp;"")&gt;0,"Sensitive account | ","")&amp;IF(AND(MAX(N(E1094),N(F1094))&gt;=Settings!$C$9,MOD(MAX(N(E1094),N(F1094)),Settings!$C$10)=0),"Round amount | ",""))-3)))</f>
        <v/>
      </c>
      <c r="M1094" s="21" t="str">
        <f aca="false">IF(A1094="","",IF(COUNTIF($A$9:A1094,A1094)=1,MAX($M$8:M1093)+1,""))</f>
        <v/>
      </c>
    </row>
    <row r="1095" customFormat="false" ht="15" hidden="false" customHeight="false" outlineLevel="0" collapsed="false">
      <c r="A1095" s="8"/>
      <c r="B1095" s="17"/>
      <c r="C1095" s="19"/>
      <c r="D1095" s="8"/>
      <c r="E1095" s="18"/>
      <c r="F1095" s="18"/>
      <c r="G1095" s="8"/>
      <c r="H1095" s="8"/>
      <c r="I1095" s="8"/>
      <c r="J1095" s="8"/>
      <c r="K1095" s="10" t="str">
        <f aca="false">IF(A1095="","",IF(ABS(SUMIFS($E$9:$E$2008,$A$9:$A$2008,A1095)-SUMIFS($F$9:$F$2008,$A$9:$A$2008,A1095))&lt;0.5,"Yes","No"))</f>
        <v/>
      </c>
      <c r="L1095" s="10" t="str">
        <f aca="false">IF(A1095="","",IF(IF(K1095="No","Does not balance | ","")&amp;IF(I1095="","Not approved | ",IF(UPPER(TRIM(H1095))=UPPER(TRIM(I1095)),"Self-approved | ",""))&amp;IF(J1095="","No support | ","")&amp;IF(WEEKDAY(B1095,2)&gt;5,"Weekend posting | ","")&amp;IF(COUNTIF(Settings!$A$14:$A$43,B1095)&gt;0,"Holiday posting | ","")&amp;IF(B1095&gt;Settings!$C$8,"Posted after close | ","")&amp;IF(OR(B1095&lt;Settings!$C$6,B1095&gt;Settings!$C$7),"Outside period | ","")&amp;IF(COUNTIF(Settings!$E$14:$E$43,C1095&amp;"")&gt;0,"Sensitive account | ","")&amp;IF(AND(MAX(N(E1095),N(F1095))&gt;=Settings!$C$9,MOD(MAX(N(E1095),N(F1095)),Settings!$C$10)=0),"Round amount | ","")="","",LEFT(IF(K1095="No","Does not balance | ","")&amp;IF(I1095="","Not approved | ",IF(UPPER(TRIM(H1095))=UPPER(TRIM(I1095)),"Self-approved | ",""))&amp;IF(J1095="","No support | ","")&amp;IF(WEEKDAY(B1095,2)&gt;5,"Weekend posting | ","")&amp;IF(COUNTIF(Settings!$A$14:$A$43,B1095)&gt;0,"Holiday posting | ","")&amp;IF(B1095&gt;Settings!$C$8,"Posted after close | ","")&amp;IF(OR(B1095&lt;Settings!$C$6,B1095&gt;Settings!$C$7),"Outside period | ","")&amp;IF(COUNTIF(Settings!$E$14:$E$43,C1095&amp;"")&gt;0,"Sensitive account | ","")&amp;IF(AND(MAX(N(E1095),N(F1095))&gt;=Settings!$C$9,MOD(MAX(N(E1095),N(F1095)),Settings!$C$10)=0),"Round amount | ",""),LEN(IF(K1095="No","Does not balance | ","")&amp;IF(I1095="","Not approved | ",IF(UPPER(TRIM(H1095))=UPPER(TRIM(I1095)),"Self-approved | ",""))&amp;IF(J1095="","No support | ","")&amp;IF(WEEKDAY(B1095,2)&gt;5,"Weekend posting | ","")&amp;IF(COUNTIF(Settings!$A$14:$A$43,B1095)&gt;0,"Holiday posting | ","")&amp;IF(B1095&gt;Settings!$C$8,"Posted after close | ","")&amp;IF(OR(B1095&lt;Settings!$C$6,B1095&gt;Settings!$C$7),"Outside period | ","")&amp;IF(COUNTIF(Settings!$E$14:$E$43,C1095&amp;"")&gt;0,"Sensitive account | ","")&amp;IF(AND(MAX(N(E1095),N(F1095))&gt;=Settings!$C$9,MOD(MAX(N(E1095),N(F1095)),Settings!$C$10)=0),"Round amount | ",""))-3)))</f>
        <v/>
      </c>
      <c r="M1095" s="21" t="str">
        <f aca="false">IF(A1095="","",IF(COUNTIF($A$9:A1095,A1095)=1,MAX($M$8:M1094)+1,""))</f>
        <v/>
      </c>
    </row>
    <row r="1096" customFormat="false" ht="15" hidden="false" customHeight="false" outlineLevel="0" collapsed="false">
      <c r="A1096" s="8"/>
      <c r="B1096" s="17"/>
      <c r="C1096" s="19"/>
      <c r="D1096" s="8"/>
      <c r="E1096" s="18"/>
      <c r="F1096" s="18"/>
      <c r="G1096" s="8"/>
      <c r="H1096" s="8"/>
      <c r="I1096" s="8"/>
      <c r="J1096" s="8"/>
      <c r="K1096" s="10" t="str">
        <f aca="false">IF(A1096="","",IF(ABS(SUMIFS($E$9:$E$2008,$A$9:$A$2008,A1096)-SUMIFS($F$9:$F$2008,$A$9:$A$2008,A1096))&lt;0.5,"Yes","No"))</f>
        <v/>
      </c>
      <c r="L1096" s="10" t="str">
        <f aca="false">IF(A1096="","",IF(IF(K1096="No","Does not balance | ","")&amp;IF(I1096="","Not approved | ",IF(UPPER(TRIM(H1096))=UPPER(TRIM(I1096)),"Self-approved | ",""))&amp;IF(J1096="","No support | ","")&amp;IF(WEEKDAY(B1096,2)&gt;5,"Weekend posting | ","")&amp;IF(COUNTIF(Settings!$A$14:$A$43,B1096)&gt;0,"Holiday posting | ","")&amp;IF(B1096&gt;Settings!$C$8,"Posted after close | ","")&amp;IF(OR(B1096&lt;Settings!$C$6,B1096&gt;Settings!$C$7),"Outside period | ","")&amp;IF(COUNTIF(Settings!$E$14:$E$43,C1096&amp;"")&gt;0,"Sensitive account | ","")&amp;IF(AND(MAX(N(E1096),N(F1096))&gt;=Settings!$C$9,MOD(MAX(N(E1096),N(F1096)),Settings!$C$10)=0),"Round amount | ","")="","",LEFT(IF(K1096="No","Does not balance | ","")&amp;IF(I1096="","Not approved | ",IF(UPPER(TRIM(H1096))=UPPER(TRIM(I1096)),"Self-approved | ",""))&amp;IF(J1096="","No support | ","")&amp;IF(WEEKDAY(B1096,2)&gt;5,"Weekend posting | ","")&amp;IF(COUNTIF(Settings!$A$14:$A$43,B1096)&gt;0,"Holiday posting | ","")&amp;IF(B1096&gt;Settings!$C$8,"Posted after close | ","")&amp;IF(OR(B1096&lt;Settings!$C$6,B1096&gt;Settings!$C$7),"Outside period | ","")&amp;IF(COUNTIF(Settings!$E$14:$E$43,C1096&amp;"")&gt;0,"Sensitive account | ","")&amp;IF(AND(MAX(N(E1096),N(F1096))&gt;=Settings!$C$9,MOD(MAX(N(E1096),N(F1096)),Settings!$C$10)=0),"Round amount | ",""),LEN(IF(K1096="No","Does not balance | ","")&amp;IF(I1096="","Not approved | ",IF(UPPER(TRIM(H1096))=UPPER(TRIM(I1096)),"Self-approved | ",""))&amp;IF(J1096="","No support | ","")&amp;IF(WEEKDAY(B1096,2)&gt;5,"Weekend posting | ","")&amp;IF(COUNTIF(Settings!$A$14:$A$43,B1096)&gt;0,"Holiday posting | ","")&amp;IF(B1096&gt;Settings!$C$8,"Posted after close | ","")&amp;IF(OR(B1096&lt;Settings!$C$6,B1096&gt;Settings!$C$7),"Outside period | ","")&amp;IF(COUNTIF(Settings!$E$14:$E$43,C1096&amp;"")&gt;0,"Sensitive account | ","")&amp;IF(AND(MAX(N(E1096),N(F1096))&gt;=Settings!$C$9,MOD(MAX(N(E1096),N(F1096)),Settings!$C$10)=0),"Round amount | ",""))-3)))</f>
        <v/>
      </c>
      <c r="M1096" s="21" t="str">
        <f aca="false">IF(A1096="","",IF(COUNTIF($A$9:A1096,A1096)=1,MAX($M$8:M1095)+1,""))</f>
        <v/>
      </c>
    </row>
    <row r="1097" customFormat="false" ht="15" hidden="false" customHeight="false" outlineLevel="0" collapsed="false">
      <c r="A1097" s="8"/>
      <c r="B1097" s="17"/>
      <c r="C1097" s="19"/>
      <c r="D1097" s="8"/>
      <c r="E1097" s="18"/>
      <c r="F1097" s="18"/>
      <c r="G1097" s="8"/>
      <c r="H1097" s="8"/>
      <c r="I1097" s="8"/>
      <c r="J1097" s="8"/>
      <c r="K1097" s="10" t="str">
        <f aca="false">IF(A1097="","",IF(ABS(SUMIFS($E$9:$E$2008,$A$9:$A$2008,A1097)-SUMIFS($F$9:$F$2008,$A$9:$A$2008,A1097))&lt;0.5,"Yes","No"))</f>
        <v/>
      </c>
      <c r="L1097" s="10" t="str">
        <f aca="false">IF(A1097="","",IF(IF(K1097="No","Does not balance | ","")&amp;IF(I1097="","Not approved | ",IF(UPPER(TRIM(H1097))=UPPER(TRIM(I1097)),"Self-approved | ",""))&amp;IF(J1097="","No support | ","")&amp;IF(WEEKDAY(B1097,2)&gt;5,"Weekend posting | ","")&amp;IF(COUNTIF(Settings!$A$14:$A$43,B1097)&gt;0,"Holiday posting | ","")&amp;IF(B1097&gt;Settings!$C$8,"Posted after close | ","")&amp;IF(OR(B1097&lt;Settings!$C$6,B1097&gt;Settings!$C$7),"Outside period | ","")&amp;IF(COUNTIF(Settings!$E$14:$E$43,C1097&amp;"")&gt;0,"Sensitive account | ","")&amp;IF(AND(MAX(N(E1097),N(F1097))&gt;=Settings!$C$9,MOD(MAX(N(E1097),N(F1097)),Settings!$C$10)=0),"Round amount | ","")="","",LEFT(IF(K1097="No","Does not balance | ","")&amp;IF(I1097="","Not approved | ",IF(UPPER(TRIM(H1097))=UPPER(TRIM(I1097)),"Self-approved | ",""))&amp;IF(J1097="","No support | ","")&amp;IF(WEEKDAY(B1097,2)&gt;5,"Weekend posting | ","")&amp;IF(COUNTIF(Settings!$A$14:$A$43,B1097)&gt;0,"Holiday posting | ","")&amp;IF(B1097&gt;Settings!$C$8,"Posted after close | ","")&amp;IF(OR(B1097&lt;Settings!$C$6,B1097&gt;Settings!$C$7),"Outside period | ","")&amp;IF(COUNTIF(Settings!$E$14:$E$43,C1097&amp;"")&gt;0,"Sensitive account | ","")&amp;IF(AND(MAX(N(E1097),N(F1097))&gt;=Settings!$C$9,MOD(MAX(N(E1097),N(F1097)),Settings!$C$10)=0),"Round amount | ",""),LEN(IF(K1097="No","Does not balance | ","")&amp;IF(I1097="","Not approved | ",IF(UPPER(TRIM(H1097))=UPPER(TRIM(I1097)),"Self-approved | ",""))&amp;IF(J1097="","No support | ","")&amp;IF(WEEKDAY(B1097,2)&gt;5,"Weekend posting | ","")&amp;IF(COUNTIF(Settings!$A$14:$A$43,B1097)&gt;0,"Holiday posting | ","")&amp;IF(B1097&gt;Settings!$C$8,"Posted after close | ","")&amp;IF(OR(B1097&lt;Settings!$C$6,B1097&gt;Settings!$C$7),"Outside period | ","")&amp;IF(COUNTIF(Settings!$E$14:$E$43,C1097&amp;"")&gt;0,"Sensitive account | ","")&amp;IF(AND(MAX(N(E1097),N(F1097))&gt;=Settings!$C$9,MOD(MAX(N(E1097),N(F1097)),Settings!$C$10)=0),"Round amount | ",""))-3)))</f>
        <v/>
      </c>
      <c r="M1097" s="21" t="str">
        <f aca="false">IF(A1097="","",IF(COUNTIF($A$9:A1097,A1097)=1,MAX($M$8:M1096)+1,""))</f>
        <v/>
      </c>
    </row>
    <row r="1098" customFormat="false" ht="15" hidden="false" customHeight="false" outlineLevel="0" collapsed="false">
      <c r="A1098" s="8"/>
      <c r="B1098" s="17"/>
      <c r="C1098" s="19"/>
      <c r="D1098" s="8"/>
      <c r="E1098" s="18"/>
      <c r="F1098" s="18"/>
      <c r="G1098" s="8"/>
      <c r="H1098" s="8"/>
      <c r="I1098" s="8"/>
      <c r="J1098" s="8"/>
      <c r="K1098" s="10" t="str">
        <f aca="false">IF(A1098="","",IF(ABS(SUMIFS($E$9:$E$2008,$A$9:$A$2008,A1098)-SUMIFS($F$9:$F$2008,$A$9:$A$2008,A1098))&lt;0.5,"Yes","No"))</f>
        <v/>
      </c>
      <c r="L1098" s="10" t="str">
        <f aca="false">IF(A1098="","",IF(IF(K1098="No","Does not balance | ","")&amp;IF(I1098="","Not approved | ",IF(UPPER(TRIM(H1098))=UPPER(TRIM(I1098)),"Self-approved | ",""))&amp;IF(J1098="","No support | ","")&amp;IF(WEEKDAY(B1098,2)&gt;5,"Weekend posting | ","")&amp;IF(COUNTIF(Settings!$A$14:$A$43,B1098)&gt;0,"Holiday posting | ","")&amp;IF(B1098&gt;Settings!$C$8,"Posted after close | ","")&amp;IF(OR(B1098&lt;Settings!$C$6,B1098&gt;Settings!$C$7),"Outside period | ","")&amp;IF(COUNTIF(Settings!$E$14:$E$43,C1098&amp;"")&gt;0,"Sensitive account | ","")&amp;IF(AND(MAX(N(E1098),N(F1098))&gt;=Settings!$C$9,MOD(MAX(N(E1098),N(F1098)),Settings!$C$10)=0),"Round amount | ","")="","",LEFT(IF(K1098="No","Does not balance | ","")&amp;IF(I1098="","Not approved | ",IF(UPPER(TRIM(H1098))=UPPER(TRIM(I1098)),"Self-approved | ",""))&amp;IF(J1098="","No support | ","")&amp;IF(WEEKDAY(B1098,2)&gt;5,"Weekend posting | ","")&amp;IF(COUNTIF(Settings!$A$14:$A$43,B1098)&gt;0,"Holiday posting | ","")&amp;IF(B1098&gt;Settings!$C$8,"Posted after close | ","")&amp;IF(OR(B1098&lt;Settings!$C$6,B1098&gt;Settings!$C$7),"Outside period | ","")&amp;IF(COUNTIF(Settings!$E$14:$E$43,C1098&amp;"")&gt;0,"Sensitive account | ","")&amp;IF(AND(MAX(N(E1098),N(F1098))&gt;=Settings!$C$9,MOD(MAX(N(E1098),N(F1098)),Settings!$C$10)=0),"Round amount | ",""),LEN(IF(K1098="No","Does not balance | ","")&amp;IF(I1098="","Not approved | ",IF(UPPER(TRIM(H1098))=UPPER(TRIM(I1098)),"Self-approved | ",""))&amp;IF(J1098="","No support | ","")&amp;IF(WEEKDAY(B1098,2)&gt;5,"Weekend posting | ","")&amp;IF(COUNTIF(Settings!$A$14:$A$43,B1098)&gt;0,"Holiday posting | ","")&amp;IF(B1098&gt;Settings!$C$8,"Posted after close | ","")&amp;IF(OR(B1098&lt;Settings!$C$6,B1098&gt;Settings!$C$7),"Outside period | ","")&amp;IF(COUNTIF(Settings!$E$14:$E$43,C1098&amp;"")&gt;0,"Sensitive account | ","")&amp;IF(AND(MAX(N(E1098),N(F1098))&gt;=Settings!$C$9,MOD(MAX(N(E1098),N(F1098)),Settings!$C$10)=0),"Round amount | ",""))-3)))</f>
        <v/>
      </c>
      <c r="M1098" s="21" t="str">
        <f aca="false">IF(A1098="","",IF(COUNTIF($A$9:A1098,A1098)=1,MAX($M$8:M1097)+1,""))</f>
        <v/>
      </c>
    </row>
    <row r="1099" customFormat="false" ht="15" hidden="false" customHeight="false" outlineLevel="0" collapsed="false">
      <c r="A1099" s="8"/>
      <c r="B1099" s="17"/>
      <c r="C1099" s="19"/>
      <c r="D1099" s="8"/>
      <c r="E1099" s="18"/>
      <c r="F1099" s="18"/>
      <c r="G1099" s="8"/>
      <c r="H1099" s="8"/>
      <c r="I1099" s="8"/>
      <c r="J1099" s="8"/>
      <c r="K1099" s="10" t="str">
        <f aca="false">IF(A1099="","",IF(ABS(SUMIFS($E$9:$E$2008,$A$9:$A$2008,A1099)-SUMIFS($F$9:$F$2008,$A$9:$A$2008,A1099))&lt;0.5,"Yes","No"))</f>
        <v/>
      </c>
      <c r="L1099" s="10" t="str">
        <f aca="false">IF(A1099="","",IF(IF(K1099="No","Does not balance | ","")&amp;IF(I1099="","Not approved | ",IF(UPPER(TRIM(H1099))=UPPER(TRIM(I1099)),"Self-approved | ",""))&amp;IF(J1099="","No support | ","")&amp;IF(WEEKDAY(B1099,2)&gt;5,"Weekend posting | ","")&amp;IF(COUNTIF(Settings!$A$14:$A$43,B1099)&gt;0,"Holiday posting | ","")&amp;IF(B1099&gt;Settings!$C$8,"Posted after close | ","")&amp;IF(OR(B1099&lt;Settings!$C$6,B1099&gt;Settings!$C$7),"Outside period | ","")&amp;IF(COUNTIF(Settings!$E$14:$E$43,C1099&amp;"")&gt;0,"Sensitive account | ","")&amp;IF(AND(MAX(N(E1099),N(F1099))&gt;=Settings!$C$9,MOD(MAX(N(E1099),N(F1099)),Settings!$C$10)=0),"Round amount | ","")="","",LEFT(IF(K1099="No","Does not balance | ","")&amp;IF(I1099="","Not approved | ",IF(UPPER(TRIM(H1099))=UPPER(TRIM(I1099)),"Self-approved | ",""))&amp;IF(J1099="","No support | ","")&amp;IF(WEEKDAY(B1099,2)&gt;5,"Weekend posting | ","")&amp;IF(COUNTIF(Settings!$A$14:$A$43,B1099)&gt;0,"Holiday posting | ","")&amp;IF(B1099&gt;Settings!$C$8,"Posted after close | ","")&amp;IF(OR(B1099&lt;Settings!$C$6,B1099&gt;Settings!$C$7),"Outside period | ","")&amp;IF(COUNTIF(Settings!$E$14:$E$43,C1099&amp;"")&gt;0,"Sensitive account | ","")&amp;IF(AND(MAX(N(E1099),N(F1099))&gt;=Settings!$C$9,MOD(MAX(N(E1099),N(F1099)),Settings!$C$10)=0),"Round amount | ",""),LEN(IF(K1099="No","Does not balance | ","")&amp;IF(I1099="","Not approved | ",IF(UPPER(TRIM(H1099))=UPPER(TRIM(I1099)),"Self-approved | ",""))&amp;IF(J1099="","No support | ","")&amp;IF(WEEKDAY(B1099,2)&gt;5,"Weekend posting | ","")&amp;IF(COUNTIF(Settings!$A$14:$A$43,B1099)&gt;0,"Holiday posting | ","")&amp;IF(B1099&gt;Settings!$C$8,"Posted after close | ","")&amp;IF(OR(B1099&lt;Settings!$C$6,B1099&gt;Settings!$C$7),"Outside period | ","")&amp;IF(COUNTIF(Settings!$E$14:$E$43,C1099&amp;"")&gt;0,"Sensitive account | ","")&amp;IF(AND(MAX(N(E1099),N(F1099))&gt;=Settings!$C$9,MOD(MAX(N(E1099),N(F1099)),Settings!$C$10)=0),"Round amount | ",""))-3)))</f>
        <v/>
      </c>
      <c r="M1099" s="21" t="str">
        <f aca="false">IF(A1099="","",IF(COUNTIF($A$9:A1099,A1099)=1,MAX($M$8:M1098)+1,""))</f>
        <v/>
      </c>
    </row>
    <row r="1100" customFormat="false" ht="15" hidden="false" customHeight="false" outlineLevel="0" collapsed="false">
      <c r="A1100" s="8"/>
      <c r="B1100" s="17"/>
      <c r="C1100" s="19"/>
      <c r="D1100" s="8"/>
      <c r="E1100" s="18"/>
      <c r="F1100" s="18"/>
      <c r="G1100" s="8"/>
      <c r="H1100" s="8"/>
      <c r="I1100" s="8"/>
      <c r="J1100" s="8"/>
      <c r="K1100" s="10" t="str">
        <f aca="false">IF(A1100="","",IF(ABS(SUMIFS($E$9:$E$2008,$A$9:$A$2008,A1100)-SUMIFS($F$9:$F$2008,$A$9:$A$2008,A1100))&lt;0.5,"Yes","No"))</f>
        <v/>
      </c>
      <c r="L1100" s="10" t="str">
        <f aca="false">IF(A1100="","",IF(IF(K1100="No","Does not balance | ","")&amp;IF(I1100="","Not approved | ",IF(UPPER(TRIM(H1100))=UPPER(TRIM(I1100)),"Self-approved | ",""))&amp;IF(J1100="","No support | ","")&amp;IF(WEEKDAY(B1100,2)&gt;5,"Weekend posting | ","")&amp;IF(COUNTIF(Settings!$A$14:$A$43,B1100)&gt;0,"Holiday posting | ","")&amp;IF(B1100&gt;Settings!$C$8,"Posted after close | ","")&amp;IF(OR(B1100&lt;Settings!$C$6,B1100&gt;Settings!$C$7),"Outside period | ","")&amp;IF(COUNTIF(Settings!$E$14:$E$43,C1100&amp;"")&gt;0,"Sensitive account | ","")&amp;IF(AND(MAX(N(E1100),N(F1100))&gt;=Settings!$C$9,MOD(MAX(N(E1100),N(F1100)),Settings!$C$10)=0),"Round amount | ","")="","",LEFT(IF(K1100="No","Does not balance | ","")&amp;IF(I1100="","Not approved | ",IF(UPPER(TRIM(H1100))=UPPER(TRIM(I1100)),"Self-approved | ",""))&amp;IF(J1100="","No support | ","")&amp;IF(WEEKDAY(B1100,2)&gt;5,"Weekend posting | ","")&amp;IF(COUNTIF(Settings!$A$14:$A$43,B1100)&gt;0,"Holiday posting | ","")&amp;IF(B1100&gt;Settings!$C$8,"Posted after close | ","")&amp;IF(OR(B1100&lt;Settings!$C$6,B1100&gt;Settings!$C$7),"Outside period | ","")&amp;IF(COUNTIF(Settings!$E$14:$E$43,C1100&amp;"")&gt;0,"Sensitive account | ","")&amp;IF(AND(MAX(N(E1100),N(F1100))&gt;=Settings!$C$9,MOD(MAX(N(E1100),N(F1100)),Settings!$C$10)=0),"Round amount | ",""),LEN(IF(K1100="No","Does not balance | ","")&amp;IF(I1100="","Not approved | ",IF(UPPER(TRIM(H1100))=UPPER(TRIM(I1100)),"Self-approved | ",""))&amp;IF(J1100="","No support | ","")&amp;IF(WEEKDAY(B1100,2)&gt;5,"Weekend posting | ","")&amp;IF(COUNTIF(Settings!$A$14:$A$43,B1100)&gt;0,"Holiday posting | ","")&amp;IF(B1100&gt;Settings!$C$8,"Posted after close | ","")&amp;IF(OR(B1100&lt;Settings!$C$6,B1100&gt;Settings!$C$7),"Outside period | ","")&amp;IF(COUNTIF(Settings!$E$14:$E$43,C1100&amp;"")&gt;0,"Sensitive account | ","")&amp;IF(AND(MAX(N(E1100),N(F1100))&gt;=Settings!$C$9,MOD(MAX(N(E1100),N(F1100)),Settings!$C$10)=0),"Round amount | ",""))-3)))</f>
        <v/>
      </c>
      <c r="M1100" s="21" t="str">
        <f aca="false">IF(A1100="","",IF(COUNTIF($A$9:A1100,A1100)=1,MAX($M$8:M1099)+1,""))</f>
        <v/>
      </c>
    </row>
    <row r="1101" customFormat="false" ht="15" hidden="false" customHeight="false" outlineLevel="0" collapsed="false">
      <c r="A1101" s="8"/>
      <c r="B1101" s="17"/>
      <c r="C1101" s="19"/>
      <c r="D1101" s="8"/>
      <c r="E1101" s="18"/>
      <c r="F1101" s="18"/>
      <c r="G1101" s="8"/>
      <c r="H1101" s="8"/>
      <c r="I1101" s="8"/>
      <c r="J1101" s="8"/>
      <c r="K1101" s="10" t="str">
        <f aca="false">IF(A1101="","",IF(ABS(SUMIFS($E$9:$E$2008,$A$9:$A$2008,A1101)-SUMIFS($F$9:$F$2008,$A$9:$A$2008,A1101))&lt;0.5,"Yes","No"))</f>
        <v/>
      </c>
      <c r="L1101" s="10" t="str">
        <f aca="false">IF(A1101="","",IF(IF(K1101="No","Does not balance | ","")&amp;IF(I1101="","Not approved | ",IF(UPPER(TRIM(H1101))=UPPER(TRIM(I1101)),"Self-approved | ",""))&amp;IF(J1101="","No support | ","")&amp;IF(WEEKDAY(B1101,2)&gt;5,"Weekend posting | ","")&amp;IF(COUNTIF(Settings!$A$14:$A$43,B1101)&gt;0,"Holiday posting | ","")&amp;IF(B1101&gt;Settings!$C$8,"Posted after close | ","")&amp;IF(OR(B1101&lt;Settings!$C$6,B1101&gt;Settings!$C$7),"Outside period | ","")&amp;IF(COUNTIF(Settings!$E$14:$E$43,C1101&amp;"")&gt;0,"Sensitive account | ","")&amp;IF(AND(MAX(N(E1101),N(F1101))&gt;=Settings!$C$9,MOD(MAX(N(E1101),N(F1101)),Settings!$C$10)=0),"Round amount | ","")="","",LEFT(IF(K1101="No","Does not balance | ","")&amp;IF(I1101="","Not approved | ",IF(UPPER(TRIM(H1101))=UPPER(TRIM(I1101)),"Self-approved | ",""))&amp;IF(J1101="","No support | ","")&amp;IF(WEEKDAY(B1101,2)&gt;5,"Weekend posting | ","")&amp;IF(COUNTIF(Settings!$A$14:$A$43,B1101)&gt;0,"Holiday posting | ","")&amp;IF(B1101&gt;Settings!$C$8,"Posted after close | ","")&amp;IF(OR(B1101&lt;Settings!$C$6,B1101&gt;Settings!$C$7),"Outside period | ","")&amp;IF(COUNTIF(Settings!$E$14:$E$43,C1101&amp;"")&gt;0,"Sensitive account | ","")&amp;IF(AND(MAX(N(E1101),N(F1101))&gt;=Settings!$C$9,MOD(MAX(N(E1101),N(F1101)),Settings!$C$10)=0),"Round amount | ",""),LEN(IF(K1101="No","Does not balance | ","")&amp;IF(I1101="","Not approved | ",IF(UPPER(TRIM(H1101))=UPPER(TRIM(I1101)),"Self-approved | ",""))&amp;IF(J1101="","No support | ","")&amp;IF(WEEKDAY(B1101,2)&gt;5,"Weekend posting | ","")&amp;IF(COUNTIF(Settings!$A$14:$A$43,B1101)&gt;0,"Holiday posting | ","")&amp;IF(B1101&gt;Settings!$C$8,"Posted after close | ","")&amp;IF(OR(B1101&lt;Settings!$C$6,B1101&gt;Settings!$C$7),"Outside period | ","")&amp;IF(COUNTIF(Settings!$E$14:$E$43,C1101&amp;"")&gt;0,"Sensitive account | ","")&amp;IF(AND(MAX(N(E1101),N(F1101))&gt;=Settings!$C$9,MOD(MAX(N(E1101),N(F1101)),Settings!$C$10)=0),"Round amount | ",""))-3)))</f>
        <v/>
      </c>
      <c r="M1101" s="21" t="str">
        <f aca="false">IF(A1101="","",IF(COUNTIF($A$9:A1101,A1101)=1,MAX($M$8:M1100)+1,""))</f>
        <v/>
      </c>
    </row>
    <row r="1102" customFormat="false" ht="15" hidden="false" customHeight="false" outlineLevel="0" collapsed="false">
      <c r="A1102" s="8"/>
      <c r="B1102" s="17"/>
      <c r="C1102" s="19"/>
      <c r="D1102" s="8"/>
      <c r="E1102" s="18"/>
      <c r="F1102" s="18"/>
      <c r="G1102" s="8"/>
      <c r="H1102" s="8"/>
      <c r="I1102" s="8"/>
      <c r="J1102" s="8"/>
      <c r="K1102" s="10" t="str">
        <f aca="false">IF(A1102="","",IF(ABS(SUMIFS($E$9:$E$2008,$A$9:$A$2008,A1102)-SUMIFS($F$9:$F$2008,$A$9:$A$2008,A1102))&lt;0.5,"Yes","No"))</f>
        <v/>
      </c>
      <c r="L1102" s="10" t="str">
        <f aca="false">IF(A1102="","",IF(IF(K1102="No","Does not balance | ","")&amp;IF(I1102="","Not approved | ",IF(UPPER(TRIM(H1102))=UPPER(TRIM(I1102)),"Self-approved | ",""))&amp;IF(J1102="","No support | ","")&amp;IF(WEEKDAY(B1102,2)&gt;5,"Weekend posting | ","")&amp;IF(COUNTIF(Settings!$A$14:$A$43,B1102)&gt;0,"Holiday posting | ","")&amp;IF(B1102&gt;Settings!$C$8,"Posted after close | ","")&amp;IF(OR(B1102&lt;Settings!$C$6,B1102&gt;Settings!$C$7),"Outside period | ","")&amp;IF(COUNTIF(Settings!$E$14:$E$43,C1102&amp;"")&gt;0,"Sensitive account | ","")&amp;IF(AND(MAX(N(E1102),N(F1102))&gt;=Settings!$C$9,MOD(MAX(N(E1102),N(F1102)),Settings!$C$10)=0),"Round amount | ","")="","",LEFT(IF(K1102="No","Does not balance | ","")&amp;IF(I1102="","Not approved | ",IF(UPPER(TRIM(H1102))=UPPER(TRIM(I1102)),"Self-approved | ",""))&amp;IF(J1102="","No support | ","")&amp;IF(WEEKDAY(B1102,2)&gt;5,"Weekend posting | ","")&amp;IF(COUNTIF(Settings!$A$14:$A$43,B1102)&gt;0,"Holiday posting | ","")&amp;IF(B1102&gt;Settings!$C$8,"Posted after close | ","")&amp;IF(OR(B1102&lt;Settings!$C$6,B1102&gt;Settings!$C$7),"Outside period | ","")&amp;IF(COUNTIF(Settings!$E$14:$E$43,C1102&amp;"")&gt;0,"Sensitive account | ","")&amp;IF(AND(MAX(N(E1102),N(F1102))&gt;=Settings!$C$9,MOD(MAX(N(E1102),N(F1102)),Settings!$C$10)=0),"Round amount | ",""),LEN(IF(K1102="No","Does not balance | ","")&amp;IF(I1102="","Not approved | ",IF(UPPER(TRIM(H1102))=UPPER(TRIM(I1102)),"Self-approved | ",""))&amp;IF(J1102="","No support | ","")&amp;IF(WEEKDAY(B1102,2)&gt;5,"Weekend posting | ","")&amp;IF(COUNTIF(Settings!$A$14:$A$43,B1102)&gt;0,"Holiday posting | ","")&amp;IF(B1102&gt;Settings!$C$8,"Posted after close | ","")&amp;IF(OR(B1102&lt;Settings!$C$6,B1102&gt;Settings!$C$7),"Outside period | ","")&amp;IF(COUNTIF(Settings!$E$14:$E$43,C1102&amp;"")&gt;0,"Sensitive account | ","")&amp;IF(AND(MAX(N(E1102),N(F1102))&gt;=Settings!$C$9,MOD(MAX(N(E1102),N(F1102)),Settings!$C$10)=0),"Round amount | ",""))-3)))</f>
        <v/>
      </c>
      <c r="M1102" s="21" t="str">
        <f aca="false">IF(A1102="","",IF(COUNTIF($A$9:A1102,A1102)=1,MAX($M$8:M1101)+1,""))</f>
        <v/>
      </c>
    </row>
    <row r="1103" customFormat="false" ht="15" hidden="false" customHeight="false" outlineLevel="0" collapsed="false">
      <c r="A1103" s="8"/>
      <c r="B1103" s="17"/>
      <c r="C1103" s="19"/>
      <c r="D1103" s="8"/>
      <c r="E1103" s="18"/>
      <c r="F1103" s="18"/>
      <c r="G1103" s="8"/>
      <c r="H1103" s="8"/>
      <c r="I1103" s="8"/>
      <c r="J1103" s="8"/>
      <c r="K1103" s="10" t="str">
        <f aca="false">IF(A1103="","",IF(ABS(SUMIFS($E$9:$E$2008,$A$9:$A$2008,A1103)-SUMIFS($F$9:$F$2008,$A$9:$A$2008,A1103))&lt;0.5,"Yes","No"))</f>
        <v/>
      </c>
      <c r="L1103" s="10" t="str">
        <f aca="false">IF(A1103="","",IF(IF(K1103="No","Does not balance | ","")&amp;IF(I1103="","Not approved | ",IF(UPPER(TRIM(H1103))=UPPER(TRIM(I1103)),"Self-approved | ",""))&amp;IF(J1103="","No support | ","")&amp;IF(WEEKDAY(B1103,2)&gt;5,"Weekend posting | ","")&amp;IF(COUNTIF(Settings!$A$14:$A$43,B1103)&gt;0,"Holiday posting | ","")&amp;IF(B1103&gt;Settings!$C$8,"Posted after close | ","")&amp;IF(OR(B1103&lt;Settings!$C$6,B1103&gt;Settings!$C$7),"Outside period | ","")&amp;IF(COUNTIF(Settings!$E$14:$E$43,C1103&amp;"")&gt;0,"Sensitive account | ","")&amp;IF(AND(MAX(N(E1103),N(F1103))&gt;=Settings!$C$9,MOD(MAX(N(E1103),N(F1103)),Settings!$C$10)=0),"Round amount | ","")="","",LEFT(IF(K1103="No","Does not balance | ","")&amp;IF(I1103="","Not approved | ",IF(UPPER(TRIM(H1103))=UPPER(TRIM(I1103)),"Self-approved | ",""))&amp;IF(J1103="","No support | ","")&amp;IF(WEEKDAY(B1103,2)&gt;5,"Weekend posting | ","")&amp;IF(COUNTIF(Settings!$A$14:$A$43,B1103)&gt;0,"Holiday posting | ","")&amp;IF(B1103&gt;Settings!$C$8,"Posted after close | ","")&amp;IF(OR(B1103&lt;Settings!$C$6,B1103&gt;Settings!$C$7),"Outside period | ","")&amp;IF(COUNTIF(Settings!$E$14:$E$43,C1103&amp;"")&gt;0,"Sensitive account | ","")&amp;IF(AND(MAX(N(E1103),N(F1103))&gt;=Settings!$C$9,MOD(MAX(N(E1103),N(F1103)),Settings!$C$10)=0),"Round amount | ",""),LEN(IF(K1103="No","Does not balance | ","")&amp;IF(I1103="","Not approved | ",IF(UPPER(TRIM(H1103))=UPPER(TRIM(I1103)),"Self-approved | ",""))&amp;IF(J1103="","No support | ","")&amp;IF(WEEKDAY(B1103,2)&gt;5,"Weekend posting | ","")&amp;IF(COUNTIF(Settings!$A$14:$A$43,B1103)&gt;0,"Holiday posting | ","")&amp;IF(B1103&gt;Settings!$C$8,"Posted after close | ","")&amp;IF(OR(B1103&lt;Settings!$C$6,B1103&gt;Settings!$C$7),"Outside period | ","")&amp;IF(COUNTIF(Settings!$E$14:$E$43,C1103&amp;"")&gt;0,"Sensitive account | ","")&amp;IF(AND(MAX(N(E1103),N(F1103))&gt;=Settings!$C$9,MOD(MAX(N(E1103),N(F1103)),Settings!$C$10)=0),"Round amount | ",""))-3)))</f>
        <v/>
      </c>
      <c r="M1103" s="21" t="str">
        <f aca="false">IF(A1103="","",IF(COUNTIF($A$9:A1103,A1103)=1,MAX($M$8:M1102)+1,""))</f>
        <v/>
      </c>
    </row>
    <row r="1104" customFormat="false" ht="15" hidden="false" customHeight="false" outlineLevel="0" collapsed="false">
      <c r="A1104" s="8"/>
      <c r="B1104" s="17"/>
      <c r="C1104" s="19"/>
      <c r="D1104" s="8"/>
      <c r="E1104" s="18"/>
      <c r="F1104" s="18"/>
      <c r="G1104" s="8"/>
      <c r="H1104" s="8"/>
      <c r="I1104" s="8"/>
      <c r="J1104" s="8"/>
      <c r="K1104" s="10" t="str">
        <f aca="false">IF(A1104="","",IF(ABS(SUMIFS($E$9:$E$2008,$A$9:$A$2008,A1104)-SUMIFS($F$9:$F$2008,$A$9:$A$2008,A1104))&lt;0.5,"Yes","No"))</f>
        <v/>
      </c>
      <c r="L1104" s="10" t="str">
        <f aca="false">IF(A1104="","",IF(IF(K1104="No","Does not balance | ","")&amp;IF(I1104="","Not approved | ",IF(UPPER(TRIM(H1104))=UPPER(TRIM(I1104)),"Self-approved | ",""))&amp;IF(J1104="","No support | ","")&amp;IF(WEEKDAY(B1104,2)&gt;5,"Weekend posting | ","")&amp;IF(COUNTIF(Settings!$A$14:$A$43,B1104)&gt;0,"Holiday posting | ","")&amp;IF(B1104&gt;Settings!$C$8,"Posted after close | ","")&amp;IF(OR(B1104&lt;Settings!$C$6,B1104&gt;Settings!$C$7),"Outside period | ","")&amp;IF(COUNTIF(Settings!$E$14:$E$43,C1104&amp;"")&gt;0,"Sensitive account | ","")&amp;IF(AND(MAX(N(E1104),N(F1104))&gt;=Settings!$C$9,MOD(MAX(N(E1104),N(F1104)),Settings!$C$10)=0),"Round amount | ","")="","",LEFT(IF(K1104="No","Does not balance | ","")&amp;IF(I1104="","Not approved | ",IF(UPPER(TRIM(H1104))=UPPER(TRIM(I1104)),"Self-approved | ",""))&amp;IF(J1104="","No support | ","")&amp;IF(WEEKDAY(B1104,2)&gt;5,"Weekend posting | ","")&amp;IF(COUNTIF(Settings!$A$14:$A$43,B1104)&gt;0,"Holiday posting | ","")&amp;IF(B1104&gt;Settings!$C$8,"Posted after close | ","")&amp;IF(OR(B1104&lt;Settings!$C$6,B1104&gt;Settings!$C$7),"Outside period | ","")&amp;IF(COUNTIF(Settings!$E$14:$E$43,C1104&amp;"")&gt;0,"Sensitive account | ","")&amp;IF(AND(MAX(N(E1104),N(F1104))&gt;=Settings!$C$9,MOD(MAX(N(E1104),N(F1104)),Settings!$C$10)=0),"Round amount | ",""),LEN(IF(K1104="No","Does not balance | ","")&amp;IF(I1104="","Not approved | ",IF(UPPER(TRIM(H1104))=UPPER(TRIM(I1104)),"Self-approved | ",""))&amp;IF(J1104="","No support | ","")&amp;IF(WEEKDAY(B1104,2)&gt;5,"Weekend posting | ","")&amp;IF(COUNTIF(Settings!$A$14:$A$43,B1104)&gt;0,"Holiday posting | ","")&amp;IF(B1104&gt;Settings!$C$8,"Posted after close | ","")&amp;IF(OR(B1104&lt;Settings!$C$6,B1104&gt;Settings!$C$7),"Outside period | ","")&amp;IF(COUNTIF(Settings!$E$14:$E$43,C1104&amp;"")&gt;0,"Sensitive account | ","")&amp;IF(AND(MAX(N(E1104),N(F1104))&gt;=Settings!$C$9,MOD(MAX(N(E1104),N(F1104)),Settings!$C$10)=0),"Round amount | ",""))-3)))</f>
        <v/>
      </c>
      <c r="M1104" s="21" t="str">
        <f aca="false">IF(A1104="","",IF(COUNTIF($A$9:A1104,A1104)=1,MAX($M$8:M1103)+1,""))</f>
        <v/>
      </c>
    </row>
    <row r="1105" customFormat="false" ht="15" hidden="false" customHeight="false" outlineLevel="0" collapsed="false">
      <c r="A1105" s="8"/>
      <c r="B1105" s="17"/>
      <c r="C1105" s="19"/>
      <c r="D1105" s="8"/>
      <c r="E1105" s="18"/>
      <c r="F1105" s="18"/>
      <c r="G1105" s="8"/>
      <c r="H1105" s="8"/>
      <c r="I1105" s="8"/>
      <c r="J1105" s="8"/>
      <c r="K1105" s="10" t="str">
        <f aca="false">IF(A1105="","",IF(ABS(SUMIFS($E$9:$E$2008,$A$9:$A$2008,A1105)-SUMIFS($F$9:$F$2008,$A$9:$A$2008,A1105))&lt;0.5,"Yes","No"))</f>
        <v/>
      </c>
      <c r="L1105" s="10" t="str">
        <f aca="false">IF(A1105="","",IF(IF(K1105="No","Does not balance | ","")&amp;IF(I1105="","Not approved | ",IF(UPPER(TRIM(H1105))=UPPER(TRIM(I1105)),"Self-approved | ",""))&amp;IF(J1105="","No support | ","")&amp;IF(WEEKDAY(B1105,2)&gt;5,"Weekend posting | ","")&amp;IF(COUNTIF(Settings!$A$14:$A$43,B1105)&gt;0,"Holiday posting | ","")&amp;IF(B1105&gt;Settings!$C$8,"Posted after close | ","")&amp;IF(OR(B1105&lt;Settings!$C$6,B1105&gt;Settings!$C$7),"Outside period | ","")&amp;IF(COUNTIF(Settings!$E$14:$E$43,C1105&amp;"")&gt;0,"Sensitive account | ","")&amp;IF(AND(MAX(N(E1105),N(F1105))&gt;=Settings!$C$9,MOD(MAX(N(E1105),N(F1105)),Settings!$C$10)=0),"Round amount | ","")="","",LEFT(IF(K1105="No","Does not balance | ","")&amp;IF(I1105="","Not approved | ",IF(UPPER(TRIM(H1105))=UPPER(TRIM(I1105)),"Self-approved | ",""))&amp;IF(J1105="","No support | ","")&amp;IF(WEEKDAY(B1105,2)&gt;5,"Weekend posting | ","")&amp;IF(COUNTIF(Settings!$A$14:$A$43,B1105)&gt;0,"Holiday posting | ","")&amp;IF(B1105&gt;Settings!$C$8,"Posted after close | ","")&amp;IF(OR(B1105&lt;Settings!$C$6,B1105&gt;Settings!$C$7),"Outside period | ","")&amp;IF(COUNTIF(Settings!$E$14:$E$43,C1105&amp;"")&gt;0,"Sensitive account | ","")&amp;IF(AND(MAX(N(E1105),N(F1105))&gt;=Settings!$C$9,MOD(MAX(N(E1105),N(F1105)),Settings!$C$10)=0),"Round amount | ",""),LEN(IF(K1105="No","Does not balance | ","")&amp;IF(I1105="","Not approved | ",IF(UPPER(TRIM(H1105))=UPPER(TRIM(I1105)),"Self-approved | ",""))&amp;IF(J1105="","No support | ","")&amp;IF(WEEKDAY(B1105,2)&gt;5,"Weekend posting | ","")&amp;IF(COUNTIF(Settings!$A$14:$A$43,B1105)&gt;0,"Holiday posting | ","")&amp;IF(B1105&gt;Settings!$C$8,"Posted after close | ","")&amp;IF(OR(B1105&lt;Settings!$C$6,B1105&gt;Settings!$C$7),"Outside period | ","")&amp;IF(COUNTIF(Settings!$E$14:$E$43,C1105&amp;"")&gt;0,"Sensitive account | ","")&amp;IF(AND(MAX(N(E1105),N(F1105))&gt;=Settings!$C$9,MOD(MAX(N(E1105),N(F1105)),Settings!$C$10)=0),"Round amount | ",""))-3)))</f>
        <v/>
      </c>
      <c r="M1105" s="21" t="str">
        <f aca="false">IF(A1105="","",IF(COUNTIF($A$9:A1105,A1105)=1,MAX($M$8:M1104)+1,""))</f>
        <v/>
      </c>
    </row>
    <row r="1106" customFormat="false" ht="15" hidden="false" customHeight="false" outlineLevel="0" collapsed="false">
      <c r="A1106" s="8"/>
      <c r="B1106" s="17"/>
      <c r="C1106" s="19"/>
      <c r="D1106" s="8"/>
      <c r="E1106" s="18"/>
      <c r="F1106" s="18"/>
      <c r="G1106" s="8"/>
      <c r="H1106" s="8"/>
      <c r="I1106" s="8"/>
      <c r="J1106" s="8"/>
      <c r="K1106" s="10" t="str">
        <f aca="false">IF(A1106="","",IF(ABS(SUMIFS($E$9:$E$2008,$A$9:$A$2008,A1106)-SUMIFS($F$9:$F$2008,$A$9:$A$2008,A1106))&lt;0.5,"Yes","No"))</f>
        <v/>
      </c>
      <c r="L1106" s="10" t="str">
        <f aca="false">IF(A1106="","",IF(IF(K1106="No","Does not balance | ","")&amp;IF(I1106="","Not approved | ",IF(UPPER(TRIM(H1106))=UPPER(TRIM(I1106)),"Self-approved | ",""))&amp;IF(J1106="","No support | ","")&amp;IF(WEEKDAY(B1106,2)&gt;5,"Weekend posting | ","")&amp;IF(COUNTIF(Settings!$A$14:$A$43,B1106)&gt;0,"Holiday posting | ","")&amp;IF(B1106&gt;Settings!$C$8,"Posted after close | ","")&amp;IF(OR(B1106&lt;Settings!$C$6,B1106&gt;Settings!$C$7),"Outside period | ","")&amp;IF(COUNTIF(Settings!$E$14:$E$43,C1106&amp;"")&gt;0,"Sensitive account | ","")&amp;IF(AND(MAX(N(E1106),N(F1106))&gt;=Settings!$C$9,MOD(MAX(N(E1106),N(F1106)),Settings!$C$10)=0),"Round amount | ","")="","",LEFT(IF(K1106="No","Does not balance | ","")&amp;IF(I1106="","Not approved | ",IF(UPPER(TRIM(H1106))=UPPER(TRIM(I1106)),"Self-approved | ",""))&amp;IF(J1106="","No support | ","")&amp;IF(WEEKDAY(B1106,2)&gt;5,"Weekend posting | ","")&amp;IF(COUNTIF(Settings!$A$14:$A$43,B1106)&gt;0,"Holiday posting | ","")&amp;IF(B1106&gt;Settings!$C$8,"Posted after close | ","")&amp;IF(OR(B1106&lt;Settings!$C$6,B1106&gt;Settings!$C$7),"Outside period | ","")&amp;IF(COUNTIF(Settings!$E$14:$E$43,C1106&amp;"")&gt;0,"Sensitive account | ","")&amp;IF(AND(MAX(N(E1106),N(F1106))&gt;=Settings!$C$9,MOD(MAX(N(E1106),N(F1106)),Settings!$C$10)=0),"Round amount | ",""),LEN(IF(K1106="No","Does not balance | ","")&amp;IF(I1106="","Not approved | ",IF(UPPER(TRIM(H1106))=UPPER(TRIM(I1106)),"Self-approved | ",""))&amp;IF(J1106="","No support | ","")&amp;IF(WEEKDAY(B1106,2)&gt;5,"Weekend posting | ","")&amp;IF(COUNTIF(Settings!$A$14:$A$43,B1106)&gt;0,"Holiday posting | ","")&amp;IF(B1106&gt;Settings!$C$8,"Posted after close | ","")&amp;IF(OR(B1106&lt;Settings!$C$6,B1106&gt;Settings!$C$7),"Outside period | ","")&amp;IF(COUNTIF(Settings!$E$14:$E$43,C1106&amp;"")&gt;0,"Sensitive account | ","")&amp;IF(AND(MAX(N(E1106),N(F1106))&gt;=Settings!$C$9,MOD(MAX(N(E1106),N(F1106)),Settings!$C$10)=0),"Round amount | ",""))-3)))</f>
        <v/>
      </c>
      <c r="M1106" s="21" t="str">
        <f aca="false">IF(A1106="","",IF(COUNTIF($A$9:A1106,A1106)=1,MAX($M$8:M1105)+1,""))</f>
        <v/>
      </c>
    </row>
    <row r="1107" customFormat="false" ht="15" hidden="false" customHeight="false" outlineLevel="0" collapsed="false">
      <c r="A1107" s="8"/>
      <c r="B1107" s="17"/>
      <c r="C1107" s="19"/>
      <c r="D1107" s="8"/>
      <c r="E1107" s="18"/>
      <c r="F1107" s="18"/>
      <c r="G1107" s="8"/>
      <c r="H1107" s="8"/>
      <c r="I1107" s="8"/>
      <c r="J1107" s="8"/>
      <c r="K1107" s="10" t="str">
        <f aca="false">IF(A1107="","",IF(ABS(SUMIFS($E$9:$E$2008,$A$9:$A$2008,A1107)-SUMIFS($F$9:$F$2008,$A$9:$A$2008,A1107))&lt;0.5,"Yes","No"))</f>
        <v/>
      </c>
      <c r="L1107" s="10" t="str">
        <f aca="false">IF(A1107="","",IF(IF(K1107="No","Does not balance | ","")&amp;IF(I1107="","Not approved | ",IF(UPPER(TRIM(H1107))=UPPER(TRIM(I1107)),"Self-approved | ",""))&amp;IF(J1107="","No support | ","")&amp;IF(WEEKDAY(B1107,2)&gt;5,"Weekend posting | ","")&amp;IF(COUNTIF(Settings!$A$14:$A$43,B1107)&gt;0,"Holiday posting | ","")&amp;IF(B1107&gt;Settings!$C$8,"Posted after close | ","")&amp;IF(OR(B1107&lt;Settings!$C$6,B1107&gt;Settings!$C$7),"Outside period | ","")&amp;IF(COUNTIF(Settings!$E$14:$E$43,C1107&amp;"")&gt;0,"Sensitive account | ","")&amp;IF(AND(MAX(N(E1107),N(F1107))&gt;=Settings!$C$9,MOD(MAX(N(E1107),N(F1107)),Settings!$C$10)=0),"Round amount | ","")="","",LEFT(IF(K1107="No","Does not balance | ","")&amp;IF(I1107="","Not approved | ",IF(UPPER(TRIM(H1107))=UPPER(TRIM(I1107)),"Self-approved | ",""))&amp;IF(J1107="","No support | ","")&amp;IF(WEEKDAY(B1107,2)&gt;5,"Weekend posting | ","")&amp;IF(COUNTIF(Settings!$A$14:$A$43,B1107)&gt;0,"Holiday posting | ","")&amp;IF(B1107&gt;Settings!$C$8,"Posted after close | ","")&amp;IF(OR(B1107&lt;Settings!$C$6,B1107&gt;Settings!$C$7),"Outside period | ","")&amp;IF(COUNTIF(Settings!$E$14:$E$43,C1107&amp;"")&gt;0,"Sensitive account | ","")&amp;IF(AND(MAX(N(E1107),N(F1107))&gt;=Settings!$C$9,MOD(MAX(N(E1107),N(F1107)),Settings!$C$10)=0),"Round amount | ",""),LEN(IF(K1107="No","Does not balance | ","")&amp;IF(I1107="","Not approved | ",IF(UPPER(TRIM(H1107))=UPPER(TRIM(I1107)),"Self-approved | ",""))&amp;IF(J1107="","No support | ","")&amp;IF(WEEKDAY(B1107,2)&gt;5,"Weekend posting | ","")&amp;IF(COUNTIF(Settings!$A$14:$A$43,B1107)&gt;0,"Holiday posting | ","")&amp;IF(B1107&gt;Settings!$C$8,"Posted after close | ","")&amp;IF(OR(B1107&lt;Settings!$C$6,B1107&gt;Settings!$C$7),"Outside period | ","")&amp;IF(COUNTIF(Settings!$E$14:$E$43,C1107&amp;"")&gt;0,"Sensitive account | ","")&amp;IF(AND(MAX(N(E1107),N(F1107))&gt;=Settings!$C$9,MOD(MAX(N(E1107),N(F1107)),Settings!$C$10)=0),"Round amount | ",""))-3)))</f>
        <v/>
      </c>
      <c r="M1107" s="21" t="str">
        <f aca="false">IF(A1107="","",IF(COUNTIF($A$9:A1107,A1107)=1,MAX($M$8:M1106)+1,""))</f>
        <v/>
      </c>
    </row>
    <row r="1108" customFormat="false" ht="15" hidden="false" customHeight="false" outlineLevel="0" collapsed="false">
      <c r="A1108" s="8"/>
      <c r="B1108" s="17"/>
      <c r="C1108" s="19"/>
      <c r="D1108" s="8"/>
      <c r="E1108" s="18"/>
      <c r="F1108" s="18"/>
      <c r="G1108" s="8"/>
      <c r="H1108" s="8"/>
      <c r="I1108" s="8"/>
      <c r="J1108" s="8"/>
      <c r="K1108" s="10" t="str">
        <f aca="false">IF(A1108="","",IF(ABS(SUMIFS($E$9:$E$2008,$A$9:$A$2008,A1108)-SUMIFS($F$9:$F$2008,$A$9:$A$2008,A1108))&lt;0.5,"Yes","No"))</f>
        <v/>
      </c>
      <c r="L1108" s="10" t="str">
        <f aca="false">IF(A1108="","",IF(IF(K1108="No","Does not balance | ","")&amp;IF(I1108="","Not approved | ",IF(UPPER(TRIM(H1108))=UPPER(TRIM(I1108)),"Self-approved | ",""))&amp;IF(J1108="","No support | ","")&amp;IF(WEEKDAY(B1108,2)&gt;5,"Weekend posting | ","")&amp;IF(COUNTIF(Settings!$A$14:$A$43,B1108)&gt;0,"Holiday posting | ","")&amp;IF(B1108&gt;Settings!$C$8,"Posted after close | ","")&amp;IF(OR(B1108&lt;Settings!$C$6,B1108&gt;Settings!$C$7),"Outside period | ","")&amp;IF(COUNTIF(Settings!$E$14:$E$43,C1108&amp;"")&gt;0,"Sensitive account | ","")&amp;IF(AND(MAX(N(E1108),N(F1108))&gt;=Settings!$C$9,MOD(MAX(N(E1108),N(F1108)),Settings!$C$10)=0),"Round amount | ","")="","",LEFT(IF(K1108="No","Does not balance | ","")&amp;IF(I1108="","Not approved | ",IF(UPPER(TRIM(H1108))=UPPER(TRIM(I1108)),"Self-approved | ",""))&amp;IF(J1108="","No support | ","")&amp;IF(WEEKDAY(B1108,2)&gt;5,"Weekend posting | ","")&amp;IF(COUNTIF(Settings!$A$14:$A$43,B1108)&gt;0,"Holiday posting | ","")&amp;IF(B1108&gt;Settings!$C$8,"Posted after close | ","")&amp;IF(OR(B1108&lt;Settings!$C$6,B1108&gt;Settings!$C$7),"Outside period | ","")&amp;IF(COUNTIF(Settings!$E$14:$E$43,C1108&amp;"")&gt;0,"Sensitive account | ","")&amp;IF(AND(MAX(N(E1108),N(F1108))&gt;=Settings!$C$9,MOD(MAX(N(E1108),N(F1108)),Settings!$C$10)=0),"Round amount | ",""),LEN(IF(K1108="No","Does not balance | ","")&amp;IF(I1108="","Not approved | ",IF(UPPER(TRIM(H1108))=UPPER(TRIM(I1108)),"Self-approved | ",""))&amp;IF(J1108="","No support | ","")&amp;IF(WEEKDAY(B1108,2)&gt;5,"Weekend posting | ","")&amp;IF(COUNTIF(Settings!$A$14:$A$43,B1108)&gt;0,"Holiday posting | ","")&amp;IF(B1108&gt;Settings!$C$8,"Posted after close | ","")&amp;IF(OR(B1108&lt;Settings!$C$6,B1108&gt;Settings!$C$7),"Outside period | ","")&amp;IF(COUNTIF(Settings!$E$14:$E$43,C1108&amp;"")&gt;0,"Sensitive account | ","")&amp;IF(AND(MAX(N(E1108),N(F1108))&gt;=Settings!$C$9,MOD(MAX(N(E1108),N(F1108)),Settings!$C$10)=0),"Round amount | ",""))-3)))</f>
        <v/>
      </c>
      <c r="M1108" s="21" t="str">
        <f aca="false">IF(A1108="","",IF(COUNTIF($A$9:A1108,A1108)=1,MAX($M$8:M1107)+1,""))</f>
        <v/>
      </c>
    </row>
    <row r="1109" customFormat="false" ht="15" hidden="false" customHeight="false" outlineLevel="0" collapsed="false">
      <c r="A1109" s="8"/>
      <c r="B1109" s="17"/>
      <c r="C1109" s="19"/>
      <c r="D1109" s="8"/>
      <c r="E1109" s="18"/>
      <c r="F1109" s="18"/>
      <c r="G1109" s="8"/>
      <c r="H1109" s="8"/>
      <c r="I1109" s="8"/>
      <c r="J1109" s="8"/>
      <c r="K1109" s="10" t="str">
        <f aca="false">IF(A1109="","",IF(ABS(SUMIFS($E$9:$E$2008,$A$9:$A$2008,A1109)-SUMIFS($F$9:$F$2008,$A$9:$A$2008,A1109))&lt;0.5,"Yes","No"))</f>
        <v/>
      </c>
      <c r="L1109" s="10" t="str">
        <f aca="false">IF(A1109="","",IF(IF(K1109="No","Does not balance | ","")&amp;IF(I1109="","Not approved | ",IF(UPPER(TRIM(H1109))=UPPER(TRIM(I1109)),"Self-approved | ",""))&amp;IF(J1109="","No support | ","")&amp;IF(WEEKDAY(B1109,2)&gt;5,"Weekend posting | ","")&amp;IF(COUNTIF(Settings!$A$14:$A$43,B1109)&gt;0,"Holiday posting | ","")&amp;IF(B1109&gt;Settings!$C$8,"Posted after close | ","")&amp;IF(OR(B1109&lt;Settings!$C$6,B1109&gt;Settings!$C$7),"Outside period | ","")&amp;IF(COUNTIF(Settings!$E$14:$E$43,C1109&amp;"")&gt;0,"Sensitive account | ","")&amp;IF(AND(MAX(N(E1109),N(F1109))&gt;=Settings!$C$9,MOD(MAX(N(E1109),N(F1109)),Settings!$C$10)=0),"Round amount | ","")="","",LEFT(IF(K1109="No","Does not balance | ","")&amp;IF(I1109="","Not approved | ",IF(UPPER(TRIM(H1109))=UPPER(TRIM(I1109)),"Self-approved | ",""))&amp;IF(J1109="","No support | ","")&amp;IF(WEEKDAY(B1109,2)&gt;5,"Weekend posting | ","")&amp;IF(COUNTIF(Settings!$A$14:$A$43,B1109)&gt;0,"Holiday posting | ","")&amp;IF(B1109&gt;Settings!$C$8,"Posted after close | ","")&amp;IF(OR(B1109&lt;Settings!$C$6,B1109&gt;Settings!$C$7),"Outside period | ","")&amp;IF(COUNTIF(Settings!$E$14:$E$43,C1109&amp;"")&gt;0,"Sensitive account | ","")&amp;IF(AND(MAX(N(E1109),N(F1109))&gt;=Settings!$C$9,MOD(MAX(N(E1109),N(F1109)),Settings!$C$10)=0),"Round amount | ",""),LEN(IF(K1109="No","Does not balance | ","")&amp;IF(I1109="","Not approved | ",IF(UPPER(TRIM(H1109))=UPPER(TRIM(I1109)),"Self-approved | ",""))&amp;IF(J1109="","No support | ","")&amp;IF(WEEKDAY(B1109,2)&gt;5,"Weekend posting | ","")&amp;IF(COUNTIF(Settings!$A$14:$A$43,B1109)&gt;0,"Holiday posting | ","")&amp;IF(B1109&gt;Settings!$C$8,"Posted after close | ","")&amp;IF(OR(B1109&lt;Settings!$C$6,B1109&gt;Settings!$C$7),"Outside period | ","")&amp;IF(COUNTIF(Settings!$E$14:$E$43,C1109&amp;"")&gt;0,"Sensitive account | ","")&amp;IF(AND(MAX(N(E1109),N(F1109))&gt;=Settings!$C$9,MOD(MAX(N(E1109),N(F1109)),Settings!$C$10)=0),"Round amount | ",""))-3)))</f>
        <v/>
      </c>
      <c r="M1109" s="21" t="str">
        <f aca="false">IF(A1109="","",IF(COUNTIF($A$9:A1109,A1109)=1,MAX($M$8:M1108)+1,""))</f>
        <v/>
      </c>
    </row>
    <row r="1110" customFormat="false" ht="15" hidden="false" customHeight="false" outlineLevel="0" collapsed="false">
      <c r="A1110" s="8"/>
      <c r="B1110" s="17"/>
      <c r="C1110" s="19"/>
      <c r="D1110" s="8"/>
      <c r="E1110" s="18"/>
      <c r="F1110" s="18"/>
      <c r="G1110" s="8"/>
      <c r="H1110" s="8"/>
      <c r="I1110" s="8"/>
      <c r="J1110" s="8"/>
      <c r="K1110" s="10" t="str">
        <f aca="false">IF(A1110="","",IF(ABS(SUMIFS($E$9:$E$2008,$A$9:$A$2008,A1110)-SUMIFS($F$9:$F$2008,$A$9:$A$2008,A1110))&lt;0.5,"Yes","No"))</f>
        <v/>
      </c>
      <c r="L1110" s="10" t="str">
        <f aca="false">IF(A1110="","",IF(IF(K1110="No","Does not balance | ","")&amp;IF(I1110="","Not approved | ",IF(UPPER(TRIM(H1110))=UPPER(TRIM(I1110)),"Self-approved | ",""))&amp;IF(J1110="","No support | ","")&amp;IF(WEEKDAY(B1110,2)&gt;5,"Weekend posting | ","")&amp;IF(COUNTIF(Settings!$A$14:$A$43,B1110)&gt;0,"Holiday posting | ","")&amp;IF(B1110&gt;Settings!$C$8,"Posted after close | ","")&amp;IF(OR(B1110&lt;Settings!$C$6,B1110&gt;Settings!$C$7),"Outside period | ","")&amp;IF(COUNTIF(Settings!$E$14:$E$43,C1110&amp;"")&gt;0,"Sensitive account | ","")&amp;IF(AND(MAX(N(E1110),N(F1110))&gt;=Settings!$C$9,MOD(MAX(N(E1110),N(F1110)),Settings!$C$10)=0),"Round amount | ","")="","",LEFT(IF(K1110="No","Does not balance | ","")&amp;IF(I1110="","Not approved | ",IF(UPPER(TRIM(H1110))=UPPER(TRIM(I1110)),"Self-approved | ",""))&amp;IF(J1110="","No support | ","")&amp;IF(WEEKDAY(B1110,2)&gt;5,"Weekend posting | ","")&amp;IF(COUNTIF(Settings!$A$14:$A$43,B1110)&gt;0,"Holiday posting | ","")&amp;IF(B1110&gt;Settings!$C$8,"Posted after close | ","")&amp;IF(OR(B1110&lt;Settings!$C$6,B1110&gt;Settings!$C$7),"Outside period | ","")&amp;IF(COUNTIF(Settings!$E$14:$E$43,C1110&amp;"")&gt;0,"Sensitive account | ","")&amp;IF(AND(MAX(N(E1110),N(F1110))&gt;=Settings!$C$9,MOD(MAX(N(E1110),N(F1110)),Settings!$C$10)=0),"Round amount | ",""),LEN(IF(K1110="No","Does not balance | ","")&amp;IF(I1110="","Not approved | ",IF(UPPER(TRIM(H1110))=UPPER(TRIM(I1110)),"Self-approved | ",""))&amp;IF(J1110="","No support | ","")&amp;IF(WEEKDAY(B1110,2)&gt;5,"Weekend posting | ","")&amp;IF(COUNTIF(Settings!$A$14:$A$43,B1110)&gt;0,"Holiday posting | ","")&amp;IF(B1110&gt;Settings!$C$8,"Posted after close | ","")&amp;IF(OR(B1110&lt;Settings!$C$6,B1110&gt;Settings!$C$7),"Outside period | ","")&amp;IF(COUNTIF(Settings!$E$14:$E$43,C1110&amp;"")&gt;0,"Sensitive account | ","")&amp;IF(AND(MAX(N(E1110),N(F1110))&gt;=Settings!$C$9,MOD(MAX(N(E1110),N(F1110)),Settings!$C$10)=0),"Round amount | ",""))-3)))</f>
        <v/>
      </c>
      <c r="M1110" s="21" t="str">
        <f aca="false">IF(A1110="","",IF(COUNTIF($A$9:A1110,A1110)=1,MAX($M$8:M1109)+1,""))</f>
        <v/>
      </c>
    </row>
    <row r="1111" customFormat="false" ht="15" hidden="false" customHeight="false" outlineLevel="0" collapsed="false">
      <c r="A1111" s="8"/>
      <c r="B1111" s="17"/>
      <c r="C1111" s="19"/>
      <c r="D1111" s="8"/>
      <c r="E1111" s="18"/>
      <c r="F1111" s="18"/>
      <c r="G1111" s="8"/>
      <c r="H1111" s="8"/>
      <c r="I1111" s="8"/>
      <c r="J1111" s="8"/>
      <c r="K1111" s="10" t="str">
        <f aca="false">IF(A1111="","",IF(ABS(SUMIFS($E$9:$E$2008,$A$9:$A$2008,A1111)-SUMIFS($F$9:$F$2008,$A$9:$A$2008,A1111))&lt;0.5,"Yes","No"))</f>
        <v/>
      </c>
      <c r="L1111" s="10" t="str">
        <f aca="false">IF(A1111="","",IF(IF(K1111="No","Does not balance | ","")&amp;IF(I1111="","Not approved | ",IF(UPPER(TRIM(H1111))=UPPER(TRIM(I1111)),"Self-approved | ",""))&amp;IF(J1111="","No support | ","")&amp;IF(WEEKDAY(B1111,2)&gt;5,"Weekend posting | ","")&amp;IF(COUNTIF(Settings!$A$14:$A$43,B1111)&gt;0,"Holiday posting | ","")&amp;IF(B1111&gt;Settings!$C$8,"Posted after close | ","")&amp;IF(OR(B1111&lt;Settings!$C$6,B1111&gt;Settings!$C$7),"Outside period | ","")&amp;IF(COUNTIF(Settings!$E$14:$E$43,C1111&amp;"")&gt;0,"Sensitive account | ","")&amp;IF(AND(MAX(N(E1111),N(F1111))&gt;=Settings!$C$9,MOD(MAX(N(E1111),N(F1111)),Settings!$C$10)=0),"Round amount | ","")="","",LEFT(IF(K1111="No","Does not balance | ","")&amp;IF(I1111="","Not approved | ",IF(UPPER(TRIM(H1111))=UPPER(TRIM(I1111)),"Self-approved | ",""))&amp;IF(J1111="","No support | ","")&amp;IF(WEEKDAY(B1111,2)&gt;5,"Weekend posting | ","")&amp;IF(COUNTIF(Settings!$A$14:$A$43,B1111)&gt;0,"Holiday posting | ","")&amp;IF(B1111&gt;Settings!$C$8,"Posted after close | ","")&amp;IF(OR(B1111&lt;Settings!$C$6,B1111&gt;Settings!$C$7),"Outside period | ","")&amp;IF(COUNTIF(Settings!$E$14:$E$43,C1111&amp;"")&gt;0,"Sensitive account | ","")&amp;IF(AND(MAX(N(E1111),N(F1111))&gt;=Settings!$C$9,MOD(MAX(N(E1111),N(F1111)),Settings!$C$10)=0),"Round amount | ",""),LEN(IF(K1111="No","Does not balance | ","")&amp;IF(I1111="","Not approved | ",IF(UPPER(TRIM(H1111))=UPPER(TRIM(I1111)),"Self-approved | ",""))&amp;IF(J1111="","No support | ","")&amp;IF(WEEKDAY(B1111,2)&gt;5,"Weekend posting | ","")&amp;IF(COUNTIF(Settings!$A$14:$A$43,B1111)&gt;0,"Holiday posting | ","")&amp;IF(B1111&gt;Settings!$C$8,"Posted after close | ","")&amp;IF(OR(B1111&lt;Settings!$C$6,B1111&gt;Settings!$C$7),"Outside period | ","")&amp;IF(COUNTIF(Settings!$E$14:$E$43,C1111&amp;"")&gt;0,"Sensitive account | ","")&amp;IF(AND(MAX(N(E1111),N(F1111))&gt;=Settings!$C$9,MOD(MAX(N(E1111),N(F1111)),Settings!$C$10)=0),"Round amount | ",""))-3)))</f>
        <v/>
      </c>
      <c r="M1111" s="21" t="str">
        <f aca="false">IF(A1111="","",IF(COUNTIF($A$9:A1111,A1111)=1,MAX($M$8:M1110)+1,""))</f>
        <v/>
      </c>
    </row>
    <row r="1112" customFormat="false" ht="15" hidden="false" customHeight="false" outlineLevel="0" collapsed="false">
      <c r="A1112" s="8"/>
      <c r="B1112" s="17"/>
      <c r="C1112" s="19"/>
      <c r="D1112" s="8"/>
      <c r="E1112" s="18"/>
      <c r="F1112" s="18"/>
      <c r="G1112" s="8"/>
      <c r="H1112" s="8"/>
      <c r="I1112" s="8"/>
      <c r="J1112" s="8"/>
      <c r="K1112" s="10" t="str">
        <f aca="false">IF(A1112="","",IF(ABS(SUMIFS($E$9:$E$2008,$A$9:$A$2008,A1112)-SUMIFS($F$9:$F$2008,$A$9:$A$2008,A1112))&lt;0.5,"Yes","No"))</f>
        <v/>
      </c>
      <c r="L1112" s="10" t="str">
        <f aca="false">IF(A1112="","",IF(IF(K1112="No","Does not balance | ","")&amp;IF(I1112="","Not approved | ",IF(UPPER(TRIM(H1112))=UPPER(TRIM(I1112)),"Self-approved | ",""))&amp;IF(J1112="","No support | ","")&amp;IF(WEEKDAY(B1112,2)&gt;5,"Weekend posting | ","")&amp;IF(COUNTIF(Settings!$A$14:$A$43,B1112)&gt;0,"Holiday posting | ","")&amp;IF(B1112&gt;Settings!$C$8,"Posted after close | ","")&amp;IF(OR(B1112&lt;Settings!$C$6,B1112&gt;Settings!$C$7),"Outside period | ","")&amp;IF(COUNTIF(Settings!$E$14:$E$43,C1112&amp;"")&gt;0,"Sensitive account | ","")&amp;IF(AND(MAX(N(E1112),N(F1112))&gt;=Settings!$C$9,MOD(MAX(N(E1112),N(F1112)),Settings!$C$10)=0),"Round amount | ","")="","",LEFT(IF(K1112="No","Does not balance | ","")&amp;IF(I1112="","Not approved | ",IF(UPPER(TRIM(H1112))=UPPER(TRIM(I1112)),"Self-approved | ",""))&amp;IF(J1112="","No support | ","")&amp;IF(WEEKDAY(B1112,2)&gt;5,"Weekend posting | ","")&amp;IF(COUNTIF(Settings!$A$14:$A$43,B1112)&gt;0,"Holiday posting | ","")&amp;IF(B1112&gt;Settings!$C$8,"Posted after close | ","")&amp;IF(OR(B1112&lt;Settings!$C$6,B1112&gt;Settings!$C$7),"Outside period | ","")&amp;IF(COUNTIF(Settings!$E$14:$E$43,C1112&amp;"")&gt;0,"Sensitive account | ","")&amp;IF(AND(MAX(N(E1112),N(F1112))&gt;=Settings!$C$9,MOD(MAX(N(E1112),N(F1112)),Settings!$C$10)=0),"Round amount | ",""),LEN(IF(K1112="No","Does not balance | ","")&amp;IF(I1112="","Not approved | ",IF(UPPER(TRIM(H1112))=UPPER(TRIM(I1112)),"Self-approved | ",""))&amp;IF(J1112="","No support | ","")&amp;IF(WEEKDAY(B1112,2)&gt;5,"Weekend posting | ","")&amp;IF(COUNTIF(Settings!$A$14:$A$43,B1112)&gt;0,"Holiday posting | ","")&amp;IF(B1112&gt;Settings!$C$8,"Posted after close | ","")&amp;IF(OR(B1112&lt;Settings!$C$6,B1112&gt;Settings!$C$7),"Outside period | ","")&amp;IF(COUNTIF(Settings!$E$14:$E$43,C1112&amp;"")&gt;0,"Sensitive account | ","")&amp;IF(AND(MAX(N(E1112),N(F1112))&gt;=Settings!$C$9,MOD(MAX(N(E1112),N(F1112)),Settings!$C$10)=0),"Round amount | ",""))-3)))</f>
        <v/>
      </c>
      <c r="M1112" s="21" t="str">
        <f aca="false">IF(A1112="","",IF(COUNTIF($A$9:A1112,A1112)=1,MAX($M$8:M1111)+1,""))</f>
        <v/>
      </c>
    </row>
    <row r="1113" customFormat="false" ht="15" hidden="false" customHeight="false" outlineLevel="0" collapsed="false">
      <c r="A1113" s="8"/>
      <c r="B1113" s="17"/>
      <c r="C1113" s="19"/>
      <c r="D1113" s="8"/>
      <c r="E1113" s="18"/>
      <c r="F1113" s="18"/>
      <c r="G1113" s="8"/>
      <c r="H1113" s="8"/>
      <c r="I1113" s="8"/>
      <c r="J1113" s="8"/>
      <c r="K1113" s="10" t="str">
        <f aca="false">IF(A1113="","",IF(ABS(SUMIFS($E$9:$E$2008,$A$9:$A$2008,A1113)-SUMIFS($F$9:$F$2008,$A$9:$A$2008,A1113))&lt;0.5,"Yes","No"))</f>
        <v/>
      </c>
      <c r="L1113" s="10" t="str">
        <f aca="false">IF(A1113="","",IF(IF(K1113="No","Does not balance | ","")&amp;IF(I1113="","Not approved | ",IF(UPPER(TRIM(H1113))=UPPER(TRIM(I1113)),"Self-approved | ",""))&amp;IF(J1113="","No support | ","")&amp;IF(WEEKDAY(B1113,2)&gt;5,"Weekend posting | ","")&amp;IF(COUNTIF(Settings!$A$14:$A$43,B1113)&gt;0,"Holiday posting | ","")&amp;IF(B1113&gt;Settings!$C$8,"Posted after close | ","")&amp;IF(OR(B1113&lt;Settings!$C$6,B1113&gt;Settings!$C$7),"Outside period | ","")&amp;IF(COUNTIF(Settings!$E$14:$E$43,C1113&amp;"")&gt;0,"Sensitive account | ","")&amp;IF(AND(MAX(N(E1113),N(F1113))&gt;=Settings!$C$9,MOD(MAX(N(E1113),N(F1113)),Settings!$C$10)=0),"Round amount | ","")="","",LEFT(IF(K1113="No","Does not balance | ","")&amp;IF(I1113="","Not approved | ",IF(UPPER(TRIM(H1113))=UPPER(TRIM(I1113)),"Self-approved | ",""))&amp;IF(J1113="","No support | ","")&amp;IF(WEEKDAY(B1113,2)&gt;5,"Weekend posting | ","")&amp;IF(COUNTIF(Settings!$A$14:$A$43,B1113)&gt;0,"Holiday posting | ","")&amp;IF(B1113&gt;Settings!$C$8,"Posted after close | ","")&amp;IF(OR(B1113&lt;Settings!$C$6,B1113&gt;Settings!$C$7),"Outside period | ","")&amp;IF(COUNTIF(Settings!$E$14:$E$43,C1113&amp;"")&gt;0,"Sensitive account | ","")&amp;IF(AND(MAX(N(E1113),N(F1113))&gt;=Settings!$C$9,MOD(MAX(N(E1113),N(F1113)),Settings!$C$10)=0),"Round amount | ",""),LEN(IF(K1113="No","Does not balance | ","")&amp;IF(I1113="","Not approved | ",IF(UPPER(TRIM(H1113))=UPPER(TRIM(I1113)),"Self-approved | ",""))&amp;IF(J1113="","No support | ","")&amp;IF(WEEKDAY(B1113,2)&gt;5,"Weekend posting | ","")&amp;IF(COUNTIF(Settings!$A$14:$A$43,B1113)&gt;0,"Holiday posting | ","")&amp;IF(B1113&gt;Settings!$C$8,"Posted after close | ","")&amp;IF(OR(B1113&lt;Settings!$C$6,B1113&gt;Settings!$C$7),"Outside period | ","")&amp;IF(COUNTIF(Settings!$E$14:$E$43,C1113&amp;"")&gt;0,"Sensitive account | ","")&amp;IF(AND(MAX(N(E1113),N(F1113))&gt;=Settings!$C$9,MOD(MAX(N(E1113),N(F1113)),Settings!$C$10)=0),"Round amount | ",""))-3)))</f>
        <v/>
      </c>
      <c r="M1113" s="21" t="str">
        <f aca="false">IF(A1113="","",IF(COUNTIF($A$9:A1113,A1113)=1,MAX($M$8:M1112)+1,""))</f>
        <v/>
      </c>
    </row>
    <row r="1114" customFormat="false" ht="15" hidden="false" customHeight="false" outlineLevel="0" collapsed="false">
      <c r="A1114" s="8"/>
      <c r="B1114" s="17"/>
      <c r="C1114" s="19"/>
      <c r="D1114" s="8"/>
      <c r="E1114" s="18"/>
      <c r="F1114" s="18"/>
      <c r="G1114" s="8"/>
      <c r="H1114" s="8"/>
      <c r="I1114" s="8"/>
      <c r="J1114" s="8"/>
      <c r="K1114" s="10" t="str">
        <f aca="false">IF(A1114="","",IF(ABS(SUMIFS($E$9:$E$2008,$A$9:$A$2008,A1114)-SUMIFS($F$9:$F$2008,$A$9:$A$2008,A1114))&lt;0.5,"Yes","No"))</f>
        <v/>
      </c>
      <c r="L1114" s="10" t="str">
        <f aca="false">IF(A1114="","",IF(IF(K1114="No","Does not balance | ","")&amp;IF(I1114="","Not approved | ",IF(UPPER(TRIM(H1114))=UPPER(TRIM(I1114)),"Self-approved | ",""))&amp;IF(J1114="","No support | ","")&amp;IF(WEEKDAY(B1114,2)&gt;5,"Weekend posting | ","")&amp;IF(COUNTIF(Settings!$A$14:$A$43,B1114)&gt;0,"Holiday posting | ","")&amp;IF(B1114&gt;Settings!$C$8,"Posted after close | ","")&amp;IF(OR(B1114&lt;Settings!$C$6,B1114&gt;Settings!$C$7),"Outside period | ","")&amp;IF(COUNTIF(Settings!$E$14:$E$43,C1114&amp;"")&gt;0,"Sensitive account | ","")&amp;IF(AND(MAX(N(E1114),N(F1114))&gt;=Settings!$C$9,MOD(MAX(N(E1114),N(F1114)),Settings!$C$10)=0),"Round amount | ","")="","",LEFT(IF(K1114="No","Does not balance | ","")&amp;IF(I1114="","Not approved | ",IF(UPPER(TRIM(H1114))=UPPER(TRIM(I1114)),"Self-approved | ",""))&amp;IF(J1114="","No support | ","")&amp;IF(WEEKDAY(B1114,2)&gt;5,"Weekend posting | ","")&amp;IF(COUNTIF(Settings!$A$14:$A$43,B1114)&gt;0,"Holiday posting | ","")&amp;IF(B1114&gt;Settings!$C$8,"Posted after close | ","")&amp;IF(OR(B1114&lt;Settings!$C$6,B1114&gt;Settings!$C$7),"Outside period | ","")&amp;IF(COUNTIF(Settings!$E$14:$E$43,C1114&amp;"")&gt;0,"Sensitive account | ","")&amp;IF(AND(MAX(N(E1114),N(F1114))&gt;=Settings!$C$9,MOD(MAX(N(E1114),N(F1114)),Settings!$C$10)=0),"Round amount | ",""),LEN(IF(K1114="No","Does not balance | ","")&amp;IF(I1114="","Not approved | ",IF(UPPER(TRIM(H1114))=UPPER(TRIM(I1114)),"Self-approved | ",""))&amp;IF(J1114="","No support | ","")&amp;IF(WEEKDAY(B1114,2)&gt;5,"Weekend posting | ","")&amp;IF(COUNTIF(Settings!$A$14:$A$43,B1114)&gt;0,"Holiday posting | ","")&amp;IF(B1114&gt;Settings!$C$8,"Posted after close | ","")&amp;IF(OR(B1114&lt;Settings!$C$6,B1114&gt;Settings!$C$7),"Outside period | ","")&amp;IF(COUNTIF(Settings!$E$14:$E$43,C1114&amp;"")&gt;0,"Sensitive account | ","")&amp;IF(AND(MAX(N(E1114),N(F1114))&gt;=Settings!$C$9,MOD(MAX(N(E1114),N(F1114)),Settings!$C$10)=0),"Round amount | ",""))-3)))</f>
        <v/>
      </c>
      <c r="M1114" s="21" t="str">
        <f aca="false">IF(A1114="","",IF(COUNTIF($A$9:A1114,A1114)=1,MAX($M$8:M1113)+1,""))</f>
        <v/>
      </c>
    </row>
    <row r="1115" customFormat="false" ht="15" hidden="false" customHeight="false" outlineLevel="0" collapsed="false">
      <c r="A1115" s="8"/>
      <c r="B1115" s="17"/>
      <c r="C1115" s="19"/>
      <c r="D1115" s="8"/>
      <c r="E1115" s="18"/>
      <c r="F1115" s="18"/>
      <c r="G1115" s="8"/>
      <c r="H1115" s="8"/>
      <c r="I1115" s="8"/>
      <c r="J1115" s="8"/>
      <c r="K1115" s="10" t="str">
        <f aca="false">IF(A1115="","",IF(ABS(SUMIFS($E$9:$E$2008,$A$9:$A$2008,A1115)-SUMIFS($F$9:$F$2008,$A$9:$A$2008,A1115))&lt;0.5,"Yes","No"))</f>
        <v/>
      </c>
      <c r="L1115" s="10" t="str">
        <f aca="false">IF(A1115="","",IF(IF(K1115="No","Does not balance | ","")&amp;IF(I1115="","Not approved | ",IF(UPPER(TRIM(H1115))=UPPER(TRIM(I1115)),"Self-approved | ",""))&amp;IF(J1115="","No support | ","")&amp;IF(WEEKDAY(B1115,2)&gt;5,"Weekend posting | ","")&amp;IF(COUNTIF(Settings!$A$14:$A$43,B1115)&gt;0,"Holiday posting | ","")&amp;IF(B1115&gt;Settings!$C$8,"Posted after close | ","")&amp;IF(OR(B1115&lt;Settings!$C$6,B1115&gt;Settings!$C$7),"Outside period | ","")&amp;IF(COUNTIF(Settings!$E$14:$E$43,C1115&amp;"")&gt;0,"Sensitive account | ","")&amp;IF(AND(MAX(N(E1115),N(F1115))&gt;=Settings!$C$9,MOD(MAX(N(E1115),N(F1115)),Settings!$C$10)=0),"Round amount | ","")="","",LEFT(IF(K1115="No","Does not balance | ","")&amp;IF(I1115="","Not approved | ",IF(UPPER(TRIM(H1115))=UPPER(TRIM(I1115)),"Self-approved | ",""))&amp;IF(J1115="","No support | ","")&amp;IF(WEEKDAY(B1115,2)&gt;5,"Weekend posting | ","")&amp;IF(COUNTIF(Settings!$A$14:$A$43,B1115)&gt;0,"Holiday posting | ","")&amp;IF(B1115&gt;Settings!$C$8,"Posted after close | ","")&amp;IF(OR(B1115&lt;Settings!$C$6,B1115&gt;Settings!$C$7),"Outside period | ","")&amp;IF(COUNTIF(Settings!$E$14:$E$43,C1115&amp;"")&gt;0,"Sensitive account | ","")&amp;IF(AND(MAX(N(E1115),N(F1115))&gt;=Settings!$C$9,MOD(MAX(N(E1115),N(F1115)),Settings!$C$10)=0),"Round amount | ",""),LEN(IF(K1115="No","Does not balance | ","")&amp;IF(I1115="","Not approved | ",IF(UPPER(TRIM(H1115))=UPPER(TRIM(I1115)),"Self-approved | ",""))&amp;IF(J1115="","No support | ","")&amp;IF(WEEKDAY(B1115,2)&gt;5,"Weekend posting | ","")&amp;IF(COUNTIF(Settings!$A$14:$A$43,B1115)&gt;0,"Holiday posting | ","")&amp;IF(B1115&gt;Settings!$C$8,"Posted after close | ","")&amp;IF(OR(B1115&lt;Settings!$C$6,B1115&gt;Settings!$C$7),"Outside period | ","")&amp;IF(COUNTIF(Settings!$E$14:$E$43,C1115&amp;"")&gt;0,"Sensitive account | ","")&amp;IF(AND(MAX(N(E1115),N(F1115))&gt;=Settings!$C$9,MOD(MAX(N(E1115),N(F1115)),Settings!$C$10)=0),"Round amount | ",""))-3)))</f>
        <v/>
      </c>
      <c r="M1115" s="21" t="str">
        <f aca="false">IF(A1115="","",IF(COUNTIF($A$9:A1115,A1115)=1,MAX($M$8:M1114)+1,""))</f>
        <v/>
      </c>
    </row>
    <row r="1116" customFormat="false" ht="15" hidden="false" customHeight="false" outlineLevel="0" collapsed="false">
      <c r="A1116" s="8"/>
      <c r="B1116" s="17"/>
      <c r="C1116" s="19"/>
      <c r="D1116" s="8"/>
      <c r="E1116" s="18"/>
      <c r="F1116" s="18"/>
      <c r="G1116" s="8"/>
      <c r="H1116" s="8"/>
      <c r="I1116" s="8"/>
      <c r="J1116" s="8"/>
      <c r="K1116" s="10" t="str">
        <f aca="false">IF(A1116="","",IF(ABS(SUMIFS($E$9:$E$2008,$A$9:$A$2008,A1116)-SUMIFS($F$9:$F$2008,$A$9:$A$2008,A1116))&lt;0.5,"Yes","No"))</f>
        <v/>
      </c>
      <c r="L1116" s="10" t="str">
        <f aca="false">IF(A1116="","",IF(IF(K1116="No","Does not balance | ","")&amp;IF(I1116="","Not approved | ",IF(UPPER(TRIM(H1116))=UPPER(TRIM(I1116)),"Self-approved | ",""))&amp;IF(J1116="","No support | ","")&amp;IF(WEEKDAY(B1116,2)&gt;5,"Weekend posting | ","")&amp;IF(COUNTIF(Settings!$A$14:$A$43,B1116)&gt;0,"Holiday posting | ","")&amp;IF(B1116&gt;Settings!$C$8,"Posted after close | ","")&amp;IF(OR(B1116&lt;Settings!$C$6,B1116&gt;Settings!$C$7),"Outside period | ","")&amp;IF(COUNTIF(Settings!$E$14:$E$43,C1116&amp;"")&gt;0,"Sensitive account | ","")&amp;IF(AND(MAX(N(E1116),N(F1116))&gt;=Settings!$C$9,MOD(MAX(N(E1116),N(F1116)),Settings!$C$10)=0),"Round amount | ","")="","",LEFT(IF(K1116="No","Does not balance | ","")&amp;IF(I1116="","Not approved | ",IF(UPPER(TRIM(H1116))=UPPER(TRIM(I1116)),"Self-approved | ",""))&amp;IF(J1116="","No support | ","")&amp;IF(WEEKDAY(B1116,2)&gt;5,"Weekend posting | ","")&amp;IF(COUNTIF(Settings!$A$14:$A$43,B1116)&gt;0,"Holiday posting | ","")&amp;IF(B1116&gt;Settings!$C$8,"Posted after close | ","")&amp;IF(OR(B1116&lt;Settings!$C$6,B1116&gt;Settings!$C$7),"Outside period | ","")&amp;IF(COUNTIF(Settings!$E$14:$E$43,C1116&amp;"")&gt;0,"Sensitive account | ","")&amp;IF(AND(MAX(N(E1116),N(F1116))&gt;=Settings!$C$9,MOD(MAX(N(E1116),N(F1116)),Settings!$C$10)=0),"Round amount | ",""),LEN(IF(K1116="No","Does not balance | ","")&amp;IF(I1116="","Not approved | ",IF(UPPER(TRIM(H1116))=UPPER(TRIM(I1116)),"Self-approved | ",""))&amp;IF(J1116="","No support | ","")&amp;IF(WEEKDAY(B1116,2)&gt;5,"Weekend posting | ","")&amp;IF(COUNTIF(Settings!$A$14:$A$43,B1116)&gt;0,"Holiday posting | ","")&amp;IF(B1116&gt;Settings!$C$8,"Posted after close | ","")&amp;IF(OR(B1116&lt;Settings!$C$6,B1116&gt;Settings!$C$7),"Outside period | ","")&amp;IF(COUNTIF(Settings!$E$14:$E$43,C1116&amp;"")&gt;0,"Sensitive account | ","")&amp;IF(AND(MAX(N(E1116),N(F1116))&gt;=Settings!$C$9,MOD(MAX(N(E1116),N(F1116)),Settings!$C$10)=0),"Round amount | ",""))-3)))</f>
        <v/>
      </c>
      <c r="M1116" s="21" t="str">
        <f aca="false">IF(A1116="","",IF(COUNTIF($A$9:A1116,A1116)=1,MAX($M$8:M1115)+1,""))</f>
        <v/>
      </c>
    </row>
    <row r="1117" customFormat="false" ht="15" hidden="false" customHeight="false" outlineLevel="0" collapsed="false">
      <c r="A1117" s="8"/>
      <c r="B1117" s="17"/>
      <c r="C1117" s="19"/>
      <c r="D1117" s="8"/>
      <c r="E1117" s="18"/>
      <c r="F1117" s="18"/>
      <c r="G1117" s="8"/>
      <c r="H1117" s="8"/>
      <c r="I1117" s="8"/>
      <c r="J1117" s="8"/>
      <c r="K1117" s="10" t="str">
        <f aca="false">IF(A1117="","",IF(ABS(SUMIFS($E$9:$E$2008,$A$9:$A$2008,A1117)-SUMIFS($F$9:$F$2008,$A$9:$A$2008,A1117))&lt;0.5,"Yes","No"))</f>
        <v/>
      </c>
      <c r="L1117" s="10" t="str">
        <f aca="false">IF(A1117="","",IF(IF(K1117="No","Does not balance | ","")&amp;IF(I1117="","Not approved | ",IF(UPPER(TRIM(H1117))=UPPER(TRIM(I1117)),"Self-approved | ",""))&amp;IF(J1117="","No support | ","")&amp;IF(WEEKDAY(B1117,2)&gt;5,"Weekend posting | ","")&amp;IF(COUNTIF(Settings!$A$14:$A$43,B1117)&gt;0,"Holiday posting | ","")&amp;IF(B1117&gt;Settings!$C$8,"Posted after close | ","")&amp;IF(OR(B1117&lt;Settings!$C$6,B1117&gt;Settings!$C$7),"Outside period | ","")&amp;IF(COUNTIF(Settings!$E$14:$E$43,C1117&amp;"")&gt;0,"Sensitive account | ","")&amp;IF(AND(MAX(N(E1117),N(F1117))&gt;=Settings!$C$9,MOD(MAX(N(E1117),N(F1117)),Settings!$C$10)=0),"Round amount | ","")="","",LEFT(IF(K1117="No","Does not balance | ","")&amp;IF(I1117="","Not approved | ",IF(UPPER(TRIM(H1117))=UPPER(TRIM(I1117)),"Self-approved | ",""))&amp;IF(J1117="","No support | ","")&amp;IF(WEEKDAY(B1117,2)&gt;5,"Weekend posting | ","")&amp;IF(COUNTIF(Settings!$A$14:$A$43,B1117)&gt;0,"Holiday posting | ","")&amp;IF(B1117&gt;Settings!$C$8,"Posted after close | ","")&amp;IF(OR(B1117&lt;Settings!$C$6,B1117&gt;Settings!$C$7),"Outside period | ","")&amp;IF(COUNTIF(Settings!$E$14:$E$43,C1117&amp;"")&gt;0,"Sensitive account | ","")&amp;IF(AND(MAX(N(E1117),N(F1117))&gt;=Settings!$C$9,MOD(MAX(N(E1117),N(F1117)),Settings!$C$10)=0),"Round amount | ",""),LEN(IF(K1117="No","Does not balance | ","")&amp;IF(I1117="","Not approved | ",IF(UPPER(TRIM(H1117))=UPPER(TRIM(I1117)),"Self-approved | ",""))&amp;IF(J1117="","No support | ","")&amp;IF(WEEKDAY(B1117,2)&gt;5,"Weekend posting | ","")&amp;IF(COUNTIF(Settings!$A$14:$A$43,B1117)&gt;0,"Holiday posting | ","")&amp;IF(B1117&gt;Settings!$C$8,"Posted after close | ","")&amp;IF(OR(B1117&lt;Settings!$C$6,B1117&gt;Settings!$C$7),"Outside period | ","")&amp;IF(COUNTIF(Settings!$E$14:$E$43,C1117&amp;"")&gt;0,"Sensitive account | ","")&amp;IF(AND(MAX(N(E1117),N(F1117))&gt;=Settings!$C$9,MOD(MAX(N(E1117),N(F1117)),Settings!$C$10)=0),"Round amount | ",""))-3)))</f>
        <v/>
      </c>
      <c r="M1117" s="21" t="str">
        <f aca="false">IF(A1117="","",IF(COUNTIF($A$9:A1117,A1117)=1,MAX($M$8:M1116)+1,""))</f>
        <v/>
      </c>
    </row>
    <row r="1118" customFormat="false" ht="15" hidden="false" customHeight="false" outlineLevel="0" collapsed="false">
      <c r="A1118" s="8"/>
      <c r="B1118" s="17"/>
      <c r="C1118" s="19"/>
      <c r="D1118" s="8"/>
      <c r="E1118" s="18"/>
      <c r="F1118" s="18"/>
      <c r="G1118" s="8"/>
      <c r="H1118" s="8"/>
      <c r="I1118" s="8"/>
      <c r="J1118" s="8"/>
      <c r="K1118" s="10" t="str">
        <f aca="false">IF(A1118="","",IF(ABS(SUMIFS($E$9:$E$2008,$A$9:$A$2008,A1118)-SUMIFS($F$9:$F$2008,$A$9:$A$2008,A1118))&lt;0.5,"Yes","No"))</f>
        <v/>
      </c>
      <c r="L1118" s="10" t="str">
        <f aca="false">IF(A1118="","",IF(IF(K1118="No","Does not balance | ","")&amp;IF(I1118="","Not approved | ",IF(UPPER(TRIM(H1118))=UPPER(TRIM(I1118)),"Self-approved | ",""))&amp;IF(J1118="","No support | ","")&amp;IF(WEEKDAY(B1118,2)&gt;5,"Weekend posting | ","")&amp;IF(COUNTIF(Settings!$A$14:$A$43,B1118)&gt;0,"Holiday posting | ","")&amp;IF(B1118&gt;Settings!$C$8,"Posted after close | ","")&amp;IF(OR(B1118&lt;Settings!$C$6,B1118&gt;Settings!$C$7),"Outside period | ","")&amp;IF(COUNTIF(Settings!$E$14:$E$43,C1118&amp;"")&gt;0,"Sensitive account | ","")&amp;IF(AND(MAX(N(E1118),N(F1118))&gt;=Settings!$C$9,MOD(MAX(N(E1118),N(F1118)),Settings!$C$10)=0),"Round amount | ","")="","",LEFT(IF(K1118="No","Does not balance | ","")&amp;IF(I1118="","Not approved | ",IF(UPPER(TRIM(H1118))=UPPER(TRIM(I1118)),"Self-approved | ",""))&amp;IF(J1118="","No support | ","")&amp;IF(WEEKDAY(B1118,2)&gt;5,"Weekend posting | ","")&amp;IF(COUNTIF(Settings!$A$14:$A$43,B1118)&gt;0,"Holiday posting | ","")&amp;IF(B1118&gt;Settings!$C$8,"Posted after close | ","")&amp;IF(OR(B1118&lt;Settings!$C$6,B1118&gt;Settings!$C$7),"Outside period | ","")&amp;IF(COUNTIF(Settings!$E$14:$E$43,C1118&amp;"")&gt;0,"Sensitive account | ","")&amp;IF(AND(MAX(N(E1118),N(F1118))&gt;=Settings!$C$9,MOD(MAX(N(E1118),N(F1118)),Settings!$C$10)=0),"Round amount | ",""),LEN(IF(K1118="No","Does not balance | ","")&amp;IF(I1118="","Not approved | ",IF(UPPER(TRIM(H1118))=UPPER(TRIM(I1118)),"Self-approved | ",""))&amp;IF(J1118="","No support | ","")&amp;IF(WEEKDAY(B1118,2)&gt;5,"Weekend posting | ","")&amp;IF(COUNTIF(Settings!$A$14:$A$43,B1118)&gt;0,"Holiday posting | ","")&amp;IF(B1118&gt;Settings!$C$8,"Posted after close | ","")&amp;IF(OR(B1118&lt;Settings!$C$6,B1118&gt;Settings!$C$7),"Outside period | ","")&amp;IF(COUNTIF(Settings!$E$14:$E$43,C1118&amp;"")&gt;0,"Sensitive account | ","")&amp;IF(AND(MAX(N(E1118),N(F1118))&gt;=Settings!$C$9,MOD(MAX(N(E1118),N(F1118)),Settings!$C$10)=0),"Round amount | ",""))-3)))</f>
        <v/>
      </c>
      <c r="M1118" s="21" t="str">
        <f aca="false">IF(A1118="","",IF(COUNTIF($A$9:A1118,A1118)=1,MAX($M$8:M1117)+1,""))</f>
        <v/>
      </c>
    </row>
    <row r="1119" customFormat="false" ht="15" hidden="false" customHeight="false" outlineLevel="0" collapsed="false">
      <c r="A1119" s="8"/>
      <c r="B1119" s="17"/>
      <c r="C1119" s="19"/>
      <c r="D1119" s="8"/>
      <c r="E1119" s="18"/>
      <c r="F1119" s="18"/>
      <c r="G1119" s="8"/>
      <c r="H1119" s="8"/>
      <c r="I1119" s="8"/>
      <c r="J1119" s="8"/>
      <c r="K1119" s="10" t="str">
        <f aca="false">IF(A1119="","",IF(ABS(SUMIFS($E$9:$E$2008,$A$9:$A$2008,A1119)-SUMIFS($F$9:$F$2008,$A$9:$A$2008,A1119))&lt;0.5,"Yes","No"))</f>
        <v/>
      </c>
      <c r="L1119" s="10" t="str">
        <f aca="false">IF(A1119="","",IF(IF(K1119="No","Does not balance | ","")&amp;IF(I1119="","Not approved | ",IF(UPPER(TRIM(H1119))=UPPER(TRIM(I1119)),"Self-approved | ",""))&amp;IF(J1119="","No support | ","")&amp;IF(WEEKDAY(B1119,2)&gt;5,"Weekend posting | ","")&amp;IF(COUNTIF(Settings!$A$14:$A$43,B1119)&gt;0,"Holiday posting | ","")&amp;IF(B1119&gt;Settings!$C$8,"Posted after close | ","")&amp;IF(OR(B1119&lt;Settings!$C$6,B1119&gt;Settings!$C$7),"Outside period | ","")&amp;IF(COUNTIF(Settings!$E$14:$E$43,C1119&amp;"")&gt;0,"Sensitive account | ","")&amp;IF(AND(MAX(N(E1119),N(F1119))&gt;=Settings!$C$9,MOD(MAX(N(E1119),N(F1119)),Settings!$C$10)=0),"Round amount | ","")="","",LEFT(IF(K1119="No","Does not balance | ","")&amp;IF(I1119="","Not approved | ",IF(UPPER(TRIM(H1119))=UPPER(TRIM(I1119)),"Self-approved | ",""))&amp;IF(J1119="","No support | ","")&amp;IF(WEEKDAY(B1119,2)&gt;5,"Weekend posting | ","")&amp;IF(COUNTIF(Settings!$A$14:$A$43,B1119)&gt;0,"Holiday posting | ","")&amp;IF(B1119&gt;Settings!$C$8,"Posted after close | ","")&amp;IF(OR(B1119&lt;Settings!$C$6,B1119&gt;Settings!$C$7),"Outside period | ","")&amp;IF(COUNTIF(Settings!$E$14:$E$43,C1119&amp;"")&gt;0,"Sensitive account | ","")&amp;IF(AND(MAX(N(E1119),N(F1119))&gt;=Settings!$C$9,MOD(MAX(N(E1119),N(F1119)),Settings!$C$10)=0),"Round amount | ",""),LEN(IF(K1119="No","Does not balance | ","")&amp;IF(I1119="","Not approved | ",IF(UPPER(TRIM(H1119))=UPPER(TRIM(I1119)),"Self-approved | ",""))&amp;IF(J1119="","No support | ","")&amp;IF(WEEKDAY(B1119,2)&gt;5,"Weekend posting | ","")&amp;IF(COUNTIF(Settings!$A$14:$A$43,B1119)&gt;0,"Holiday posting | ","")&amp;IF(B1119&gt;Settings!$C$8,"Posted after close | ","")&amp;IF(OR(B1119&lt;Settings!$C$6,B1119&gt;Settings!$C$7),"Outside period | ","")&amp;IF(COUNTIF(Settings!$E$14:$E$43,C1119&amp;"")&gt;0,"Sensitive account | ","")&amp;IF(AND(MAX(N(E1119),N(F1119))&gt;=Settings!$C$9,MOD(MAX(N(E1119),N(F1119)),Settings!$C$10)=0),"Round amount | ",""))-3)))</f>
        <v/>
      </c>
      <c r="M1119" s="21" t="str">
        <f aca="false">IF(A1119="","",IF(COUNTIF($A$9:A1119,A1119)=1,MAX($M$8:M1118)+1,""))</f>
        <v/>
      </c>
    </row>
    <row r="1120" customFormat="false" ht="15" hidden="false" customHeight="false" outlineLevel="0" collapsed="false">
      <c r="A1120" s="8"/>
      <c r="B1120" s="17"/>
      <c r="C1120" s="19"/>
      <c r="D1120" s="8"/>
      <c r="E1120" s="18"/>
      <c r="F1120" s="18"/>
      <c r="G1120" s="8"/>
      <c r="H1120" s="8"/>
      <c r="I1120" s="8"/>
      <c r="J1120" s="8"/>
      <c r="K1120" s="10" t="str">
        <f aca="false">IF(A1120="","",IF(ABS(SUMIFS($E$9:$E$2008,$A$9:$A$2008,A1120)-SUMIFS($F$9:$F$2008,$A$9:$A$2008,A1120))&lt;0.5,"Yes","No"))</f>
        <v/>
      </c>
      <c r="L1120" s="10" t="str">
        <f aca="false">IF(A1120="","",IF(IF(K1120="No","Does not balance | ","")&amp;IF(I1120="","Not approved | ",IF(UPPER(TRIM(H1120))=UPPER(TRIM(I1120)),"Self-approved | ",""))&amp;IF(J1120="","No support | ","")&amp;IF(WEEKDAY(B1120,2)&gt;5,"Weekend posting | ","")&amp;IF(COUNTIF(Settings!$A$14:$A$43,B1120)&gt;0,"Holiday posting | ","")&amp;IF(B1120&gt;Settings!$C$8,"Posted after close | ","")&amp;IF(OR(B1120&lt;Settings!$C$6,B1120&gt;Settings!$C$7),"Outside period | ","")&amp;IF(COUNTIF(Settings!$E$14:$E$43,C1120&amp;"")&gt;0,"Sensitive account | ","")&amp;IF(AND(MAX(N(E1120),N(F1120))&gt;=Settings!$C$9,MOD(MAX(N(E1120),N(F1120)),Settings!$C$10)=0),"Round amount | ","")="","",LEFT(IF(K1120="No","Does not balance | ","")&amp;IF(I1120="","Not approved | ",IF(UPPER(TRIM(H1120))=UPPER(TRIM(I1120)),"Self-approved | ",""))&amp;IF(J1120="","No support | ","")&amp;IF(WEEKDAY(B1120,2)&gt;5,"Weekend posting | ","")&amp;IF(COUNTIF(Settings!$A$14:$A$43,B1120)&gt;0,"Holiday posting | ","")&amp;IF(B1120&gt;Settings!$C$8,"Posted after close | ","")&amp;IF(OR(B1120&lt;Settings!$C$6,B1120&gt;Settings!$C$7),"Outside period | ","")&amp;IF(COUNTIF(Settings!$E$14:$E$43,C1120&amp;"")&gt;0,"Sensitive account | ","")&amp;IF(AND(MAX(N(E1120),N(F1120))&gt;=Settings!$C$9,MOD(MAX(N(E1120),N(F1120)),Settings!$C$10)=0),"Round amount | ",""),LEN(IF(K1120="No","Does not balance | ","")&amp;IF(I1120="","Not approved | ",IF(UPPER(TRIM(H1120))=UPPER(TRIM(I1120)),"Self-approved | ",""))&amp;IF(J1120="","No support | ","")&amp;IF(WEEKDAY(B1120,2)&gt;5,"Weekend posting | ","")&amp;IF(COUNTIF(Settings!$A$14:$A$43,B1120)&gt;0,"Holiday posting | ","")&amp;IF(B1120&gt;Settings!$C$8,"Posted after close | ","")&amp;IF(OR(B1120&lt;Settings!$C$6,B1120&gt;Settings!$C$7),"Outside period | ","")&amp;IF(COUNTIF(Settings!$E$14:$E$43,C1120&amp;"")&gt;0,"Sensitive account | ","")&amp;IF(AND(MAX(N(E1120),N(F1120))&gt;=Settings!$C$9,MOD(MAX(N(E1120),N(F1120)),Settings!$C$10)=0),"Round amount | ",""))-3)))</f>
        <v/>
      </c>
      <c r="M1120" s="21" t="str">
        <f aca="false">IF(A1120="","",IF(COUNTIF($A$9:A1120,A1120)=1,MAX($M$8:M1119)+1,""))</f>
        <v/>
      </c>
    </row>
    <row r="1121" customFormat="false" ht="15" hidden="false" customHeight="false" outlineLevel="0" collapsed="false">
      <c r="A1121" s="8"/>
      <c r="B1121" s="17"/>
      <c r="C1121" s="19"/>
      <c r="D1121" s="8"/>
      <c r="E1121" s="18"/>
      <c r="F1121" s="18"/>
      <c r="G1121" s="8"/>
      <c r="H1121" s="8"/>
      <c r="I1121" s="8"/>
      <c r="J1121" s="8"/>
      <c r="K1121" s="10" t="str">
        <f aca="false">IF(A1121="","",IF(ABS(SUMIFS($E$9:$E$2008,$A$9:$A$2008,A1121)-SUMIFS($F$9:$F$2008,$A$9:$A$2008,A1121))&lt;0.5,"Yes","No"))</f>
        <v/>
      </c>
      <c r="L1121" s="10" t="str">
        <f aca="false">IF(A1121="","",IF(IF(K1121="No","Does not balance | ","")&amp;IF(I1121="","Not approved | ",IF(UPPER(TRIM(H1121))=UPPER(TRIM(I1121)),"Self-approved | ",""))&amp;IF(J1121="","No support | ","")&amp;IF(WEEKDAY(B1121,2)&gt;5,"Weekend posting | ","")&amp;IF(COUNTIF(Settings!$A$14:$A$43,B1121)&gt;0,"Holiday posting | ","")&amp;IF(B1121&gt;Settings!$C$8,"Posted after close | ","")&amp;IF(OR(B1121&lt;Settings!$C$6,B1121&gt;Settings!$C$7),"Outside period | ","")&amp;IF(COUNTIF(Settings!$E$14:$E$43,C1121&amp;"")&gt;0,"Sensitive account | ","")&amp;IF(AND(MAX(N(E1121),N(F1121))&gt;=Settings!$C$9,MOD(MAX(N(E1121),N(F1121)),Settings!$C$10)=0),"Round amount | ","")="","",LEFT(IF(K1121="No","Does not balance | ","")&amp;IF(I1121="","Not approved | ",IF(UPPER(TRIM(H1121))=UPPER(TRIM(I1121)),"Self-approved | ",""))&amp;IF(J1121="","No support | ","")&amp;IF(WEEKDAY(B1121,2)&gt;5,"Weekend posting | ","")&amp;IF(COUNTIF(Settings!$A$14:$A$43,B1121)&gt;0,"Holiday posting | ","")&amp;IF(B1121&gt;Settings!$C$8,"Posted after close | ","")&amp;IF(OR(B1121&lt;Settings!$C$6,B1121&gt;Settings!$C$7),"Outside period | ","")&amp;IF(COUNTIF(Settings!$E$14:$E$43,C1121&amp;"")&gt;0,"Sensitive account | ","")&amp;IF(AND(MAX(N(E1121),N(F1121))&gt;=Settings!$C$9,MOD(MAX(N(E1121),N(F1121)),Settings!$C$10)=0),"Round amount | ",""),LEN(IF(K1121="No","Does not balance | ","")&amp;IF(I1121="","Not approved | ",IF(UPPER(TRIM(H1121))=UPPER(TRIM(I1121)),"Self-approved | ",""))&amp;IF(J1121="","No support | ","")&amp;IF(WEEKDAY(B1121,2)&gt;5,"Weekend posting | ","")&amp;IF(COUNTIF(Settings!$A$14:$A$43,B1121)&gt;0,"Holiday posting | ","")&amp;IF(B1121&gt;Settings!$C$8,"Posted after close | ","")&amp;IF(OR(B1121&lt;Settings!$C$6,B1121&gt;Settings!$C$7),"Outside period | ","")&amp;IF(COUNTIF(Settings!$E$14:$E$43,C1121&amp;"")&gt;0,"Sensitive account | ","")&amp;IF(AND(MAX(N(E1121),N(F1121))&gt;=Settings!$C$9,MOD(MAX(N(E1121),N(F1121)),Settings!$C$10)=0),"Round amount | ",""))-3)))</f>
        <v/>
      </c>
      <c r="M1121" s="21" t="str">
        <f aca="false">IF(A1121="","",IF(COUNTIF($A$9:A1121,A1121)=1,MAX($M$8:M1120)+1,""))</f>
        <v/>
      </c>
    </row>
    <row r="1122" customFormat="false" ht="15" hidden="false" customHeight="false" outlineLevel="0" collapsed="false">
      <c r="A1122" s="8"/>
      <c r="B1122" s="17"/>
      <c r="C1122" s="19"/>
      <c r="D1122" s="8"/>
      <c r="E1122" s="18"/>
      <c r="F1122" s="18"/>
      <c r="G1122" s="8"/>
      <c r="H1122" s="8"/>
      <c r="I1122" s="8"/>
      <c r="J1122" s="8"/>
      <c r="K1122" s="10" t="str">
        <f aca="false">IF(A1122="","",IF(ABS(SUMIFS($E$9:$E$2008,$A$9:$A$2008,A1122)-SUMIFS($F$9:$F$2008,$A$9:$A$2008,A1122))&lt;0.5,"Yes","No"))</f>
        <v/>
      </c>
      <c r="L1122" s="10" t="str">
        <f aca="false">IF(A1122="","",IF(IF(K1122="No","Does not balance | ","")&amp;IF(I1122="","Not approved | ",IF(UPPER(TRIM(H1122))=UPPER(TRIM(I1122)),"Self-approved | ",""))&amp;IF(J1122="","No support | ","")&amp;IF(WEEKDAY(B1122,2)&gt;5,"Weekend posting | ","")&amp;IF(COUNTIF(Settings!$A$14:$A$43,B1122)&gt;0,"Holiday posting | ","")&amp;IF(B1122&gt;Settings!$C$8,"Posted after close | ","")&amp;IF(OR(B1122&lt;Settings!$C$6,B1122&gt;Settings!$C$7),"Outside period | ","")&amp;IF(COUNTIF(Settings!$E$14:$E$43,C1122&amp;"")&gt;0,"Sensitive account | ","")&amp;IF(AND(MAX(N(E1122),N(F1122))&gt;=Settings!$C$9,MOD(MAX(N(E1122),N(F1122)),Settings!$C$10)=0),"Round amount | ","")="","",LEFT(IF(K1122="No","Does not balance | ","")&amp;IF(I1122="","Not approved | ",IF(UPPER(TRIM(H1122))=UPPER(TRIM(I1122)),"Self-approved | ",""))&amp;IF(J1122="","No support | ","")&amp;IF(WEEKDAY(B1122,2)&gt;5,"Weekend posting | ","")&amp;IF(COUNTIF(Settings!$A$14:$A$43,B1122)&gt;0,"Holiday posting | ","")&amp;IF(B1122&gt;Settings!$C$8,"Posted after close | ","")&amp;IF(OR(B1122&lt;Settings!$C$6,B1122&gt;Settings!$C$7),"Outside period | ","")&amp;IF(COUNTIF(Settings!$E$14:$E$43,C1122&amp;"")&gt;0,"Sensitive account | ","")&amp;IF(AND(MAX(N(E1122),N(F1122))&gt;=Settings!$C$9,MOD(MAX(N(E1122),N(F1122)),Settings!$C$10)=0),"Round amount | ",""),LEN(IF(K1122="No","Does not balance | ","")&amp;IF(I1122="","Not approved | ",IF(UPPER(TRIM(H1122))=UPPER(TRIM(I1122)),"Self-approved | ",""))&amp;IF(J1122="","No support | ","")&amp;IF(WEEKDAY(B1122,2)&gt;5,"Weekend posting | ","")&amp;IF(COUNTIF(Settings!$A$14:$A$43,B1122)&gt;0,"Holiday posting | ","")&amp;IF(B1122&gt;Settings!$C$8,"Posted after close | ","")&amp;IF(OR(B1122&lt;Settings!$C$6,B1122&gt;Settings!$C$7),"Outside period | ","")&amp;IF(COUNTIF(Settings!$E$14:$E$43,C1122&amp;"")&gt;0,"Sensitive account | ","")&amp;IF(AND(MAX(N(E1122),N(F1122))&gt;=Settings!$C$9,MOD(MAX(N(E1122),N(F1122)),Settings!$C$10)=0),"Round amount | ",""))-3)))</f>
        <v/>
      </c>
      <c r="M1122" s="21" t="str">
        <f aca="false">IF(A1122="","",IF(COUNTIF($A$9:A1122,A1122)=1,MAX($M$8:M1121)+1,""))</f>
        <v/>
      </c>
    </row>
    <row r="1123" customFormat="false" ht="15" hidden="false" customHeight="false" outlineLevel="0" collapsed="false">
      <c r="A1123" s="8"/>
      <c r="B1123" s="17"/>
      <c r="C1123" s="19"/>
      <c r="D1123" s="8"/>
      <c r="E1123" s="18"/>
      <c r="F1123" s="18"/>
      <c r="G1123" s="8"/>
      <c r="H1123" s="8"/>
      <c r="I1123" s="8"/>
      <c r="J1123" s="8"/>
      <c r="K1123" s="10" t="str">
        <f aca="false">IF(A1123="","",IF(ABS(SUMIFS($E$9:$E$2008,$A$9:$A$2008,A1123)-SUMIFS($F$9:$F$2008,$A$9:$A$2008,A1123))&lt;0.5,"Yes","No"))</f>
        <v/>
      </c>
      <c r="L1123" s="10" t="str">
        <f aca="false">IF(A1123="","",IF(IF(K1123="No","Does not balance | ","")&amp;IF(I1123="","Not approved | ",IF(UPPER(TRIM(H1123))=UPPER(TRIM(I1123)),"Self-approved | ",""))&amp;IF(J1123="","No support | ","")&amp;IF(WEEKDAY(B1123,2)&gt;5,"Weekend posting | ","")&amp;IF(COUNTIF(Settings!$A$14:$A$43,B1123)&gt;0,"Holiday posting | ","")&amp;IF(B1123&gt;Settings!$C$8,"Posted after close | ","")&amp;IF(OR(B1123&lt;Settings!$C$6,B1123&gt;Settings!$C$7),"Outside period | ","")&amp;IF(COUNTIF(Settings!$E$14:$E$43,C1123&amp;"")&gt;0,"Sensitive account | ","")&amp;IF(AND(MAX(N(E1123),N(F1123))&gt;=Settings!$C$9,MOD(MAX(N(E1123),N(F1123)),Settings!$C$10)=0),"Round amount | ","")="","",LEFT(IF(K1123="No","Does not balance | ","")&amp;IF(I1123="","Not approved | ",IF(UPPER(TRIM(H1123))=UPPER(TRIM(I1123)),"Self-approved | ",""))&amp;IF(J1123="","No support | ","")&amp;IF(WEEKDAY(B1123,2)&gt;5,"Weekend posting | ","")&amp;IF(COUNTIF(Settings!$A$14:$A$43,B1123)&gt;0,"Holiday posting | ","")&amp;IF(B1123&gt;Settings!$C$8,"Posted after close | ","")&amp;IF(OR(B1123&lt;Settings!$C$6,B1123&gt;Settings!$C$7),"Outside period | ","")&amp;IF(COUNTIF(Settings!$E$14:$E$43,C1123&amp;"")&gt;0,"Sensitive account | ","")&amp;IF(AND(MAX(N(E1123),N(F1123))&gt;=Settings!$C$9,MOD(MAX(N(E1123),N(F1123)),Settings!$C$10)=0),"Round amount | ",""),LEN(IF(K1123="No","Does not balance | ","")&amp;IF(I1123="","Not approved | ",IF(UPPER(TRIM(H1123))=UPPER(TRIM(I1123)),"Self-approved | ",""))&amp;IF(J1123="","No support | ","")&amp;IF(WEEKDAY(B1123,2)&gt;5,"Weekend posting | ","")&amp;IF(COUNTIF(Settings!$A$14:$A$43,B1123)&gt;0,"Holiday posting | ","")&amp;IF(B1123&gt;Settings!$C$8,"Posted after close | ","")&amp;IF(OR(B1123&lt;Settings!$C$6,B1123&gt;Settings!$C$7),"Outside period | ","")&amp;IF(COUNTIF(Settings!$E$14:$E$43,C1123&amp;"")&gt;0,"Sensitive account | ","")&amp;IF(AND(MAX(N(E1123),N(F1123))&gt;=Settings!$C$9,MOD(MAX(N(E1123),N(F1123)),Settings!$C$10)=0),"Round amount | ",""))-3)))</f>
        <v/>
      </c>
      <c r="M1123" s="21" t="str">
        <f aca="false">IF(A1123="","",IF(COUNTIF($A$9:A1123,A1123)=1,MAX($M$8:M1122)+1,""))</f>
        <v/>
      </c>
    </row>
    <row r="1124" customFormat="false" ht="15" hidden="false" customHeight="false" outlineLevel="0" collapsed="false">
      <c r="A1124" s="8"/>
      <c r="B1124" s="17"/>
      <c r="C1124" s="19"/>
      <c r="D1124" s="8"/>
      <c r="E1124" s="18"/>
      <c r="F1124" s="18"/>
      <c r="G1124" s="8"/>
      <c r="H1124" s="8"/>
      <c r="I1124" s="8"/>
      <c r="J1124" s="8"/>
      <c r="K1124" s="10" t="str">
        <f aca="false">IF(A1124="","",IF(ABS(SUMIFS($E$9:$E$2008,$A$9:$A$2008,A1124)-SUMIFS($F$9:$F$2008,$A$9:$A$2008,A1124))&lt;0.5,"Yes","No"))</f>
        <v/>
      </c>
      <c r="L1124" s="10" t="str">
        <f aca="false">IF(A1124="","",IF(IF(K1124="No","Does not balance | ","")&amp;IF(I1124="","Not approved | ",IF(UPPER(TRIM(H1124))=UPPER(TRIM(I1124)),"Self-approved | ",""))&amp;IF(J1124="","No support | ","")&amp;IF(WEEKDAY(B1124,2)&gt;5,"Weekend posting | ","")&amp;IF(COUNTIF(Settings!$A$14:$A$43,B1124)&gt;0,"Holiday posting | ","")&amp;IF(B1124&gt;Settings!$C$8,"Posted after close | ","")&amp;IF(OR(B1124&lt;Settings!$C$6,B1124&gt;Settings!$C$7),"Outside period | ","")&amp;IF(COUNTIF(Settings!$E$14:$E$43,C1124&amp;"")&gt;0,"Sensitive account | ","")&amp;IF(AND(MAX(N(E1124),N(F1124))&gt;=Settings!$C$9,MOD(MAX(N(E1124),N(F1124)),Settings!$C$10)=0),"Round amount | ","")="","",LEFT(IF(K1124="No","Does not balance | ","")&amp;IF(I1124="","Not approved | ",IF(UPPER(TRIM(H1124))=UPPER(TRIM(I1124)),"Self-approved | ",""))&amp;IF(J1124="","No support | ","")&amp;IF(WEEKDAY(B1124,2)&gt;5,"Weekend posting | ","")&amp;IF(COUNTIF(Settings!$A$14:$A$43,B1124)&gt;0,"Holiday posting | ","")&amp;IF(B1124&gt;Settings!$C$8,"Posted after close | ","")&amp;IF(OR(B1124&lt;Settings!$C$6,B1124&gt;Settings!$C$7),"Outside period | ","")&amp;IF(COUNTIF(Settings!$E$14:$E$43,C1124&amp;"")&gt;0,"Sensitive account | ","")&amp;IF(AND(MAX(N(E1124),N(F1124))&gt;=Settings!$C$9,MOD(MAX(N(E1124),N(F1124)),Settings!$C$10)=0),"Round amount | ",""),LEN(IF(K1124="No","Does not balance | ","")&amp;IF(I1124="","Not approved | ",IF(UPPER(TRIM(H1124))=UPPER(TRIM(I1124)),"Self-approved | ",""))&amp;IF(J1124="","No support | ","")&amp;IF(WEEKDAY(B1124,2)&gt;5,"Weekend posting | ","")&amp;IF(COUNTIF(Settings!$A$14:$A$43,B1124)&gt;0,"Holiday posting | ","")&amp;IF(B1124&gt;Settings!$C$8,"Posted after close | ","")&amp;IF(OR(B1124&lt;Settings!$C$6,B1124&gt;Settings!$C$7),"Outside period | ","")&amp;IF(COUNTIF(Settings!$E$14:$E$43,C1124&amp;"")&gt;0,"Sensitive account | ","")&amp;IF(AND(MAX(N(E1124),N(F1124))&gt;=Settings!$C$9,MOD(MAX(N(E1124),N(F1124)),Settings!$C$10)=0),"Round amount | ",""))-3)))</f>
        <v/>
      </c>
      <c r="M1124" s="21" t="str">
        <f aca="false">IF(A1124="","",IF(COUNTIF($A$9:A1124,A1124)=1,MAX($M$8:M1123)+1,""))</f>
        <v/>
      </c>
    </row>
    <row r="1125" customFormat="false" ht="15" hidden="false" customHeight="false" outlineLevel="0" collapsed="false">
      <c r="A1125" s="8"/>
      <c r="B1125" s="17"/>
      <c r="C1125" s="19"/>
      <c r="D1125" s="8"/>
      <c r="E1125" s="18"/>
      <c r="F1125" s="18"/>
      <c r="G1125" s="8"/>
      <c r="H1125" s="8"/>
      <c r="I1125" s="8"/>
      <c r="J1125" s="8"/>
      <c r="K1125" s="10" t="str">
        <f aca="false">IF(A1125="","",IF(ABS(SUMIFS($E$9:$E$2008,$A$9:$A$2008,A1125)-SUMIFS($F$9:$F$2008,$A$9:$A$2008,A1125))&lt;0.5,"Yes","No"))</f>
        <v/>
      </c>
      <c r="L1125" s="10" t="str">
        <f aca="false">IF(A1125="","",IF(IF(K1125="No","Does not balance | ","")&amp;IF(I1125="","Not approved | ",IF(UPPER(TRIM(H1125))=UPPER(TRIM(I1125)),"Self-approved | ",""))&amp;IF(J1125="","No support | ","")&amp;IF(WEEKDAY(B1125,2)&gt;5,"Weekend posting | ","")&amp;IF(COUNTIF(Settings!$A$14:$A$43,B1125)&gt;0,"Holiday posting | ","")&amp;IF(B1125&gt;Settings!$C$8,"Posted after close | ","")&amp;IF(OR(B1125&lt;Settings!$C$6,B1125&gt;Settings!$C$7),"Outside period | ","")&amp;IF(COUNTIF(Settings!$E$14:$E$43,C1125&amp;"")&gt;0,"Sensitive account | ","")&amp;IF(AND(MAX(N(E1125),N(F1125))&gt;=Settings!$C$9,MOD(MAX(N(E1125),N(F1125)),Settings!$C$10)=0),"Round amount | ","")="","",LEFT(IF(K1125="No","Does not balance | ","")&amp;IF(I1125="","Not approved | ",IF(UPPER(TRIM(H1125))=UPPER(TRIM(I1125)),"Self-approved | ",""))&amp;IF(J1125="","No support | ","")&amp;IF(WEEKDAY(B1125,2)&gt;5,"Weekend posting | ","")&amp;IF(COUNTIF(Settings!$A$14:$A$43,B1125)&gt;0,"Holiday posting | ","")&amp;IF(B1125&gt;Settings!$C$8,"Posted after close | ","")&amp;IF(OR(B1125&lt;Settings!$C$6,B1125&gt;Settings!$C$7),"Outside period | ","")&amp;IF(COUNTIF(Settings!$E$14:$E$43,C1125&amp;"")&gt;0,"Sensitive account | ","")&amp;IF(AND(MAX(N(E1125),N(F1125))&gt;=Settings!$C$9,MOD(MAX(N(E1125),N(F1125)),Settings!$C$10)=0),"Round amount | ",""),LEN(IF(K1125="No","Does not balance | ","")&amp;IF(I1125="","Not approved | ",IF(UPPER(TRIM(H1125))=UPPER(TRIM(I1125)),"Self-approved | ",""))&amp;IF(J1125="","No support | ","")&amp;IF(WEEKDAY(B1125,2)&gt;5,"Weekend posting | ","")&amp;IF(COUNTIF(Settings!$A$14:$A$43,B1125)&gt;0,"Holiday posting | ","")&amp;IF(B1125&gt;Settings!$C$8,"Posted after close | ","")&amp;IF(OR(B1125&lt;Settings!$C$6,B1125&gt;Settings!$C$7),"Outside period | ","")&amp;IF(COUNTIF(Settings!$E$14:$E$43,C1125&amp;"")&gt;0,"Sensitive account | ","")&amp;IF(AND(MAX(N(E1125),N(F1125))&gt;=Settings!$C$9,MOD(MAX(N(E1125),N(F1125)),Settings!$C$10)=0),"Round amount | ",""))-3)))</f>
        <v/>
      </c>
      <c r="M1125" s="21" t="str">
        <f aca="false">IF(A1125="","",IF(COUNTIF($A$9:A1125,A1125)=1,MAX($M$8:M1124)+1,""))</f>
        <v/>
      </c>
    </row>
    <row r="1126" customFormat="false" ht="15" hidden="false" customHeight="false" outlineLevel="0" collapsed="false">
      <c r="A1126" s="8"/>
      <c r="B1126" s="17"/>
      <c r="C1126" s="19"/>
      <c r="D1126" s="8"/>
      <c r="E1126" s="18"/>
      <c r="F1126" s="18"/>
      <c r="G1126" s="8"/>
      <c r="H1126" s="8"/>
      <c r="I1126" s="8"/>
      <c r="J1126" s="8"/>
      <c r="K1126" s="10" t="str">
        <f aca="false">IF(A1126="","",IF(ABS(SUMIFS($E$9:$E$2008,$A$9:$A$2008,A1126)-SUMIFS($F$9:$F$2008,$A$9:$A$2008,A1126))&lt;0.5,"Yes","No"))</f>
        <v/>
      </c>
      <c r="L1126" s="10" t="str">
        <f aca="false">IF(A1126="","",IF(IF(K1126="No","Does not balance | ","")&amp;IF(I1126="","Not approved | ",IF(UPPER(TRIM(H1126))=UPPER(TRIM(I1126)),"Self-approved | ",""))&amp;IF(J1126="","No support | ","")&amp;IF(WEEKDAY(B1126,2)&gt;5,"Weekend posting | ","")&amp;IF(COUNTIF(Settings!$A$14:$A$43,B1126)&gt;0,"Holiday posting | ","")&amp;IF(B1126&gt;Settings!$C$8,"Posted after close | ","")&amp;IF(OR(B1126&lt;Settings!$C$6,B1126&gt;Settings!$C$7),"Outside period | ","")&amp;IF(COUNTIF(Settings!$E$14:$E$43,C1126&amp;"")&gt;0,"Sensitive account | ","")&amp;IF(AND(MAX(N(E1126),N(F1126))&gt;=Settings!$C$9,MOD(MAX(N(E1126),N(F1126)),Settings!$C$10)=0),"Round amount | ","")="","",LEFT(IF(K1126="No","Does not balance | ","")&amp;IF(I1126="","Not approved | ",IF(UPPER(TRIM(H1126))=UPPER(TRIM(I1126)),"Self-approved | ",""))&amp;IF(J1126="","No support | ","")&amp;IF(WEEKDAY(B1126,2)&gt;5,"Weekend posting | ","")&amp;IF(COUNTIF(Settings!$A$14:$A$43,B1126)&gt;0,"Holiday posting | ","")&amp;IF(B1126&gt;Settings!$C$8,"Posted after close | ","")&amp;IF(OR(B1126&lt;Settings!$C$6,B1126&gt;Settings!$C$7),"Outside period | ","")&amp;IF(COUNTIF(Settings!$E$14:$E$43,C1126&amp;"")&gt;0,"Sensitive account | ","")&amp;IF(AND(MAX(N(E1126),N(F1126))&gt;=Settings!$C$9,MOD(MAX(N(E1126),N(F1126)),Settings!$C$10)=0),"Round amount | ",""),LEN(IF(K1126="No","Does not balance | ","")&amp;IF(I1126="","Not approved | ",IF(UPPER(TRIM(H1126))=UPPER(TRIM(I1126)),"Self-approved | ",""))&amp;IF(J1126="","No support | ","")&amp;IF(WEEKDAY(B1126,2)&gt;5,"Weekend posting | ","")&amp;IF(COUNTIF(Settings!$A$14:$A$43,B1126)&gt;0,"Holiday posting | ","")&amp;IF(B1126&gt;Settings!$C$8,"Posted after close | ","")&amp;IF(OR(B1126&lt;Settings!$C$6,B1126&gt;Settings!$C$7),"Outside period | ","")&amp;IF(COUNTIF(Settings!$E$14:$E$43,C1126&amp;"")&gt;0,"Sensitive account | ","")&amp;IF(AND(MAX(N(E1126),N(F1126))&gt;=Settings!$C$9,MOD(MAX(N(E1126),N(F1126)),Settings!$C$10)=0),"Round amount | ",""))-3)))</f>
        <v/>
      </c>
      <c r="M1126" s="21" t="str">
        <f aca="false">IF(A1126="","",IF(COUNTIF($A$9:A1126,A1126)=1,MAX($M$8:M1125)+1,""))</f>
        <v/>
      </c>
    </row>
    <row r="1127" customFormat="false" ht="15" hidden="false" customHeight="false" outlineLevel="0" collapsed="false">
      <c r="A1127" s="8"/>
      <c r="B1127" s="17"/>
      <c r="C1127" s="19"/>
      <c r="D1127" s="8"/>
      <c r="E1127" s="18"/>
      <c r="F1127" s="18"/>
      <c r="G1127" s="8"/>
      <c r="H1127" s="8"/>
      <c r="I1127" s="8"/>
      <c r="J1127" s="8"/>
      <c r="K1127" s="10" t="str">
        <f aca="false">IF(A1127="","",IF(ABS(SUMIFS($E$9:$E$2008,$A$9:$A$2008,A1127)-SUMIFS($F$9:$F$2008,$A$9:$A$2008,A1127))&lt;0.5,"Yes","No"))</f>
        <v/>
      </c>
      <c r="L1127" s="10" t="str">
        <f aca="false">IF(A1127="","",IF(IF(K1127="No","Does not balance | ","")&amp;IF(I1127="","Not approved | ",IF(UPPER(TRIM(H1127))=UPPER(TRIM(I1127)),"Self-approved | ",""))&amp;IF(J1127="","No support | ","")&amp;IF(WEEKDAY(B1127,2)&gt;5,"Weekend posting | ","")&amp;IF(COUNTIF(Settings!$A$14:$A$43,B1127)&gt;0,"Holiday posting | ","")&amp;IF(B1127&gt;Settings!$C$8,"Posted after close | ","")&amp;IF(OR(B1127&lt;Settings!$C$6,B1127&gt;Settings!$C$7),"Outside period | ","")&amp;IF(COUNTIF(Settings!$E$14:$E$43,C1127&amp;"")&gt;0,"Sensitive account | ","")&amp;IF(AND(MAX(N(E1127),N(F1127))&gt;=Settings!$C$9,MOD(MAX(N(E1127),N(F1127)),Settings!$C$10)=0),"Round amount | ","")="","",LEFT(IF(K1127="No","Does not balance | ","")&amp;IF(I1127="","Not approved | ",IF(UPPER(TRIM(H1127))=UPPER(TRIM(I1127)),"Self-approved | ",""))&amp;IF(J1127="","No support | ","")&amp;IF(WEEKDAY(B1127,2)&gt;5,"Weekend posting | ","")&amp;IF(COUNTIF(Settings!$A$14:$A$43,B1127)&gt;0,"Holiday posting | ","")&amp;IF(B1127&gt;Settings!$C$8,"Posted after close | ","")&amp;IF(OR(B1127&lt;Settings!$C$6,B1127&gt;Settings!$C$7),"Outside period | ","")&amp;IF(COUNTIF(Settings!$E$14:$E$43,C1127&amp;"")&gt;0,"Sensitive account | ","")&amp;IF(AND(MAX(N(E1127),N(F1127))&gt;=Settings!$C$9,MOD(MAX(N(E1127),N(F1127)),Settings!$C$10)=0),"Round amount | ",""),LEN(IF(K1127="No","Does not balance | ","")&amp;IF(I1127="","Not approved | ",IF(UPPER(TRIM(H1127))=UPPER(TRIM(I1127)),"Self-approved | ",""))&amp;IF(J1127="","No support | ","")&amp;IF(WEEKDAY(B1127,2)&gt;5,"Weekend posting | ","")&amp;IF(COUNTIF(Settings!$A$14:$A$43,B1127)&gt;0,"Holiday posting | ","")&amp;IF(B1127&gt;Settings!$C$8,"Posted after close | ","")&amp;IF(OR(B1127&lt;Settings!$C$6,B1127&gt;Settings!$C$7),"Outside period | ","")&amp;IF(COUNTIF(Settings!$E$14:$E$43,C1127&amp;"")&gt;0,"Sensitive account | ","")&amp;IF(AND(MAX(N(E1127),N(F1127))&gt;=Settings!$C$9,MOD(MAX(N(E1127),N(F1127)),Settings!$C$10)=0),"Round amount | ",""))-3)))</f>
        <v/>
      </c>
      <c r="M1127" s="21" t="str">
        <f aca="false">IF(A1127="","",IF(COUNTIF($A$9:A1127,A1127)=1,MAX($M$8:M1126)+1,""))</f>
        <v/>
      </c>
    </row>
    <row r="1128" customFormat="false" ht="15" hidden="false" customHeight="false" outlineLevel="0" collapsed="false">
      <c r="A1128" s="8"/>
      <c r="B1128" s="17"/>
      <c r="C1128" s="19"/>
      <c r="D1128" s="8"/>
      <c r="E1128" s="18"/>
      <c r="F1128" s="18"/>
      <c r="G1128" s="8"/>
      <c r="H1128" s="8"/>
      <c r="I1128" s="8"/>
      <c r="J1128" s="8"/>
      <c r="K1128" s="10" t="str">
        <f aca="false">IF(A1128="","",IF(ABS(SUMIFS($E$9:$E$2008,$A$9:$A$2008,A1128)-SUMIFS($F$9:$F$2008,$A$9:$A$2008,A1128))&lt;0.5,"Yes","No"))</f>
        <v/>
      </c>
      <c r="L1128" s="10" t="str">
        <f aca="false">IF(A1128="","",IF(IF(K1128="No","Does not balance | ","")&amp;IF(I1128="","Not approved | ",IF(UPPER(TRIM(H1128))=UPPER(TRIM(I1128)),"Self-approved | ",""))&amp;IF(J1128="","No support | ","")&amp;IF(WEEKDAY(B1128,2)&gt;5,"Weekend posting | ","")&amp;IF(COUNTIF(Settings!$A$14:$A$43,B1128)&gt;0,"Holiday posting | ","")&amp;IF(B1128&gt;Settings!$C$8,"Posted after close | ","")&amp;IF(OR(B1128&lt;Settings!$C$6,B1128&gt;Settings!$C$7),"Outside period | ","")&amp;IF(COUNTIF(Settings!$E$14:$E$43,C1128&amp;"")&gt;0,"Sensitive account | ","")&amp;IF(AND(MAX(N(E1128),N(F1128))&gt;=Settings!$C$9,MOD(MAX(N(E1128),N(F1128)),Settings!$C$10)=0),"Round amount | ","")="","",LEFT(IF(K1128="No","Does not balance | ","")&amp;IF(I1128="","Not approved | ",IF(UPPER(TRIM(H1128))=UPPER(TRIM(I1128)),"Self-approved | ",""))&amp;IF(J1128="","No support | ","")&amp;IF(WEEKDAY(B1128,2)&gt;5,"Weekend posting | ","")&amp;IF(COUNTIF(Settings!$A$14:$A$43,B1128)&gt;0,"Holiday posting | ","")&amp;IF(B1128&gt;Settings!$C$8,"Posted after close | ","")&amp;IF(OR(B1128&lt;Settings!$C$6,B1128&gt;Settings!$C$7),"Outside period | ","")&amp;IF(COUNTIF(Settings!$E$14:$E$43,C1128&amp;"")&gt;0,"Sensitive account | ","")&amp;IF(AND(MAX(N(E1128),N(F1128))&gt;=Settings!$C$9,MOD(MAX(N(E1128),N(F1128)),Settings!$C$10)=0),"Round amount | ",""),LEN(IF(K1128="No","Does not balance | ","")&amp;IF(I1128="","Not approved | ",IF(UPPER(TRIM(H1128))=UPPER(TRIM(I1128)),"Self-approved | ",""))&amp;IF(J1128="","No support | ","")&amp;IF(WEEKDAY(B1128,2)&gt;5,"Weekend posting | ","")&amp;IF(COUNTIF(Settings!$A$14:$A$43,B1128)&gt;0,"Holiday posting | ","")&amp;IF(B1128&gt;Settings!$C$8,"Posted after close | ","")&amp;IF(OR(B1128&lt;Settings!$C$6,B1128&gt;Settings!$C$7),"Outside period | ","")&amp;IF(COUNTIF(Settings!$E$14:$E$43,C1128&amp;"")&gt;0,"Sensitive account | ","")&amp;IF(AND(MAX(N(E1128),N(F1128))&gt;=Settings!$C$9,MOD(MAX(N(E1128),N(F1128)),Settings!$C$10)=0),"Round amount | ",""))-3)))</f>
        <v/>
      </c>
      <c r="M1128" s="21" t="str">
        <f aca="false">IF(A1128="","",IF(COUNTIF($A$9:A1128,A1128)=1,MAX($M$8:M1127)+1,""))</f>
        <v/>
      </c>
    </row>
    <row r="1129" customFormat="false" ht="15" hidden="false" customHeight="false" outlineLevel="0" collapsed="false">
      <c r="A1129" s="8"/>
      <c r="B1129" s="17"/>
      <c r="C1129" s="19"/>
      <c r="D1129" s="8"/>
      <c r="E1129" s="18"/>
      <c r="F1129" s="18"/>
      <c r="G1129" s="8"/>
      <c r="H1129" s="8"/>
      <c r="I1129" s="8"/>
      <c r="J1129" s="8"/>
      <c r="K1129" s="10" t="str">
        <f aca="false">IF(A1129="","",IF(ABS(SUMIFS($E$9:$E$2008,$A$9:$A$2008,A1129)-SUMIFS($F$9:$F$2008,$A$9:$A$2008,A1129))&lt;0.5,"Yes","No"))</f>
        <v/>
      </c>
      <c r="L1129" s="10" t="str">
        <f aca="false">IF(A1129="","",IF(IF(K1129="No","Does not balance | ","")&amp;IF(I1129="","Not approved | ",IF(UPPER(TRIM(H1129))=UPPER(TRIM(I1129)),"Self-approved | ",""))&amp;IF(J1129="","No support | ","")&amp;IF(WEEKDAY(B1129,2)&gt;5,"Weekend posting | ","")&amp;IF(COUNTIF(Settings!$A$14:$A$43,B1129)&gt;0,"Holiday posting | ","")&amp;IF(B1129&gt;Settings!$C$8,"Posted after close | ","")&amp;IF(OR(B1129&lt;Settings!$C$6,B1129&gt;Settings!$C$7),"Outside period | ","")&amp;IF(COUNTIF(Settings!$E$14:$E$43,C1129&amp;"")&gt;0,"Sensitive account | ","")&amp;IF(AND(MAX(N(E1129),N(F1129))&gt;=Settings!$C$9,MOD(MAX(N(E1129),N(F1129)),Settings!$C$10)=0),"Round amount | ","")="","",LEFT(IF(K1129="No","Does not balance | ","")&amp;IF(I1129="","Not approved | ",IF(UPPER(TRIM(H1129))=UPPER(TRIM(I1129)),"Self-approved | ",""))&amp;IF(J1129="","No support | ","")&amp;IF(WEEKDAY(B1129,2)&gt;5,"Weekend posting | ","")&amp;IF(COUNTIF(Settings!$A$14:$A$43,B1129)&gt;0,"Holiday posting | ","")&amp;IF(B1129&gt;Settings!$C$8,"Posted after close | ","")&amp;IF(OR(B1129&lt;Settings!$C$6,B1129&gt;Settings!$C$7),"Outside period | ","")&amp;IF(COUNTIF(Settings!$E$14:$E$43,C1129&amp;"")&gt;0,"Sensitive account | ","")&amp;IF(AND(MAX(N(E1129),N(F1129))&gt;=Settings!$C$9,MOD(MAX(N(E1129),N(F1129)),Settings!$C$10)=0),"Round amount | ",""),LEN(IF(K1129="No","Does not balance | ","")&amp;IF(I1129="","Not approved | ",IF(UPPER(TRIM(H1129))=UPPER(TRIM(I1129)),"Self-approved | ",""))&amp;IF(J1129="","No support | ","")&amp;IF(WEEKDAY(B1129,2)&gt;5,"Weekend posting | ","")&amp;IF(COUNTIF(Settings!$A$14:$A$43,B1129)&gt;0,"Holiday posting | ","")&amp;IF(B1129&gt;Settings!$C$8,"Posted after close | ","")&amp;IF(OR(B1129&lt;Settings!$C$6,B1129&gt;Settings!$C$7),"Outside period | ","")&amp;IF(COUNTIF(Settings!$E$14:$E$43,C1129&amp;"")&gt;0,"Sensitive account | ","")&amp;IF(AND(MAX(N(E1129),N(F1129))&gt;=Settings!$C$9,MOD(MAX(N(E1129),N(F1129)),Settings!$C$10)=0),"Round amount | ",""))-3)))</f>
        <v/>
      </c>
      <c r="M1129" s="21" t="str">
        <f aca="false">IF(A1129="","",IF(COUNTIF($A$9:A1129,A1129)=1,MAX($M$8:M1128)+1,""))</f>
        <v/>
      </c>
    </row>
    <row r="1130" customFormat="false" ht="15" hidden="false" customHeight="false" outlineLevel="0" collapsed="false">
      <c r="A1130" s="8"/>
      <c r="B1130" s="17"/>
      <c r="C1130" s="19"/>
      <c r="D1130" s="8"/>
      <c r="E1130" s="18"/>
      <c r="F1130" s="18"/>
      <c r="G1130" s="8"/>
      <c r="H1130" s="8"/>
      <c r="I1130" s="8"/>
      <c r="J1130" s="8"/>
      <c r="K1130" s="10" t="str">
        <f aca="false">IF(A1130="","",IF(ABS(SUMIFS($E$9:$E$2008,$A$9:$A$2008,A1130)-SUMIFS($F$9:$F$2008,$A$9:$A$2008,A1130))&lt;0.5,"Yes","No"))</f>
        <v/>
      </c>
      <c r="L1130" s="10" t="str">
        <f aca="false">IF(A1130="","",IF(IF(K1130="No","Does not balance | ","")&amp;IF(I1130="","Not approved | ",IF(UPPER(TRIM(H1130))=UPPER(TRIM(I1130)),"Self-approved | ",""))&amp;IF(J1130="","No support | ","")&amp;IF(WEEKDAY(B1130,2)&gt;5,"Weekend posting | ","")&amp;IF(COUNTIF(Settings!$A$14:$A$43,B1130)&gt;0,"Holiday posting | ","")&amp;IF(B1130&gt;Settings!$C$8,"Posted after close | ","")&amp;IF(OR(B1130&lt;Settings!$C$6,B1130&gt;Settings!$C$7),"Outside period | ","")&amp;IF(COUNTIF(Settings!$E$14:$E$43,C1130&amp;"")&gt;0,"Sensitive account | ","")&amp;IF(AND(MAX(N(E1130),N(F1130))&gt;=Settings!$C$9,MOD(MAX(N(E1130),N(F1130)),Settings!$C$10)=0),"Round amount | ","")="","",LEFT(IF(K1130="No","Does not balance | ","")&amp;IF(I1130="","Not approved | ",IF(UPPER(TRIM(H1130))=UPPER(TRIM(I1130)),"Self-approved | ",""))&amp;IF(J1130="","No support | ","")&amp;IF(WEEKDAY(B1130,2)&gt;5,"Weekend posting | ","")&amp;IF(COUNTIF(Settings!$A$14:$A$43,B1130)&gt;0,"Holiday posting | ","")&amp;IF(B1130&gt;Settings!$C$8,"Posted after close | ","")&amp;IF(OR(B1130&lt;Settings!$C$6,B1130&gt;Settings!$C$7),"Outside period | ","")&amp;IF(COUNTIF(Settings!$E$14:$E$43,C1130&amp;"")&gt;0,"Sensitive account | ","")&amp;IF(AND(MAX(N(E1130),N(F1130))&gt;=Settings!$C$9,MOD(MAX(N(E1130),N(F1130)),Settings!$C$10)=0),"Round amount | ",""),LEN(IF(K1130="No","Does not balance | ","")&amp;IF(I1130="","Not approved | ",IF(UPPER(TRIM(H1130))=UPPER(TRIM(I1130)),"Self-approved | ",""))&amp;IF(J1130="","No support | ","")&amp;IF(WEEKDAY(B1130,2)&gt;5,"Weekend posting | ","")&amp;IF(COUNTIF(Settings!$A$14:$A$43,B1130)&gt;0,"Holiday posting | ","")&amp;IF(B1130&gt;Settings!$C$8,"Posted after close | ","")&amp;IF(OR(B1130&lt;Settings!$C$6,B1130&gt;Settings!$C$7),"Outside period | ","")&amp;IF(COUNTIF(Settings!$E$14:$E$43,C1130&amp;"")&gt;0,"Sensitive account | ","")&amp;IF(AND(MAX(N(E1130),N(F1130))&gt;=Settings!$C$9,MOD(MAX(N(E1130),N(F1130)),Settings!$C$10)=0),"Round amount | ",""))-3)))</f>
        <v/>
      </c>
      <c r="M1130" s="21" t="str">
        <f aca="false">IF(A1130="","",IF(COUNTIF($A$9:A1130,A1130)=1,MAX($M$8:M1129)+1,""))</f>
        <v/>
      </c>
    </row>
    <row r="1131" customFormat="false" ht="15" hidden="false" customHeight="false" outlineLevel="0" collapsed="false">
      <c r="A1131" s="8"/>
      <c r="B1131" s="17"/>
      <c r="C1131" s="19"/>
      <c r="D1131" s="8"/>
      <c r="E1131" s="18"/>
      <c r="F1131" s="18"/>
      <c r="G1131" s="8"/>
      <c r="H1131" s="8"/>
      <c r="I1131" s="8"/>
      <c r="J1131" s="8"/>
      <c r="K1131" s="10" t="str">
        <f aca="false">IF(A1131="","",IF(ABS(SUMIFS($E$9:$E$2008,$A$9:$A$2008,A1131)-SUMIFS($F$9:$F$2008,$A$9:$A$2008,A1131))&lt;0.5,"Yes","No"))</f>
        <v/>
      </c>
      <c r="L1131" s="10" t="str">
        <f aca="false">IF(A1131="","",IF(IF(K1131="No","Does not balance | ","")&amp;IF(I1131="","Not approved | ",IF(UPPER(TRIM(H1131))=UPPER(TRIM(I1131)),"Self-approved | ",""))&amp;IF(J1131="","No support | ","")&amp;IF(WEEKDAY(B1131,2)&gt;5,"Weekend posting | ","")&amp;IF(COUNTIF(Settings!$A$14:$A$43,B1131)&gt;0,"Holiday posting | ","")&amp;IF(B1131&gt;Settings!$C$8,"Posted after close | ","")&amp;IF(OR(B1131&lt;Settings!$C$6,B1131&gt;Settings!$C$7),"Outside period | ","")&amp;IF(COUNTIF(Settings!$E$14:$E$43,C1131&amp;"")&gt;0,"Sensitive account | ","")&amp;IF(AND(MAX(N(E1131),N(F1131))&gt;=Settings!$C$9,MOD(MAX(N(E1131),N(F1131)),Settings!$C$10)=0),"Round amount | ","")="","",LEFT(IF(K1131="No","Does not balance | ","")&amp;IF(I1131="","Not approved | ",IF(UPPER(TRIM(H1131))=UPPER(TRIM(I1131)),"Self-approved | ",""))&amp;IF(J1131="","No support | ","")&amp;IF(WEEKDAY(B1131,2)&gt;5,"Weekend posting | ","")&amp;IF(COUNTIF(Settings!$A$14:$A$43,B1131)&gt;0,"Holiday posting | ","")&amp;IF(B1131&gt;Settings!$C$8,"Posted after close | ","")&amp;IF(OR(B1131&lt;Settings!$C$6,B1131&gt;Settings!$C$7),"Outside period | ","")&amp;IF(COUNTIF(Settings!$E$14:$E$43,C1131&amp;"")&gt;0,"Sensitive account | ","")&amp;IF(AND(MAX(N(E1131),N(F1131))&gt;=Settings!$C$9,MOD(MAX(N(E1131),N(F1131)),Settings!$C$10)=0),"Round amount | ",""),LEN(IF(K1131="No","Does not balance | ","")&amp;IF(I1131="","Not approved | ",IF(UPPER(TRIM(H1131))=UPPER(TRIM(I1131)),"Self-approved | ",""))&amp;IF(J1131="","No support | ","")&amp;IF(WEEKDAY(B1131,2)&gt;5,"Weekend posting | ","")&amp;IF(COUNTIF(Settings!$A$14:$A$43,B1131)&gt;0,"Holiday posting | ","")&amp;IF(B1131&gt;Settings!$C$8,"Posted after close | ","")&amp;IF(OR(B1131&lt;Settings!$C$6,B1131&gt;Settings!$C$7),"Outside period | ","")&amp;IF(COUNTIF(Settings!$E$14:$E$43,C1131&amp;"")&gt;0,"Sensitive account | ","")&amp;IF(AND(MAX(N(E1131),N(F1131))&gt;=Settings!$C$9,MOD(MAX(N(E1131),N(F1131)),Settings!$C$10)=0),"Round amount | ",""))-3)))</f>
        <v/>
      </c>
      <c r="M1131" s="21" t="str">
        <f aca="false">IF(A1131="","",IF(COUNTIF($A$9:A1131,A1131)=1,MAX($M$8:M1130)+1,""))</f>
        <v/>
      </c>
    </row>
    <row r="1132" customFormat="false" ht="15" hidden="false" customHeight="false" outlineLevel="0" collapsed="false">
      <c r="A1132" s="8"/>
      <c r="B1132" s="17"/>
      <c r="C1132" s="19"/>
      <c r="D1132" s="8"/>
      <c r="E1132" s="18"/>
      <c r="F1132" s="18"/>
      <c r="G1132" s="8"/>
      <c r="H1132" s="8"/>
      <c r="I1132" s="8"/>
      <c r="J1132" s="8"/>
      <c r="K1132" s="10" t="str">
        <f aca="false">IF(A1132="","",IF(ABS(SUMIFS($E$9:$E$2008,$A$9:$A$2008,A1132)-SUMIFS($F$9:$F$2008,$A$9:$A$2008,A1132))&lt;0.5,"Yes","No"))</f>
        <v/>
      </c>
      <c r="L1132" s="10" t="str">
        <f aca="false">IF(A1132="","",IF(IF(K1132="No","Does not balance | ","")&amp;IF(I1132="","Not approved | ",IF(UPPER(TRIM(H1132))=UPPER(TRIM(I1132)),"Self-approved | ",""))&amp;IF(J1132="","No support | ","")&amp;IF(WEEKDAY(B1132,2)&gt;5,"Weekend posting | ","")&amp;IF(COUNTIF(Settings!$A$14:$A$43,B1132)&gt;0,"Holiday posting | ","")&amp;IF(B1132&gt;Settings!$C$8,"Posted after close | ","")&amp;IF(OR(B1132&lt;Settings!$C$6,B1132&gt;Settings!$C$7),"Outside period | ","")&amp;IF(COUNTIF(Settings!$E$14:$E$43,C1132&amp;"")&gt;0,"Sensitive account | ","")&amp;IF(AND(MAX(N(E1132),N(F1132))&gt;=Settings!$C$9,MOD(MAX(N(E1132),N(F1132)),Settings!$C$10)=0),"Round amount | ","")="","",LEFT(IF(K1132="No","Does not balance | ","")&amp;IF(I1132="","Not approved | ",IF(UPPER(TRIM(H1132))=UPPER(TRIM(I1132)),"Self-approved | ",""))&amp;IF(J1132="","No support | ","")&amp;IF(WEEKDAY(B1132,2)&gt;5,"Weekend posting | ","")&amp;IF(COUNTIF(Settings!$A$14:$A$43,B1132)&gt;0,"Holiday posting | ","")&amp;IF(B1132&gt;Settings!$C$8,"Posted after close | ","")&amp;IF(OR(B1132&lt;Settings!$C$6,B1132&gt;Settings!$C$7),"Outside period | ","")&amp;IF(COUNTIF(Settings!$E$14:$E$43,C1132&amp;"")&gt;0,"Sensitive account | ","")&amp;IF(AND(MAX(N(E1132),N(F1132))&gt;=Settings!$C$9,MOD(MAX(N(E1132),N(F1132)),Settings!$C$10)=0),"Round amount | ",""),LEN(IF(K1132="No","Does not balance | ","")&amp;IF(I1132="","Not approved | ",IF(UPPER(TRIM(H1132))=UPPER(TRIM(I1132)),"Self-approved | ",""))&amp;IF(J1132="","No support | ","")&amp;IF(WEEKDAY(B1132,2)&gt;5,"Weekend posting | ","")&amp;IF(COUNTIF(Settings!$A$14:$A$43,B1132)&gt;0,"Holiday posting | ","")&amp;IF(B1132&gt;Settings!$C$8,"Posted after close | ","")&amp;IF(OR(B1132&lt;Settings!$C$6,B1132&gt;Settings!$C$7),"Outside period | ","")&amp;IF(COUNTIF(Settings!$E$14:$E$43,C1132&amp;"")&gt;0,"Sensitive account | ","")&amp;IF(AND(MAX(N(E1132),N(F1132))&gt;=Settings!$C$9,MOD(MAX(N(E1132),N(F1132)),Settings!$C$10)=0),"Round amount | ",""))-3)))</f>
        <v/>
      </c>
      <c r="M1132" s="21" t="str">
        <f aca="false">IF(A1132="","",IF(COUNTIF($A$9:A1132,A1132)=1,MAX($M$8:M1131)+1,""))</f>
        <v/>
      </c>
    </row>
    <row r="1133" customFormat="false" ht="15" hidden="false" customHeight="false" outlineLevel="0" collapsed="false">
      <c r="A1133" s="8"/>
      <c r="B1133" s="17"/>
      <c r="C1133" s="19"/>
      <c r="D1133" s="8"/>
      <c r="E1133" s="18"/>
      <c r="F1133" s="18"/>
      <c r="G1133" s="8"/>
      <c r="H1133" s="8"/>
      <c r="I1133" s="8"/>
      <c r="J1133" s="8"/>
      <c r="K1133" s="10" t="str">
        <f aca="false">IF(A1133="","",IF(ABS(SUMIFS($E$9:$E$2008,$A$9:$A$2008,A1133)-SUMIFS($F$9:$F$2008,$A$9:$A$2008,A1133))&lt;0.5,"Yes","No"))</f>
        <v/>
      </c>
      <c r="L1133" s="10" t="str">
        <f aca="false">IF(A1133="","",IF(IF(K1133="No","Does not balance | ","")&amp;IF(I1133="","Not approved | ",IF(UPPER(TRIM(H1133))=UPPER(TRIM(I1133)),"Self-approved | ",""))&amp;IF(J1133="","No support | ","")&amp;IF(WEEKDAY(B1133,2)&gt;5,"Weekend posting | ","")&amp;IF(COUNTIF(Settings!$A$14:$A$43,B1133)&gt;0,"Holiday posting | ","")&amp;IF(B1133&gt;Settings!$C$8,"Posted after close | ","")&amp;IF(OR(B1133&lt;Settings!$C$6,B1133&gt;Settings!$C$7),"Outside period | ","")&amp;IF(COUNTIF(Settings!$E$14:$E$43,C1133&amp;"")&gt;0,"Sensitive account | ","")&amp;IF(AND(MAX(N(E1133),N(F1133))&gt;=Settings!$C$9,MOD(MAX(N(E1133),N(F1133)),Settings!$C$10)=0),"Round amount | ","")="","",LEFT(IF(K1133="No","Does not balance | ","")&amp;IF(I1133="","Not approved | ",IF(UPPER(TRIM(H1133))=UPPER(TRIM(I1133)),"Self-approved | ",""))&amp;IF(J1133="","No support | ","")&amp;IF(WEEKDAY(B1133,2)&gt;5,"Weekend posting | ","")&amp;IF(COUNTIF(Settings!$A$14:$A$43,B1133)&gt;0,"Holiday posting | ","")&amp;IF(B1133&gt;Settings!$C$8,"Posted after close | ","")&amp;IF(OR(B1133&lt;Settings!$C$6,B1133&gt;Settings!$C$7),"Outside period | ","")&amp;IF(COUNTIF(Settings!$E$14:$E$43,C1133&amp;"")&gt;0,"Sensitive account | ","")&amp;IF(AND(MAX(N(E1133),N(F1133))&gt;=Settings!$C$9,MOD(MAX(N(E1133),N(F1133)),Settings!$C$10)=0),"Round amount | ",""),LEN(IF(K1133="No","Does not balance | ","")&amp;IF(I1133="","Not approved | ",IF(UPPER(TRIM(H1133))=UPPER(TRIM(I1133)),"Self-approved | ",""))&amp;IF(J1133="","No support | ","")&amp;IF(WEEKDAY(B1133,2)&gt;5,"Weekend posting | ","")&amp;IF(COUNTIF(Settings!$A$14:$A$43,B1133)&gt;0,"Holiday posting | ","")&amp;IF(B1133&gt;Settings!$C$8,"Posted after close | ","")&amp;IF(OR(B1133&lt;Settings!$C$6,B1133&gt;Settings!$C$7),"Outside period | ","")&amp;IF(COUNTIF(Settings!$E$14:$E$43,C1133&amp;"")&gt;0,"Sensitive account | ","")&amp;IF(AND(MAX(N(E1133),N(F1133))&gt;=Settings!$C$9,MOD(MAX(N(E1133),N(F1133)),Settings!$C$10)=0),"Round amount | ",""))-3)))</f>
        <v/>
      </c>
      <c r="M1133" s="21" t="str">
        <f aca="false">IF(A1133="","",IF(COUNTIF($A$9:A1133,A1133)=1,MAX($M$8:M1132)+1,""))</f>
        <v/>
      </c>
    </row>
    <row r="1134" customFormat="false" ht="15" hidden="false" customHeight="false" outlineLevel="0" collapsed="false">
      <c r="A1134" s="8"/>
      <c r="B1134" s="17"/>
      <c r="C1134" s="19"/>
      <c r="D1134" s="8"/>
      <c r="E1134" s="18"/>
      <c r="F1134" s="18"/>
      <c r="G1134" s="8"/>
      <c r="H1134" s="8"/>
      <c r="I1134" s="8"/>
      <c r="J1134" s="8"/>
      <c r="K1134" s="10" t="str">
        <f aca="false">IF(A1134="","",IF(ABS(SUMIFS($E$9:$E$2008,$A$9:$A$2008,A1134)-SUMIFS($F$9:$F$2008,$A$9:$A$2008,A1134))&lt;0.5,"Yes","No"))</f>
        <v/>
      </c>
      <c r="L1134" s="10" t="str">
        <f aca="false">IF(A1134="","",IF(IF(K1134="No","Does not balance | ","")&amp;IF(I1134="","Not approved | ",IF(UPPER(TRIM(H1134))=UPPER(TRIM(I1134)),"Self-approved | ",""))&amp;IF(J1134="","No support | ","")&amp;IF(WEEKDAY(B1134,2)&gt;5,"Weekend posting | ","")&amp;IF(COUNTIF(Settings!$A$14:$A$43,B1134)&gt;0,"Holiday posting | ","")&amp;IF(B1134&gt;Settings!$C$8,"Posted after close | ","")&amp;IF(OR(B1134&lt;Settings!$C$6,B1134&gt;Settings!$C$7),"Outside period | ","")&amp;IF(COUNTIF(Settings!$E$14:$E$43,C1134&amp;"")&gt;0,"Sensitive account | ","")&amp;IF(AND(MAX(N(E1134),N(F1134))&gt;=Settings!$C$9,MOD(MAX(N(E1134),N(F1134)),Settings!$C$10)=0),"Round amount | ","")="","",LEFT(IF(K1134="No","Does not balance | ","")&amp;IF(I1134="","Not approved | ",IF(UPPER(TRIM(H1134))=UPPER(TRIM(I1134)),"Self-approved | ",""))&amp;IF(J1134="","No support | ","")&amp;IF(WEEKDAY(B1134,2)&gt;5,"Weekend posting | ","")&amp;IF(COUNTIF(Settings!$A$14:$A$43,B1134)&gt;0,"Holiday posting | ","")&amp;IF(B1134&gt;Settings!$C$8,"Posted after close | ","")&amp;IF(OR(B1134&lt;Settings!$C$6,B1134&gt;Settings!$C$7),"Outside period | ","")&amp;IF(COUNTIF(Settings!$E$14:$E$43,C1134&amp;"")&gt;0,"Sensitive account | ","")&amp;IF(AND(MAX(N(E1134),N(F1134))&gt;=Settings!$C$9,MOD(MAX(N(E1134),N(F1134)),Settings!$C$10)=0),"Round amount | ",""),LEN(IF(K1134="No","Does not balance | ","")&amp;IF(I1134="","Not approved | ",IF(UPPER(TRIM(H1134))=UPPER(TRIM(I1134)),"Self-approved | ",""))&amp;IF(J1134="","No support | ","")&amp;IF(WEEKDAY(B1134,2)&gt;5,"Weekend posting | ","")&amp;IF(COUNTIF(Settings!$A$14:$A$43,B1134)&gt;0,"Holiday posting | ","")&amp;IF(B1134&gt;Settings!$C$8,"Posted after close | ","")&amp;IF(OR(B1134&lt;Settings!$C$6,B1134&gt;Settings!$C$7),"Outside period | ","")&amp;IF(COUNTIF(Settings!$E$14:$E$43,C1134&amp;"")&gt;0,"Sensitive account | ","")&amp;IF(AND(MAX(N(E1134),N(F1134))&gt;=Settings!$C$9,MOD(MAX(N(E1134),N(F1134)),Settings!$C$10)=0),"Round amount | ",""))-3)))</f>
        <v/>
      </c>
      <c r="M1134" s="21" t="str">
        <f aca="false">IF(A1134="","",IF(COUNTIF($A$9:A1134,A1134)=1,MAX($M$8:M1133)+1,""))</f>
        <v/>
      </c>
    </row>
    <row r="1135" customFormat="false" ht="15" hidden="false" customHeight="false" outlineLevel="0" collapsed="false">
      <c r="A1135" s="8"/>
      <c r="B1135" s="17"/>
      <c r="C1135" s="19"/>
      <c r="D1135" s="8"/>
      <c r="E1135" s="18"/>
      <c r="F1135" s="18"/>
      <c r="G1135" s="8"/>
      <c r="H1135" s="8"/>
      <c r="I1135" s="8"/>
      <c r="J1135" s="8"/>
      <c r="K1135" s="10" t="str">
        <f aca="false">IF(A1135="","",IF(ABS(SUMIFS($E$9:$E$2008,$A$9:$A$2008,A1135)-SUMIFS($F$9:$F$2008,$A$9:$A$2008,A1135))&lt;0.5,"Yes","No"))</f>
        <v/>
      </c>
      <c r="L1135" s="10" t="str">
        <f aca="false">IF(A1135="","",IF(IF(K1135="No","Does not balance | ","")&amp;IF(I1135="","Not approved | ",IF(UPPER(TRIM(H1135))=UPPER(TRIM(I1135)),"Self-approved | ",""))&amp;IF(J1135="","No support | ","")&amp;IF(WEEKDAY(B1135,2)&gt;5,"Weekend posting | ","")&amp;IF(COUNTIF(Settings!$A$14:$A$43,B1135)&gt;0,"Holiday posting | ","")&amp;IF(B1135&gt;Settings!$C$8,"Posted after close | ","")&amp;IF(OR(B1135&lt;Settings!$C$6,B1135&gt;Settings!$C$7),"Outside period | ","")&amp;IF(COUNTIF(Settings!$E$14:$E$43,C1135&amp;"")&gt;0,"Sensitive account | ","")&amp;IF(AND(MAX(N(E1135),N(F1135))&gt;=Settings!$C$9,MOD(MAX(N(E1135),N(F1135)),Settings!$C$10)=0),"Round amount | ","")="","",LEFT(IF(K1135="No","Does not balance | ","")&amp;IF(I1135="","Not approved | ",IF(UPPER(TRIM(H1135))=UPPER(TRIM(I1135)),"Self-approved | ",""))&amp;IF(J1135="","No support | ","")&amp;IF(WEEKDAY(B1135,2)&gt;5,"Weekend posting | ","")&amp;IF(COUNTIF(Settings!$A$14:$A$43,B1135)&gt;0,"Holiday posting | ","")&amp;IF(B1135&gt;Settings!$C$8,"Posted after close | ","")&amp;IF(OR(B1135&lt;Settings!$C$6,B1135&gt;Settings!$C$7),"Outside period | ","")&amp;IF(COUNTIF(Settings!$E$14:$E$43,C1135&amp;"")&gt;0,"Sensitive account | ","")&amp;IF(AND(MAX(N(E1135),N(F1135))&gt;=Settings!$C$9,MOD(MAX(N(E1135),N(F1135)),Settings!$C$10)=0),"Round amount | ",""),LEN(IF(K1135="No","Does not balance | ","")&amp;IF(I1135="","Not approved | ",IF(UPPER(TRIM(H1135))=UPPER(TRIM(I1135)),"Self-approved | ",""))&amp;IF(J1135="","No support | ","")&amp;IF(WEEKDAY(B1135,2)&gt;5,"Weekend posting | ","")&amp;IF(COUNTIF(Settings!$A$14:$A$43,B1135)&gt;0,"Holiday posting | ","")&amp;IF(B1135&gt;Settings!$C$8,"Posted after close | ","")&amp;IF(OR(B1135&lt;Settings!$C$6,B1135&gt;Settings!$C$7),"Outside period | ","")&amp;IF(COUNTIF(Settings!$E$14:$E$43,C1135&amp;"")&gt;0,"Sensitive account | ","")&amp;IF(AND(MAX(N(E1135),N(F1135))&gt;=Settings!$C$9,MOD(MAX(N(E1135),N(F1135)),Settings!$C$10)=0),"Round amount | ",""))-3)))</f>
        <v/>
      </c>
      <c r="M1135" s="21" t="str">
        <f aca="false">IF(A1135="","",IF(COUNTIF($A$9:A1135,A1135)=1,MAX($M$8:M1134)+1,""))</f>
        <v/>
      </c>
    </row>
    <row r="1136" customFormat="false" ht="15" hidden="false" customHeight="false" outlineLevel="0" collapsed="false">
      <c r="A1136" s="8"/>
      <c r="B1136" s="17"/>
      <c r="C1136" s="19"/>
      <c r="D1136" s="8"/>
      <c r="E1136" s="18"/>
      <c r="F1136" s="18"/>
      <c r="G1136" s="8"/>
      <c r="H1136" s="8"/>
      <c r="I1136" s="8"/>
      <c r="J1136" s="8"/>
      <c r="K1136" s="10" t="str">
        <f aca="false">IF(A1136="","",IF(ABS(SUMIFS($E$9:$E$2008,$A$9:$A$2008,A1136)-SUMIFS($F$9:$F$2008,$A$9:$A$2008,A1136))&lt;0.5,"Yes","No"))</f>
        <v/>
      </c>
      <c r="L1136" s="10" t="str">
        <f aca="false">IF(A1136="","",IF(IF(K1136="No","Does not balance | ","")&amp;IF(I1136="","Not approved | ",IF(UPPER(TRIM(H1136))=UPPER(TRIM(I1136)),"Self-approved | ",""))&amp;IF(J1136="","No support | ","")&amp;IF(WEEKDAY(B1136,2)&gt;5,"Weekend posting | ","")&amp;IF(COUNTIF(Settings!$A$14:$A$43,B1136)&gt;0,"Holiday posting | ","")&amp;IF(B1136&gt;Settings!$C$8,"Posted after close | ","")&amp;IF(OR(B1136&lt;Settings!$C$6,B1136&gt;Settings!$C$7),"Outside period | ","")&amp;IF(COUNTIF(Settings!$E$14:$E$43,C1136&amp;"")&gt;0,"Sensitive account | ","")&amp;IF(AND(MAX(N(E1136),N(F1136))&gt;=Settings!$C$9,MOD(MAX(N(E1136),N(F1136)),Settings!$C$10)=0),"Round amount | ","")="","",LEFT(IF(K1136="No","Does not balance | ","")&amp;IF(I1136="","Not approved | ",IF(UPPER(TRIM(H1136))=UPPER(TRIM(I1136)),"Self-approved | ",""))&amp;IF(J1136="","No support | ","")&amp;IF(WEEKDAY(B1136,2)&gt;5,"Weekend posting | ","")&amp;IF(COUNTIF(Settings!$A$14:$A$43,B1136)&gt;0,"Holiday posting | ","")&amp;IF(B1136&gt;Settings!$C$8,"Posted after close | ","")&amp;IF(OR(B1136&lt;Settings!$C$6,B1136&gt;Settings!$C$7),"Outside period | ","")&amp;IF(COUNTIF(Settings!$E$14:$E$43,C1136&amp;"")&gt;0,"Sensitive account | ","")&amp;IF(AND(MAX(N(E1136),N(F1136))&gt;=Settings!$C$9,MOD(MAX(N(E1136),N(F1136)),Settings!$C$10)=0),"Round amount | ",""),LEN(IF(K1136="No","Does not balance | ","")&amp;IF(I1136="","Not approved | ",IF(UPPER(TRIM(H1136))=UPPER(TRIM(I1136)),"Self-approved | ",""))&amp;IF(J1136="","No support | ","")&amp;IF(WEEKDAY(B1136,2)&gt;5,"Weekend posting | ","")&amp;IF(COUNTIF(Settings!$A$14:$A$43,B1136)&gt;0,"Holiday posting | ","")&amp;IF(B1136&gt;Settings!$C$8,"Posted after close | ","")&amp;IF(OR(B1136&lt;Settings!$C$6,B1136&gt;Settings!$C$7),"Outside period | ","")&amp;IF(COUNTIF(Settings!$E$14:$E$43,C1136&amp;"")&gt;0,"Sensitive account | ","")&amp;IF(AND(MAX(N(E1136),N(F1136))&gt;=Settings!$C$9,MOD(MAX(N(E1136),N(F1136)),Settings!$C$10)=0),"Round amount | ",""))-3)))</f>
        <v/>
      </c>
      <c r="M1136" s="21" t="str">
        <f aca="false">IF(A1136="","",IF(COUNTIF($A$9:A1136,A1136)=1,MAX($M$8:M1135)+1,""))</f>
        <v/>
      </c>
    </row>
    <row r="1137" customFormat="false" ht="15" hidden="false" customHeight="false" outlineLevel="0" collapsed="false">
      <c r="A1137" s="8"/>
      <c r="B1137" s="17"/>
      <c r="C1137" s="19"/>
      <c r="D1137" s="8"/>
      <c r="E1137" s="18"/>
      <c r="F1137" s="18"/>
      <c r="G1137" s="8"/>
      <c r="H1137" s="8"/>
      <c r="I1137" s="8"/>
      <c r="J1137" s="8"/>
      <c r="K1137" s="10" t="str">
        <f aca="false">IF(A1137="","",IF(ABS(SUMIFS($E$9:$E$2008,$A$9:$A$2008,A1137)-SUMIFS($F$9:$F$2008,$A$9:$A$2008,A1137))&lt;0.5,"Yes","No"))</f>
        <v/>
      </c>
      <c r="L1137" s="10" t="str">
        <f aca="false">IF(A1137="","",IF(IF(K1137="No","Does not balance | ","")&amp;IF(I1137="","Not approved | ",IF(UPPER(TRIM(H1137))=UPPER(TRIM(I1137)),"Self-approved | ",""))&amp;IF(J1137="","No support | ","")&amp;IF(WEEKDAY(B1137,2)&gt;5,"Weekend posting | ","")&amp;IF(COUNTIF(Settings!$A$14:$A$43,B1137)&gt;0,"Holiday posting | ","")&amp;IF(B1137&gt;Settings!$C$8,"Posted after close | ","")&amp;IF(OR(B1137&lt;Settings!$C$6,B1137&gt;Settings!$C$7),"Outside period | ","")&amp;IF(COUNTIF(Settings!$E$14:$E$43,C1137&amp;"")&gt;0,"Sensitive account | ","")&amp;IF(AND(MAX(N(E1137),N(F1137))&gt;=Settings!$C$9,MOD(MAX(N(E1137),N(F1137)),Settings!$C$10)=0),"Round amount | ","")="","",LEFT(IF(K1137="No","Does not balance | ","")&amp;IF(I1137="","Not approved | ",IF(UPPER(TRIM(H1137))=UPPER(TRIM(I1137)),"Self-approved | ",""))&amp;IF(J1137="","No support | ","")&amp;IF(WEEKDAY(B1137,2)&gt;5,"Weekend posting | ","")&amp;IF(COUNTIF(Settings!$A$14:$A$43,B1137)&gt;0,"Holiday posting | ","")&amp;IF(B1137&gt;Settings!$C$8,"Posted after close | ","")&amp;IF(OR(B1137&lt;Settings!$C$6,B1137&gt;Settings!$C$7),"Outside period | ","")&amp;IF(COUNTIF(Settings!$E$14:$E$43,C1137&amp;"")&gt;0,"Sensitive account | ","")&amp;IF(AND(MAX(N(E1137),N(F1137))&gt;=Settings!$C$9,MOD(MAX(N(E1137),N(F1137)),Settings!$C$10)=0),"Round amount | ",""),LEN(IF(K1137="No","Does not balance | ","")&amp;IF(I1137="","Not approved | ",IF(UPPER(TRIM(H1137))=UPPER(TRIM(I1137)),"Self-approved | ",""))&amp;IF(J1137="","No support | ","")&amp;IF(WEEKDAY(B1137,2)&gt;5,"Weekend posting | ","")&amp;IF(COUNTIF(Settings!$A$14:$A$43,B1137)&gt;0,"Holiday posting | ","")&amp;IF(B1137&gt;Settings!$C$8,"Posted after close | ","")&amp;IF(OR(B1137&lt;Settings!$C$6,B1137&gt;Settings!$C$7),"Outside period | ","")&amp;IF(COUNTIF(Settings!$E$14:$E$43,C1137&amp;"")&gt;0,"Sensitive account | ","")&amp;IF(AND(MAX(N(E1137),N(F1137))&gt;=Settings!$C$9,MOD(MAX(N(E1137),N(F1137)),Settings!$C$10)=0),"Round amount | ",""))-3)))</f>
        <v/>
      </c>
      <c r="M1137" s="21" t="str">
        <f aca="false">IF(A1137="","",IF(COUNTIF($A$9:A1137,A1137)=1,MAX($M$8:M1136)+1,""))</f>
        <v/>
      </c>
    </row>
    <row r="1138" customFormat="false" ht="15" hidden="false" customHeight="false" outlineLevel="0" collapsed="false">
      <c r="A1138" s="8"/>
      <c r="B1138" s="17"/>
      <c r="C1138" s="19"/>
      <c r="D1138" s="8"/>
      <c r="E1138" s="18"/>
      <c r="F1138" s="18"/>
      <c r="G1138" s="8"/>
      <c r="H1138" s="8"/>
      <c r="I1138" s="8"/>
      <c r="J1138" s="8"/>
      <c r="K1138" s="10" t="str">
        <f aca="false">IF(A1138="","",IF(ABS(SUMIFS($E$9:$E$2008,$A$9:$A$2008,A1138)-SUMIFS($F$9:$F$2008,$A$9:$A$2008,A1138))&lt;0.5,"Yes","No"))</f>
        <v/>
      </c>
      <c r="L1138" s="10" t="str">
        <f aca="false">IF(A1138="","",IF(IF(K1138="No","Does not balance | ","")&amp;IF(I1138="","Not approved | ",IF(UPPER(TRIM(H1138))=UPPER(TRIM(I1138)),"Self-approved | ",""))&amp;IF(J1138="","No support | ","")&amp;IF(WEEKDAY(B1138,2)&gt;5,"Weekend posting | ","")&amp;IF(COUNTIF(Settings!$A$14:$A$43,B1138)&gt;0,"Holiday posting | ","")&amp;IF(B1138&gt;Settings!$C$8,"Posted after close | ","")&amp;IF(OR(B1138&lt;Settings!$C$6,B1138&gt;Settings!$C$7),"Outside period | ","")&amp;IF(COUNTIF(Settings!$E$14:$E$43,C1138&amp;"")&gt;0,"Sensitive account | ","")&amp;IF(AND(MAX(N(E1138),N(F1138))&gt;=Settings!$C$9,MOD(MAX(N(E1138),N(F1138)),Settings!$C$10)=0),"Round amount | ","")="","",LEFT(IF(K1138="No","Does not balance | ","")&amp;IF(I1138="","Not approved | ",IF(UPPER(TRIM(H1138))=UPPER(TRIM(I1138)),"Self-approved | ",""))&amp;IF(J1138="","No support | ","")&amp;IF(WEEKDAY(B1138,2)&gt;5,"Weekend posting | ","")&amp;IF(COUNTIF(Settings!$A$14:$A$43,B1138)&gt;0,"Holiday posting | ","")&amp;IF(B1138&gt;Settings!$C$8,"Posted after close | ","")&amp;IF(OR(B1138&lt;Settings!$C$6,B1138&gt;Settings!$C$7),"Outside period | ","")&amp;IF(COUNTIF(Settings!$E$14:$E$43,C1138&amp;"")&gt;0,"Sensitive account | ","")&amp;IF(AND(MAX(N(E1138),N(F1138))&gt;=Settings!$C$9,MOD(MAX(N(E1138),N(F1138)),Settings!$C$10)=0),"Round amount | ",""),LEN(IF(K1138="No","Does not balance | ","")&amp;IF(I1138="","Not approved | ",IF(UPPER(TRIM(H1138))=UPPER(TRIM(I1138)),"Self-approved | ",""))&amp;IF(J1138="","No support | ","")&amp;IF(WEEKDAY(B1138,2)&gt;5,"Weekend posting | ","")&amp;IF(COUNTIF(Settings!$A$14:$A$43,B1138)&gt;0,"Holiday posting | ","")&amp;IF(B1138&gt;Settings!$C$8,"Posted after close | ","")&amp;IF(OR(B1138&lt;Settings!$C$6,B1138&gt;Settings!$C$7),"Outside period | ","")&amp;IF(COUNTIF(Settings!$E$14:$E$43,C1138&amp;"")&gt;0,"Sensitive account | ","")&amp;IF(AND(MAX(N(E1138),N(F1138))&gt;=Settings!$C$9,MOD(MAX(N(E1138),N(F1138)),Settings!$C$10)=0),"Round amount | ",""))-3)))</f>
        <v/>
      </c>
      <c r="M1138" s="21" t="str">
        <f aca="false">IF(A1138="","",IF(COUNTIF($A$9:A1138,A1138)=1,MAX($M$8:M1137)+1,""))</f>
        <v/>
      </c>
    </row>
    <row r="1139" customFormat="false" ht="15" hidden="false" customHeight="false" outlineLevel="0" collapsed="false">
      <c r="A1139" s="8"/>
      <c r="B1139" s="17"/>
      <c r="C1139" s="19"/>
      <c r="D1139" s="8"/>
      <c r="E1139" s="18"/>
      <c r="F1139" s="18"/>
      <c r="G1139" s="8"/>
      <c r="H1139" s="8"/>
      <c r="I1139" s="8"/>
      <c r="J1139" s="8"/>
      <c r="K1139" s="10" t="str">
        <f aca="false">IF(A1139="","",IF(ABS(SUMIFS($E$9:$E$2008,$A$9:$A$2008,A1139)-SUMIFS($F$9:$F$2008,$A$9:$A$2008,A1139))&lt;0.5,"Yes","No"))</f>
        <v/>
      </c>
      <c r="L1139" s="10" t="str">
        <f aca="false">IF(A1139="","",IF(IF(K1139="No","Does not balance | ","")&amp;IF(I1139="","Not approved | ",IF(UPPER(TRIM(H1139))=UPPER(TRIM(I1139)),"Self-approved | ",""))&amp;IF(J1139="","No support | ","")&amp;IF(WEEKDAY(B1139,2)&gt;5,"Weekend posting | ","")&amp;IF(COUNTIF(Settings!$A$14:$A$43,B1139)&gt;0,"Holiday posting | ","")&amp;IF(B1139&gt;Settings!$C$8,"Posted after close | ","")&amp;IF(OR(B1139&lt;Settings!$C$6,B1139&gt;Settings!$C$7),"Outside period | ","")&amp;IF(COUNTIF(Settings!$E$14:$E$43,C1139&amp;"")&gt;0,"Sensitive account | ","")&amp;IF(AND(MAX(N(E1139),N(F1139))&gt;=Settings!$C$9,MOD(MAX(N(E1139),N(F1139)),Settings!$C$10)=0),"Round amount | ","")="","",LEFT(IF(K1139="No","Does not balance | ","")&amp;IF(I1139="","Not approved | ",IF(UPPER(TRIM(H1139))=UPPER(TRIM(I1139)),"Self-approved | ",""))&amp;IF(J1139="","No support | ","")&amp;IF(WEEKDAY(B1139,2)&gt;5,"Weekend posting | ","")&amp;IF(COUNTIF(Settings!$A$14:$A$43,B1139)&gt;0,"Holiday posting | ","")&amp;IF(B1139&gt;Settings!$C$8,"Posted after close | ","")&amp;IF(OR(B1139&lt;Settings!$C$6,B1139&gt;Settings!$C$7),"Outside period | ","")&amp;IF(COUNTIF(Settings!$E$14:$E$43,C1139&amp;"")&gt;0,"Sensitive account | ","")&amp;IF(AND(MAX(N(E1139),N(F1139))&gt;=Settings!$C$9,MOD(MAX(N(E1139),N(F1139)),Settings!$C$10)=0),"Round amount | ",""),LEN(IF(K1139="No","Does not balance | ","")&amp;IF(I1139="","Not approved | ",IF(UPPER(TRIM(H1139))=UPPER(TRIM(I1139)),"Self-approved | ",""))&amp;IF(J1139="","No support | ","")&amp;IF(WEEKDAY(B1139,2)&gt;5,"Weekend posting | ","")&amp;IF(COUNTIF(Settings!$A$14:$A$43,B1139)&gt;0,"Holiday posting | ","")&amp;IF(B1139&gt;Settings!$C$8,"Posted after close | ","")&amp;IF(OR(B1139&lt;Settings!$C$6,B1139&gt;Settings!$C$7),"Outside period | ","")&amp;IF(COUNTIF(Settings!$E$14:$E$43,C1139&amp;"")&gt;0,"Sensitive account | ","")&amp;IF(AND(MAX(N(E1139),N(F1139))&gt;=Settings!$C$9,MOD(MAX(N(E1139),N(F1139)),Settings!$C$10)=0),"Round amount | ",""))-3)))</f>
        <v/>
      </c>
      <c r="M1139" s="21" t="str">
        <f aca="false">IF(A1139="","",IF(COUNTIF($A$9:A1139,A1139)=1,MAX($M$8:M1138)+1,""))</f>
        <v/>
      </c>
    </row>
    <row r="1140" customFormat="false" ht="15" hidden="false" customHeight="false" outlineLevel="0" collapsed="false">
      <c r="A1140" s="8"/>
      <c r="B1140" s="17"/>
      <c r="C1140" s="19"/>
      <c r="D1140" s="8"/>
      <c r="E1140" s="18"/>
      <c r="F1140" s="18"/>
      <c r="G1140" s="8"/>
      <c r="H1140" s="8"/>
      <c r="I1140" s="8"/>
      <c r="J1140" s="8"/>
      <c r="K1140" s="10" t="str">
        <f aca="false">IF(A1140="","",IF(ABS(SUMIFS($E$9:$E$2008,$A$9:$A$2008,A1140)-SUMIFS($F$9:$F$2008,$A$9:$A$2008,A1140))&lt;0.5,"Yes","No"))</f>
        <v/>
      </c>
      <c r="L1140" s="10" t="str">
        <f aca="false">IF(A1140="","",IF(IF(K1140="No","Does not balance | ","")&amp;IF(I1140="","Not approved | ",IF(UPPER(TRIM(H1140))=UPPER(TRIM(I1140)),"Self-approved | ",""))&amp;IF(J1140="","No support | ","")&amp;IF(WEEKDAY(B1140,2)&gt;5,"Weekend posting | ","")&amp;IF(COUNTIF(Settings!$A$14:$A$43,B1140)&gt;0,"Holiday posting | ","")&amp;IF(B1140&gt;Settings!$C$8,"Posted after close | ","")&amp;IF(OR(B1140&lt;Settings!$C$6,B1140&gt;Settings!$C$7),"Outside period | ","")&amp;IF(COUNTIF(Settings!$E$14:$E$43,C1140&amp;"")&gt;0,"Sensitive account | ","")&amp;IF(AND(MAX(N(E1140),N(F1140))&gt;=Settings!$C$9,MOD(MAX(N(E1140),N(F1140)),Settings!$C$10)=0),"Round amount | ","")="","",LEFT(IF(K1140="No","Does not balance | ","")&amp;IF(I1140="","Not approved | ",IF(UPPER(TRIM(H1140))=UPPER(TRIM(I1140)),"Self-approved | ",""))&amp;IF(J1140="","No support | ","")&amp;IF(WEEKDAY(B1140,2)&gt;5,"Weekend posting | ","")&amp;IF(COUNTIF(Settings!$A$14:$A$43,B1140)&gt;0,"Holiday posting | ","")&amp;IF(B1140&gt;Settings!$C$8,"Posted after close | ","")&amp;IF(OR(B1140&lt;Settings!$C$6,B1140&gt;Settings!$C$7),"Outside period | ","")&amp;IF(COUNTIF(Settings!$E$14:$E$43,C1140&amp;"")&gt;0,"Sensitive account | ","")&amp;IF(AND(MAX(N(E1140),N(F1140))&gt;=Settings!$C$9,MOD(MAX(N(E1140),N(F1140)),Settings!$C$10)=0),"Round amount | ",""),LEN(IF(K1140="No","Does not balance | ","")&amp;IF(I1140="","Not approved | ",IF(UPPER(TRIM(H1140))=UPPER(TRIM(I1140)),"Self-approved | ",""))&amp;IF(J1140="","No support | ","")&amp;IF(WEEKDAY(B1140,2)&gt;5,"Weekend posting | ","")&amp;IF(COUNTIF(Settings!$A$14:$A$43,B1140)&gt;0,"Holiday posting | ","")&amp;IF(B1140&gt;Settings!$C$8,"Posted after close | ","")&amp;IF(OR(B1140&lt;Settings!$C$6,B1140&gt;Settings!$C$7),"Outside period | ","")&amp;IF(COUNTIF(Settings!$E$14:$E$43,C1140&amp;"")&gt;0,"Sensitive account | ","")&amp;IF(AND(MAX(N(E1140),N(F1140))&gt;=Settings!$C$9,MOD(MAX(N(E1140),N(F1140)),Settings!$C$10)=0),"Round amount | ",""))-3)))</f>
        <v/>
      </c>
      <c r="M1140" s="21" t="str">
        <f aca="false">IF(A1140="","",IF(COUNTIF($A$9:A1140,A1140)=1,MAX($M$8:M1139)+1,""))</f>
        <v/>
      </c>
    </row>
    <row r="1141" customFormat="false" ht="15" hidden="false" customHeight="false" outlineLevel="0" collapsed="false">
      <c r="A1141" s="8"/>
      <c r="B1141" s="17"/>
      <c r="C1141" s="19"/>
      <c r="D1141" s="8"/>
      <c r="E1141" s="18"/>
      <c r="F1141" s="18"/>
      <c r="G1141" s="8"/>
      <c r="H1141" s="8"/>
      <c r="I1141" s="8"/>
      <c r="J1141" s="8"/>
      <c r="K1141" s="10" t="str">
        <f aca="false">IF(A1141="","",IF(ABS(SUMIFS($E$9:$E$2008,$A$9:$A$2008,A1141)-SUMIFS($F$9:$F$2008,$A$9:$A$2008,A1141))&lt;0.5,"Yes","No"))</f>
        <v/>
      </c>
      <c r="L1141" s="10" t="str">
        <f aca="false">IF(A1141="","",IF(IF(K1141="No","Does not balance | ","")&amp;IF(I1141="","Not approved | ",IF(UPPER(TRIM(H1141))=UPPER(TRIM(I1141)),"Self-approved | ",""))&amp;IF(J1141="","No support | ","")&amp;IF(WEEKDAY(B1141,2)&gt;5,"Weekend posting | ","")&amp;IF(COUNTIF(Settings!$A$14:$A$43,B1141)&gt;0,"Holiday posting | ","")&amp;IF(B1141&gt;Settings!$C$8,"Posted after close | ","")&amp;IF(OR(B1141&lt;Settings!$C$6,B1141&gt;Settings!$C$7),"Outside period | ","")&amp;IF(COUNTIF(Settings!$E$14:$E$43,C1141&amp;"")&gt;0,"Sensitive account | ","")&amp;IF(AND(MAX(N(E1141),N(F1141))&gt;=Settings!$C$9,MOD(MAX(N(E1141),N(F1141)),Settings!$C$10)=0),"Round amount | ","")="","",LEFT(IF(K1141="No","Does not balance | ","")&amp;IF(I1141="","Not approved | ",IF(UPPER(TRIM(H1141))=UPPER(TRIM(I1141)),"Self-approved | ",""))&amp;IF(J1141="","No support | ","")&amp;IF(WEEKDAY(B1141,2)&gt;5,"Weekend posting | ","")&amp;IF(COUNTIF(Settings!$A$14:$A$43,B1141)&gt;0,"Holiday posting | ","")&amp;IF(B1141&gt;Settings!$C$8,"Posted after close | ","")&amp;IF(OR(B1141&lt;Settings!$C$6,B1141&gt;Settings!$C$7),"Outside period | ","")&amp;IF(COUNTIF(Settings!$E$14:$E$43,C1141&amp;"")&gt;0,"Sensitive account | ","")&amp;IF(AND(MAX(N(E1141),N(F1141))&gt;=Settings!$C$9,MOD(MAX(N(E1141),N(F1141)),Settings!$C$10)=0),"Round amount | ",""),LEN(IF(K1141="No","Does not balance | ","")&amp;IF(I1141="","Not approved | ",IF(UPPER(TRIM(H1141))=UPPER(TRIM(I1141)),"Self-approved | ",""))&amp;IF(J1141="","No support | ","")&amp;IF(WEEKDAY(B1141,2)&gt;5,"Weekend posting | ","")&amp;IF(COUNTIF(Settings!$A$14:$A$43,B1141)&gt;0,"Holiday posting | ","")&amp;IF(B1141&gt;Settings!$C$8,"Posted after close | ","")&amp;IF(OR(B1141&lt;Settings!$C$6,B1141&gt;Settings!$C$7),"Outside period | ","")&amp;IF(COUNTIF(Settings!$E$14:$E$43,C1141&amp;"")&gt;0,"Sensitive account | ","")&amp;IF(AND(MAX(N(E1141),N(F1141))&gt;=Settings!$C$9,MOD(MAX(N(E1141),N(F1141)),Settings!$C$10)=0),"Round amount | ",""))-3)))</f>
        <v/>
      </c>
      <c r="M1141" s="21" t="str">
        <f aca="false">IF(A1141="","",IF(COUNTIF($A$9:A1141,A1141)=1,MAX($M$8:M1140)+1,""))</f>
        <v/>
      </c>
    </row>
    <row r="1142" customFormat="false" ht="15" hidden="false" customHeight="false" outlineLevel="0" collapsed="false">
      <c r="A1142" s="8"/>
      <c r="B1142" s="17"/>
      <c r="C1142" s="19"/>
      <c r="D1142" s="8"/>
      <c r="E1142" s="18"/>
      <c r="F1142" s="18"/>
      <c r="G1142" s="8"/>
      <c r="H1142" s="8"/>
      <c r="I1142" s="8"/>
      <c r="J1142" s="8"/>
      <c r="K1142" s="10" t="str">
        <f aca="false">IF(A1142="","",IF(ABS(SUMIFS($E$9:$E$2008,$A$9:$A$2008,A1142)-SUMIFS($F$9:$F$2008,$A$9:$A$2008,A1142))&lt;0.5,"Yes","No"))</f>
        <v/>
      </c>
      <c r="L1142" s="10" t="str">
        <f aca="false">IF(A1142="","",IF(IF(K1142="No","Does not balance | ","")&amp;IF(I1142="","Not approved | ",IF(UPPER(TRIM(H1142))=UPPER(TRIM(I1142)),"Self-approved | ",""))&amp;IF(J1142="","No support | ","")&amp;IF(WEEKDAY(B1142,2)&gt;5,"Weekend posting | ","")&amp;IF(COUNTIF(Settings!$A$14:$A$43,B1142)&gt;0,"Holiday posting | ","")&amp;IF(B1142&gt;Settings!$C$8,"Posted after close | ","")&amp;IF(OR(B1142&lt;Settings!$C$6,B1142&gt;Settings!$C$7),"Outside period | ","")&amp;IF(COUNTIF(Settings!$E$14:$E$43,C1142&amp;"")&gt;0,"Sensitive account | ","")&amp;IF(AND(MAX(N(E1142),N(F1142))&gt;=Settings!$C$9,MOD(MAX(N(E1142),N(F1142)),Settings!$C$10)=0),"Round amount | ","")="","",LEFT(IF(K1142="No","Does not balance | ","")&amp;IF(I1142="","Not approved | ",IF(UPPER(TRIM(H1142))=UPPER(TRIM(I1142)),"Self-approved | ",""))&amp;IF(J1142="","No support | ","")&amp;IF(WEEKDAY(B1142,2)&gt;5,"Weekend posting | ","")&amp;IF(COUNTIF(Settings!$A$14:$A$43,B1142)&gt;0,"Holiday posting | ","")&amp;IF(B1142&gt;Settings!$C$8,"Posted after close | ","")&amp;IF(OR(B1142&lt;Settings!$C$6,B1142&gt;Settings!$C$7),"Outside period | ","")&amp;IF(COUNTIF(Settings!$E$14:$E$43,C1142&amp;"")&gt;0,"Sensitive account | ","")&amp;IF(AND(MAX(N(E1142),N(F1142))&gt;=Settings!$C$9,MOD(MAX(N(E1142),N(F1142)),Settings!$C$10)=0),"Round amount | ",""),LEN(IF(K1142="No","Does not balance | ","")&amp;IF(I1142="","Not approved | ",IF(UPPER(TRIM(H1142))=UPPER(TRIM(I1142)),"Self-approved | ",""))&amp;IF(J1142="","No support | ","")&amp;IF(WEEKDAY(B1142,2)&gt;5,"Weekend posting | ","")&amp;IF(COUNTIF(Settings!$A$14:$A$43,B1142)&gt;0,"Holiday posting | ","")&amp;IF(B1142&gt;Settings!$C$8,"Posted after close | ","")&amp;IF(OR(B1142&lt;Settings!$C$6,B1142&gt;Settings!$C$7),"Outside period | ","")&amp;IF(COUNTIF(Settings!$E$14:$E$43,C1142&amp;"")&gt;0,"Sensitive account | ","")&amp;IF(AND(MAX(N(E1142),N(F1142))&gt;=Settings!$C$9,MOD(MAX(N(E1142),N(F1142)),Settings!$C$10)=0),"Round amount | ",""))-3)))</f>
        <v/>
      </c>
      <c r="M1142" s="21" t="str">
        <f aca="false">IF(A1142="","",IF(COUNTIF($A$9:A1142,A1142)=1,MAX($M$8:M1141)+1,""))</f>
        <v/>
      </c>
    </row>
    <row r="1143" customFormat="false" ht="15" hidden="false" customHeight="false" outlineLevel="0" collapsed="false">
      <c r="A1143" s="8"/>
      <c r="B1143" s="17"/>
      <c r="C1143" s="19"/>
      <c r="D1143" s="8"/>
      <c r="E1143" s="18"/>
      <c r="F1143" s="18"/>
      <c r="G1143" s="8"/>
      <c r="H1143" s="8"/>
      <c r="I1143" s="8"/>
      <c r="J1143" s="8"/>
      <c r="K1143" s="10" t="str">
        <f aca="false">IF(A1143="","",IF(ABS(SUMIFS($E$9:$E$2008,$A$9:$A$2008,A1143)-SUMIFS($F$9:$F$2008,$A$9:$A$2008,A1143))&lt;0.5,"Yes","No"))</f>
        <v/>
      </c>
      <c r="L1143" s="10" t="str">
        <f aca="false">IF(A1143="","",IF(IF(K1143="No","Does not balance | ","")&amp;IF(I1143="","Not approved | ",IF(UPPER(TRIM(H1143))=UPPER(TRIM(I1143)),"Self-approved | ",""))&amp;IF(J1143="","No support | ","")&amp;IF(WEEKDAY(B1143,2)&gt;5,"Weekend posting | ","")&amp;IF(COUNTIF(Settings!$A$14:$A$43,B1143)&gt;0,"Holiday posting | ","")&amp;IF(B1143&gt;Settings!$C$8,"Posted after close | ","")&amp;IF(OR(B1143&lt;Settings!$C$6,B1143&gt;Settings!$C$7),"Outside period | ","")&amp;IF(COUNTIF(Settings!$E$14:$E$43,C1143&amp;"")&gt;0,"Sensitive account | ","")&amp;IF(AND(MAX(N(E1143),N(F1143))&gt;=Settings!$C$9,MOD(MAX(N(E1143),N(F1143)),Settings!$C$10)=0),"Round amount | ","")="","",LEFT(IF(K1143="No","Does not balance | ","")&amp;IF(I1143="","Not approved | ",IF(UPPER(TRIM(H1143))=UPPER(TRIM(I1143)),"Self-approved | ",""))&amp;IF(J1143="","No support | ","")&amp;IF(WEEKDAY(B1143,2)&gt;5,"Weekend posting | ","")&amp;IF(COUNTIF(Settings!$A$14:$A$43,B1143)&gt;0,"Holiday posting | ","")&amp;IF(B1143&gt;Settings!$C$8,"Posted after close | ","")&amp;IF(OR(B1143&lt;Settings!$C$6,B1143&gt;Settings!$C$7),"Outside period | ","")&amp;IF(COUNTIF(Settings!$E$14:$E$43,C1143&amp;"")&gt;0,"Sensitive account | ","")&amp;IF(AND(MAX(N(E1143),N(F1143))&gt;=Settings!$C$9,MOD(MAX(N(E1143),N(F1143)),Settings!$C$10)=0),"Round amount | ",""),LEN(IF(K1143="No","Does not balance | ","")&amp;IF(I1143="","Not approved | ",IF(UPPER(TRIM(H1143))=UPPER(TRIM(I1143)),"Self-approved | ",""))&amp;IF(J1143="","No support | ","")&amp;IF(WEEKDAY(B1143,2)&gt;5,"Weekend posting | ","")&amp;IF(COUNTIF(Settings!$A$14:$A$43,B1143)&gt;0,"Holiday posting | ","")&amp;IF(B1143&gt;Settings!$C$8,"Posted after close | ","")&amp;IF(OR(B1143&lt;Settings!$C$6,B1143&gt;Settings!$C$7),"Outside period | ","")&amp;IF(COUNTIF(Settings!$E$14:$E$43,C1143&amp;"")&gt;0,"Sensitive account | ","")&amp;IF(AND(MAX(N(E1143),N(F1143))&gt;=Settings!$C$9,MOD(MAX(N(E1143),N(F1143)),Settings!$C$10)=0),"Round amount | ",""))-3)))</f>
        <v/>
      </c>
      <c r="M1143" s="21" t="str">
        <f aca="false">IF(A1143="","",IF(COUNTIF($A$9:A1143,A1143)=1,MAX($M$8:M1142)+1,""))</f>
        <v/>
      </c>
    </row>
    <row r="1144" customFormat="false" ht="15" hidden="false" customHeight="false" outlineLevel="0" collapsed="false">
      <c r="A1144" s="8"/>
      <c r="B1144" s="17"/>
      <c r="C1144" s="19"/>
      <c r="D1144" s="8"/>
      <c r="E1144" s="18"/>
      <c r="F1144" s="18"/>
      <c r="G1144" s="8"/>
      <c r="H1144" s="8"/>
      <c r="I1144" s="8"/>
      <c r="J1144" s="8"/>
      <c r="K1144" s="10" t="str">
        <f aca="false">IF(A1144="","",IF(ABS(SUMIFS($E$9:$E$2008,$A$9:$A$2008,A1144)-SUMIFS($F$9:$F$2008,$A$9:$A$2008,A1144))&lt;0.5,"Yes","No"))</f>
        <v/>
      </c>
      <c r="L1144" s="10" t="str">
        <f aca="false">IF(A1144="","",IF(IF(K1144="No","Does not balance | ","")&amp;IF(I1144="","Not approved | ",IF(UPPER(TRIM(H1144))=UPPER(TRIM(I1144)),"Self-approved | ",""))&amp;IF(J1144="","No support | ","")&amp;IF(WEEKDAY(B1144,2)&gt;5,"Weekend posting | ","")&amp;IF(COUNTIF(Settings!$A$14:$A$43,B1144)&gt;0,"Holiday posting | ","")&amp;IF(B1144&gt;Settings!$C$8,"Posted after close | ","")&amp;IF(OR(B1144&lt;Settings!$C$6,B1144&gt;Settings!$C$7),"Outside period | ","")&amp;IF(COUNTIF(Settings!$E$14:$E$43,C1144&amp;"")&gt;0,"Sensitive account | ","")&amp;IF(AND(MAX(N(E1144),N(F1144))&gt;=Settings!$C$9,MOD(MAX(N(E1144),N(F1144)),Settings!$C$10)=0),"Round amount | ","")="","",LEFT(IF(K1144="No","Does not balance | ","")&amp;IF(I1144="","Not approved | ",IF(UPPER(TRIM(H1144))=UPPER(TRIM(I1144)),"Self-approved | ",""))&amp;IF(J1144="","No support | ","")&amp;IF(WEEKDAY(B1144,2)&gt;5,"Weekend posting | ","")&amp;IF(COUNTIF(Settings!$A$14:$A$43,B1144)&gt;0,"Holiday posting | ","")&amp;IF(B1144&gt;Settings!$C$8,"Posted after close | ","")&amp;IF(OR(B1144&lt;Settings!$C$6,B1144&gt;Settings!$C$7),"Outside period | ","")&amp;IF(COUNTIF(Settings!$E$14:$E$43,C1144&amp;"")&gt;0,"Sensitive account | ","")&amp;IF(AND(MAX(N(E1144),N(F1144))&gt;=Settings!$C$9,MOD(MAX(N(E1144),N(F1144)),Settings!$C$10)=0),"Round amount | ",""),LEN(IF(K1144="No","Does not balance | ","")&amp;IF(I1144="","Not approved | ",IF(UPPER(TRIM(H1144))=UPPER(TRIM(I1144)),"Self-approved | ",""))&amp;IF(J1144="","No support | ","")&amp;IF(WEEKDAY(B1144,2)&gt;5,"Weekend posting | ","")&amp;IF(COUNTIF(Settings!$A$14:$A$43,B1144)&gt;0,"Holiday posting | ","")&amp;IF(B1144&gt;Settings!$C$8,"Posted after close | ","")&amp;IF(OR(B1144&lt;Settings!$C$6,B1144&gt;Settings!$C$7),"Outside period | ","")&amp;IF(COUNTIF(Settings!$E$14:$E$43,C1144&amp;"")&gt;0,"Sensitive account | ","")&amp;IF(AND(MAX(N(E1144),N(F1144))&gt;=Settings!$C$9,MOD(MAX(N(E1144),N(F1144)),Settings!$C$10)=0),"Round amount | ",""))-3)))</f>
        <v/>
      </c>
      <c r="M1144" s="21" t="str">
        <f aca="false">IF(A1144="","",IF(COUNTIF($A$9:A1144,A1144)=1,MAX($M$8:M1143)+1,""))</f>
        <v/>
      </c>
    </row>
    <row r="1145" customFormat="false" ht="15" hidden="false" customHeight="false" outlineLevel="0" collapsed="false">
      <c r="A1145" s="8"/>
      <c r="B1145" s="17"/>
      <c r="C1145" s="19"/>
      <c r="D1145" s="8"/>
      <c r="E1145" s="18"/>
      <c r="F1145" s="18"/>
      <c r="G1145" s="8"/>
      <c r="H1145" s="8"/>
      <c r="I1145" s="8"/>
      <c r="J1145" s="8"/>
      <c r="K1145" s="10" t="str">
        <f aca="false">IF(A1145="","",IF(ABS(SUMIFS($E$9:$E$2008,$A$9:$A$2008,A1145)-SUMIFS($F$9:$F$2008,$A$9:$A$2008,A1145))&lt;0.5,"Yes","No"))</f>
        <v/>
      </c>
      <c r="L1145" s="10" t="str">
        <f aca="false">IF(A1145="","",IF(IF(K1145="No","Does not balance | ","")&amp;IF(I1145="","Not approved | ",IF(UPPER(TRIM(H1145))=UPPER(TRIM(I1145)),"Self-approved | ",""))&amp;IF(J1145="","No support | ","")&amp;IF(WEEKDAY(B1145,2)&gt;5,"Weekend posting | ","")&amp;IF(COUNTIF(Settings!$A$14:$A$43,B1145)&gt;0,"Holiday posting | ","")&amp;IF(B1145&gt;Settings!$C$8,"Posted after close | ","")&amp;IF(OR(B1145&lt;Settings!$C$6,B1145&gt;Settings!$C$7),"Outside period | ","")&amp;IF(COUNTIF(Settings!$E$14:$E$43,C1145&amp;"")&gt;0,"Sensitive account | ","")&amp;IF(AND(MAX(N(E1145),N(F1145))&gt;=Settings!$C$9,MOD(MAX(N(E1145),N(F1145)),Settings!$C$10)=0),"Round amount | ","")="","",LEFT(IF(K1145="No","Does not balance | ","")&amp;IF(I1145="","Not approved | ",IF(UPPER(TRIM(H1145))=UPPER(TRIM(I1145)),"Self-approved | ",""))&amp;IF(J1145="","No support | ","")&amp;IF(WEEKDAY(B1145,2)&gt;5,"Weekend posting | ","")&amp;IF(COUNTIF(Settings!$A$14:$A$43,B1145)&gt;0,"Holiday posting | ","")&amp;IF(B1145&gt;Settings!$C$8,"Posted after close | ","")&amp;IF(OR(B1145&lt;Settings!$C$6,B1145&gt;Settings!$C$7),"Outside period | ","")&amp;IF(COUNTIF(Settings!$E$14:$E$43,C1145&amp;"")&gt;0,"Sensitive account | ","")&amp;IF(AND(MAX(N(E1145),N(F1145))&gt;=Settings!$C$9,MOD(MAX(N(E1145),N(F1145)),Settings!$C$10)=0),"Round amount | ",""),LEN(IF(K1145="No","Does not balance | ","")&amp;IF(I1145="","Not approved | ",IF(UPPER(TRIM(H1145))=UPPER(TRIM(I1145)),"Self-approved | ",""))&amp;IF(J1145="","No support | ","")&amp;IF(WEEKDAY(B1145,2)&gt;5,"Weekend posting | ","")&amp;IF(COUNTIF(Settings!$A$14:$A$43,B1145)&gt;0,"Holiday posting | ","")&amp;IF(B1145&gt;Settings!$C$8,"Posted after close | ","")&amp;IF(OR(B1145&lt;Settings!$C$6,B1145&gt;Settings!$C$7),"Outside period | ","")&amp;IF(COUNTIF(Settings!$E$14:$E$43,C1145&amp;"")&gt;0,"Sensitive account | ","")&amp;IF(AND(MAX(N(E1145),N(F1145))&gt;=Settings!$C$9,MOD(MAX(N(E1145),N(F1145)),Settings!$C$10)=0),"Round amount | ",""))-3)))</f>
        <v/>
      </c>
      <c r="M1145" s="21" t="str">
        <f aca="false">IF(A1145="","",IF(COUNTIF($A$9:A1145,A1145)=1,MAX($M$8:M1144)+1,""))</f>
        <v/>
      </c>
    </row>
    <row r="1146" customFormat="false" ht="15" hidden="false" customHeight="false" outlineLevel="0" collapsed="false">
      <c r="A1146" s="8"/>
      <c r="B1146" s="17"/>
      <c r="C1146" s="19"/>
      <c r="D1146" s="8"/>
      <c r="E1146" s="18"/>
      <c r="F1146" s="18"/>
      <c r="G1146" s="8"/>
      <c r="H1146" s="8"/>
      <c r="I1146" s="8"/>
      <c r="J1146" s="8"/>
      <c r="K1146" s="10" t="str">
        <f aca="false">IF(A1146="","",IF(ABS(SUMIFS($E$9:$E$2008,$A$9:$A$2008,A1146)-SUMIFS($F$9:$F$2008,$A$9:$A$2008,A1146))&lt;0.5,"Yes","No"))</f>
        <v/>
      </c>
      <c r="L1146" s="10" t="str">
        <f aca="false">IF(A1146="","",IF(IF(K1146="No","Does not balance | ","")&amp;IF(I1146="","Not approved | ",IF(UPPER(TRIM(H1146))=UPPER(TRIM(I1146)),"Self-approved | ",""))&amp;IF(J1146="","No support | ","")&amp;IF(WEEKDAY(B1146,2)&gt;5,"Weekend posting | ","")&amp;IF(COUNTIF(Settings!$A$14:$A$43,B1146)&gt;0,"Holiday posting | ","")&amp;IF(B1146&gt;Settings!$C$8,"Posted after close | ","")&amp;IF(OR(B1146&lt;Settings!$C$6,B1146&gt;Settings!$C$7),"Outside period | ","")&amp;IF(COUNTIF(Settings!$E$14:$E$43,C1146&amp;"")&gt;0,"Sensitive account | ","")&amp;IF(AND(MAX(N(E1146),N(F1146))&gt;=Settings!$C$9,MOD(MAX(N(E1146),N(F1146)),Settings!$C$10)=0),"Round amount | ","")="","",LEFT(IF(K1146="No","Does not balance | ","")&amp;IF(I1146="","Not approved | ",IF(UPPER(TRIM(H1146))=UPPER(TRIM(I1146)),"Self-approved | ",""))&amp;IF(J1146="","No support | ","")&amp;IF(WEEKDAY(B1146,2)&gt;5,"Weekend posting | ","")&amp;IF(COUNTIF(Settings!$A$14:$A$43,B1146)&gt;0,"Holiday posting | ","")&amp;IF(B1146&gt;Settings!$C$8,"Posted after close | ","")&amp;IF(OR(B1146&lt;Settings!$C$6,B1146&gt;Settings!$C$7),"Outside period | ","")&amp;IF(COUNTIF(Settings!$E$14:$E$43,C1146&amp;"")&gt;0,"Sensitive account | ","")&amp;IF(AND(MAX(N(E1146),N(F1146))&gt;=Settings!$C$9,MOD(MAX(N(E1146),N(F1146)),Settings!$C$10)=0),"Round amount | ",""),LEN(IF(K1146="No","Does not balance | ","")&amp;IF(I1146="","Not approved | ",IF(UPPER(TRIM(H1146))=UPPER(TRIM(I1146)),"Self-approved | ",""))&amp;IF(J1146="","No support | ","")&amp;IF(WEEKDAY(B1146,2)&gt;5,"Weekend posting | ","")&amp;IF(COUNTIF(Settings!$A$14:$A$43,B1146)&gt;0,"Holiday posting | ","")&amp;IF(B1146&gt;Settings!$C$8,"Posted after close | ","")&amp;IF(OR(B1146&lt;Settings!$C$6,B1146&gt;Settings!$C$7),"Outside period | ","")&amp;IF(COUNTIF(Settings!$E$14:$E$43,C1146&amp;"")&gt;0,"Sensitive account | ","")&amp;IF(AND(MAX(N(E1146),N(F1146))&gt;=Settings!$C$9,MOD(MAX(N(E1146),N(F1146)),Settings!$C$10)=0),"Round amount | ",""))-3)))</f>
        <v/>
      </c>
      <c r="M1146" s="21" t="str">
        <f aca="false">IF(A1146="","",IF(COUNTIF($A$9:A1146,A1146)=1,MAX($M$8:M1145)+1,""))</f>
        <v/>
      </c>
    </row>
    <row r="1147" customFormat="false" ht="15" hidden="false" customHeight="false" outlineLevel="0" collapsed="false">
      <c r="A1147" s="8"/>
      <c r="B1147" s="17"/>
      <c r="C1147" s="19"/>
      <c r="D1147" s="8"/>
      <c r="E1147" s="18"/>
      <c r="F1147" s="18"/>
      <c r="G1147" s="8"/>
      <c r="H1147" s="8"/>
      <c r="I1147" s="8"/>
      <c r="J1147" s="8"/>
      <c r="K1147" s="10" t="str">
        <f aca="false">IF(A1147="","",IF(ABS(SUMIFS($E$9:$E$2008,$A$9:$A$2008,A1147)-SUMIFS($F$9:$F$2008,$A$9:$A$2008,A1147))&lt;0.5,"Yes","No"))</f>
        <v/>
      </c>
      <c r="L1147" s="10" t="str">
        <f aca="false">IF(A1147="","",IF(IF(K1147="No","Does not balance | ","")&amp;IF(I1147="","Not approved | ",IF(UPPER(TRIM(H1147))=UPPER(TRIM(I1147)),"Self-approved | ",""))&amp;IF(J1147="","No support | ","")&amp;IF(WEEKDAY(B1147,2)&gt;5,"Weekend posting | ","")&amp;IF(COUNTIF(Settings!$A$14:$A$43,B1147)&gt;0,"Holiday posting | ","")&amp;IF(B1147&gt;Settings!$C$8,"Posted after close | ","")&amp;IF(OR(B1147&lt;Settings!$C$6,B1147&gt;Settings!$C$7),"Outside period | ","")&amp;IF(COUNTIF(Settings!$E$14:$E$43,C1147&amp;"")&gt;0,"Sensitive account | ","")&amp;IF(AND(MAX(N(E1147),N(F1147))&gt;=Settings!$C$9,MOD(MAX(N(E1147),N(F1147)),Settings!$C$10)=0),"Round amount | ","")="","",LEFT(IF(K1147="No","Does not balance | ","")&amp;IF(I1147="","Not approved | ",IF(UPPER(TRIM(H1147))=UPPER(TRIM(I1147)),"Self-approved | ",""))&amp;IF(J1147="","No support | ","")&amp;IF(WEEKDAY(B1147,2)&gt;5,"Weekend posting | ","")&amp;IF(COUNTIF(Settings!$A$14:$A$43,B1147)&gt;0,"Holiday posting | ","")&amp;IF(B1147&gt;Settings!$C$8,"Posted after close | ","")&amp;IF(OR(B1147&lt;Settings!$C$6,B1147&gt;Settings!$C$7),"Outside period | ","")&amp;IF(COUNTIF(Settings!$E$14:$E$43,C1147&amp;"")&gt;0,"Sensitive account | ","")&amp;IF(AND(MAX(N(E1147),N(F1147))&gt;=Settings!$C$9,MOD(MAX(N(E1147),N(F1147)),Settings!$C$10)=0),"Round amount | ",""),LEN(IF(K1147="No","Does not balance | ","")&amp;IF(I1147="","Not approved | ",IF(UPPER(TRIM(H1147))=UPPER(TRIM(I1147)),"Self-approved | ",""))&amp;IF(J1147="","No support | ","")&amp;IF(WEEKDAY(B1147,2)&gt;5,"Weekend posting | ","")&amp;IF(COUNTIF(Settings!$A$14:$A$43,B1147)&gt;0,"Holiday posting | ","")&amp;IF(B1147&gt;Settings!$C$8,"Posted after close | ","")&amp;IF(OR(B1147&lt;Settings!$C$6,B1147&gt;Settings!$C$7),"Outside period | ","")&amp;IF(COUNTIF(Settings!$E$14:$E$43,C1147&amp;"")&gt;0,"Sensitive account | ","")&amp;IF(AND(MAX(N(E1147),N(F1147))&gt;=Settings!$C$9,MOD(MAX(N(E1147),N(F1147)),Settings!$C$10)=0),"Round amount | ",""))-3)))</f>
        <v/>
      </c>
      <c r="M1147" s="21" t="str">
        <f aca="false">IF(A1147="","",IF(COUNTIF($A$9:A1147,A1147)=1,MAX($M$8:M1146)+1,""))</f>
        <v/>
      </c>
    </row>
    <row r="1148" customFormat="false" ht="15" hidden="false" customHeight="false" outlineLevel="0" collapsed="false">
      <c r="A1148" s="8"/>
      <c r="B1148" s="17"/>
      <c r="C1148" s="19"/>
      <c r="D1148" s="8"/>
      <c r="E1148" s="18"/>
      <c r="F1148" s="18"/>
      <c r="G1148" s="8"/>
      <c r="H1148" s="8"/>
      <c r="I1148" s="8"/>
      <c r="J1148" s="8"/>
      <c r="K1148" s="10" t="str">
        <f aca="false">IF(A1148="","",IF(ABS(SUMIFS($E$9:$E$2008,$A$9:$A$2008,A1148)-SUMIFS($F$9:$F$2008,$A$9:$A$2008,A1148))&lt;0.5,"Yes","No"))</f>
        <v/>
      </c>
      <c r="L1148" s="10" t="str">
        <f aca="false">IF(A1148="","",IF(IF(K1148="No","Does not balance | ","")&amp;IF(I1148="","Not approved | ",IF(UPPER(TRIM(H1148))=UPPER(TRIM(I1148)),"Self-approved | ",""))&amp;IF(J1148="","No support | ","")&amp;IF(WEEKDAY(B1148,2)&gt;5,"Weekend posting | ","")&amp;IF(COUNTIF(Settings!$A$14:$A$43,B1148)&gt;0,"Holiday posting | ","")&amp;IF(B1148&gt;Settings!$C$8,"Posted after close | ","")&amp;IF(OR(B1148&lt;Settings!$C$6,B1148&gt;Settings!$C$7),"Outside period | ","")&amp;IF(COUNTIF(Settings!$E$14:$E$43,C1148&amp;"")&gt;0,"Sensitive account | ","")&amp;IF(AND(MAX(N(E1148),N(F1148))&gt;=Settings!$C$9,MOD(MAX(N(E1148),N(F1148)),Settings!$C$10)=0),"Round amount | ","")="","",LEFT(IF(K1148="No","Does not balance | ","")&amp;IF(I1148="","Not approved | ",IF(UPPER(TRIM(H1148))=UPPER(TRIM(I1148)),"Self-approved | ",""))&amp;IF(J1148="","No support | ","")&amp;IF(WEEKDAY(B1148,2)&gt;5,"Weekend posting | ","")&amp;IF(COUNTIF(Settings!$A$14:$A$43,B1148)&gt;0,"Holiday posting | ","")&amp;IF(B1148&gt;Settings!$C$8,"Posted after close | ","")&amp;IF(OR(B1148&lt;Settings!$C$6,B1148&gt;Settings!$C$7),"Outside period | ","")&amp;IF(COUNTIF(Settings!$E$14:$E$43,C1148&amp;"")&gt;0,"Sensitive account | ","")&amp;IF(AND(MAX(N(E1148),N(F1148))&gt;=Settings!$C$9,MOD(MAX(N(E1148),N(F1148)),Settings!$C$10)=0),"Round amount | ",""),LEN(IF(K1148="No","Does not balance | ","")&amp;IF(I1148="","Not approved | ",IF(UPPER(TRIM(H1148))=UPPER(TRIM(I1148)),"Self-approved | ",""))&amp;IF(J1148="","No support | ","")&amp;IF(WEEKDAY(B1148,2)&gt;5,"Weekend posting | ","")&amp;IF(COUNTIF(Settings!$A$14:$A$43,B1148)&gt;0,"Holiday posting | ","")&amp;IF(B1148&gt;Settings!$C$8,"Posted after close | ","")&amp;IF(OR(B1148&lt;Settings!$C$6,B1148&gt;Settings!$C$7),"Outside period | ","")&amp;IF(COUNTIF(Settings!$E$14:$E$43,C1148&amp;"")&gt;0,"Sensitive account | ","")&amp;IF(AND(MAX(N(E1148),N(F1148))&gt;=Settings!$C$9,MOD(MAX(N(E1148),N(F1148)),Settings!$C$10)=0),"Round amount | ",""))-3)))</f>
        <v/>
      </c>
      <c r="M1148" s="21" t="str">
        <f aca="false">IF(A1148="","",IF(COUNTIF($A$9:A1148,A1148)=1,MAX($M$8:M1147)+1,""))</f>
        <v/>
      </c>
    </row>
    <row r="1149" customFormat="false" ht="15" hidden="false" customHeight="false" outlineLevel="0" collapsed="false">
      <c r="A1149" s="8"/>
      <c r="B1149" s="17"/>
      <c r="C1149" s="19"/>
      <c r="D1149" s="8"/>
      <c r="E1149" s="18"/>
      <c r="F1149" s="18"/>
      <c r="G1149" s="8"/>
      <c r="H1149" s="8"/>
      <c r="I1149" s="8"/>
      <c r="J1149" s="8"/>
      <c r="K1149" s="10" t="str">
        <f aca="false">IF(A1149="","",IF(ABS(SUMIFS($E$9:$E$2008,$A$9:$A$2008,A1149)-SUMIFS($F$9:$F$2008,$A$9:$A$2008,A1149))&lt;0.5,"Yes","No"))</f>
        <v/>
      </c>
      <c r="L1149" s="10" t="str">
        <f aca="false">IF(A1149="","",IF(IF(K1149="No","Does not balance | ","")&amp;IF(I1149="","Not approved | ",IF(UPPER(TRIM(H1149))=UPPER(TRIM(I1149)),"Self-approved | ",""))&amp;IF(J1149="","No support | ","")&amp;IF(WEEKDAY(B1149,2)&gt;5,"Weekend posting | ","")&amp;IF(COUNTIF(Settings!$A$14:$A$43,B1149)&gt;0,"Holiday posting | ","")&amp;IF(B1149&gt;Settings!$C$8,"Posted after close | ","")&amp;IF(OR(B1149&lt;Settings!$C$6,B1149&gt;Settings!$C$7),"Outside period | ","")&amp;IF(COUNTIF(Settings!$E$14:$E$43,C1149&amp;"")&gt;0,"Sensitive account | ","")&amp;IF(AND(MAX(N(E1149),N(F1149))&gt;=Settings!$C$9,MOD(MAX(N(E1149),N(F1149)),Settings!$C$10)=0),"Round amount | ","")="","",LEFT(IF(K1149="No","Does not balance | ","")&amp;IF(I1149="","Not approved | ",IF(UPPER(TRIM(H1149))=UPPER(TRIM(I1149)),"Self-approved | ",""))&amp;IF(J1149="","No support | ","")&amp;IF(WEEKDAY(B1149,2)&gt;5,"Weekend posting | ","")&amp;IF(COUNTIF(Settings!$A$14:$A$43,B1149)&gt;0,"Holiday posting | ","")&amp;IF(B1149&gt;Settings!$C$8,"Posted after close | ","")&amp;IF(OR(B1149&lt;Settings!$C$6,B1149&gt;Settings!$C$7),"Outside period | ","")&amp;IF(COUNTIF(Settings!$E$14:$E$43,C1149&amp;"")&gt;0,"Sensitive account | ","")&amp;IF(AND(MAX(N(E1149),N(F1149))&gt;=Settings!$C$9,MOD(MAX(N(E1149),N(F1149)),Settings!$C$10)=0),"Round amount | ",""),LEN(IF(K1149="No","Does not balance | ","")&amp;IF(I1149="","Not approved | ",IF(UPPER(TRIM(H1149))=UPPER(TRIM(I1149)),"Self-approved | ",""))&amp;IF(J1149="","No support | ","")&amp;IF(WEEKDAY(B1149,2)&gt;5,"Weekend posting | ","")&amp;IF(COUNTIF(Settings!$A$14:$A$43,B1149)&gt;0,"Holiday posting | ","")&amp;IF(B1149&gt;Settings!$C$8,"Posted after close | ","")&amp;IF(OR(B1149&lt;Settings!$C$6,B1149&gt;Settings!$C$7),"Outside period | ","")&amp;IF(COUNTIF(Settings!$E$14:$E$43,C1149&amp;"")&gt;0,"Sensitive account | ","")&amp;IF(AND(MAX(N(E1149),N(F1149))&gt;=Settings!$C$9,MOD(MAX(N(E1149),N(F1149)),Settings!$C$10)=0),"Round amount | ",""))-3)))</f>
        <v/>
      </c>
      <c r="M1149" s="21" t="str">
        <f aca="false">IF(A1149="","",IF(COUNTIF($A$9:A1149,A1149)=1,MAX($M$8:M1148)+1,""))</f>
        <v/>
      </c>
    </row>
    <row r="1150" customFormat="false" ht="15" hidden="false" customHeight="false" outlineLevel="0" collapsed="false">
      <c r="A1150" s="8"/>
      <c r="B1150" s="17"/>
      <c r="C1150" s="19"/>
      <c r="D1150" s="8"/>
      <c r="E1150" s="18"/>
      <c r="F1150" s="18"/>
      <c r="G1150" s="8"/>
      <c r="H1150" s="8"/>
      <c r="I1150" s="8"/>
      <c r="J1150" s="8"/>
      <c r="K1150" s="10" t="str">
        <f aca="false">IF(A1150="","",IF(ABS(SUMIFS($E$9:$E$2008,$A$9:$A$2008,A1150)-SUMIFS($F$9:$F$2008,$A$9:$A$2008,A1150))&lt;0.5,"Yes","No"))</f>
        <v/>
      </c>
      <c r="L1150" s="10" t="str">
        <f aca="false">IF(A1150="","",IF(IF(K1150="No","Does not balance | ","")&amp;IF(I1150="","Not approved | ",IF(UPPER(TRIM(H1150))=UPPER(TRIM(I1150)),"Self-approved | ",""))&amp;IF(J1150="","No support | ","")&amp;IF(WEEKDAY(B1150,2)&gt;5,"Weekend posting | ","")&amp;IF(COUNTIF(Settings!$A$14:$A$43,B1150)&gt;0,"Holiday posting | ","")&amp;IF(B1150&gt;Settings!$C$8,"Posted after close | ","")&amp;IF(OR(B1150&lt;Settings!$C$6,B1150&gt;Settings!$C$7),"Outside period | ","")&amp;IF(COUNTIF(Settings!$E$14:$E$43,C1150&amp;"")&gt;0,"Sensitive account | ","")&amp;IF(AND(MAX(N(E1150),N(F1150))&gt;=Settings!$C$9,MOD(MAX(N(E1150),N(F1150)),Settings!$C$10)=0),"Round amount | ","")="","",LEFT(IF(K1150="No","Does not balance | ","")&amp;IF(I1150="","Not approved | ",IF(UPPER(TRIM(H1150))=UPPER(TRIM(I1150)),"Self-approved | ",""))&amp;IF(J1150="","No support | ","")&amp;IF(WEEKDAY(B1150,2)&gt;5,"Weekend posting | ","")&amp;IF(COUNTIF(Settings!$A$14:$A$43,B1150)&gt;0,"Holiday posting | ","")&amp;IF(B1150&gt;Settings!$C$8,"Posted after close | ","")&amp;IF(OR(B1150&lt;Settings!$C$6,B1150&gt;Settings!$C$7),"Outside period | ","")&amp;IF(COUNTIF(Settings!$E$14:$E$43,C1150&amp;"")&gt;0,"Sensitive account | ","")&amp;IF(AND(MAX(N(E1150),N(F1150))&gt;=Settings!$C$9,MOD(MAX(N(E1150),N(F1150)),Settings!$C$10)=0),"Round amount | ",""),LEN(IF(K1150="No","Does not balance | ","")&amp;IF(I1150="","Not approved | ",IF(UPPER(TRIM(H1150))=UPPER(TRIM(I1150)),"Self-approved | ",""))&amp;IF(J1150="","No support | ","")&amp;IF(WEEKDAY(B1150,2)&gt;5,"Weekend posting | ","")&amp;IF(COUNTIF(Settings!$A$14:$A$43,B1150)&gt;0,"Holiday posting | ","")&amp;IF(B1150&gt;Settings!$C$8,"Posted after close | ","")&amp;IF(OR(B1150&lt;Settings!$C$6,B1150&gt;Settings!$C$7),"Outside period | ","")&amp;IF(COUNTIF(Settings!$E$14:$E$43,C1150&amp;"")&gt;0,"Sensitive account | ","")&amp;IF(AND(MAX(N(E1150),N(F1150))&gt;=Settings!$C$9,MOD(MAX(N(E1150),N(F1150)),Settings!$C$10)=0),"Round amount | ",""))-3)))</f>
        <v/>
      </c>
      <c r="M1150" s="21" t="str">
        <f aca="false">IF(A1150="","",IF(COUNTIF($A$9:A1150,A1150)=1,MAX($M$8:M1149)+1,""))</f>
        <v/>
      </c>
    </row>
    <row r="1151" customFormat="false" ht="15" hidden="false" customHeight="false" outlineLevel="0" collapsed="false">
      <c r="A1151" s="8"/>
      <c r="B1151" s="17"/>
      <c r="C1151" s="19"/>
      <c r="D1151" s="8"/>
      <c r="E1151" s="18"/>
      <c r="F1151" s="18"/>
      <c r="G1151" s="8"/>
      <c r="H1151" s="8"/>
      <c r="I1151" s="8"/>
      <c r="J1151" s="8"/>
      <c r="K1151" s="10" t="str">
        <f aca="false">IF(A1151="","",IF(ABS(SUMIFS($E$9:$E$2008,$A$9:$A$2008,A1151)-SUMIFS($F$9:$F$2008,$A$9:$A$2008,A1151))&lt;0.5,"Yes","No"))</f>
        <v/>
      </c>
      <c r="L1151" s="10" t="str">
        <f aca="false">IF(A1151="","",IF(IF(K1151="No","Does not balance | ","")&amp;IF(I1151="","Not approved | ",IF(UPPER(TRIM(H1151))=UPPER(TRIM(I1151)),"Self-approved | ",""))&amp;IF(J1151="","No support | ","")&amp;IF(WEEKDAY(B1151,2)&gt;5,"Weekend posting | ","")&amp;IF(COUNTIF(Settings!$A$14:$A$43,B1151)&gt;0,"Holiday posting | ","")&amp;IF(B1151&gt;Settings!$C$8,"Posted after close | ","")&amp;IF(OR(B1151&lt;Settings!$C$6,B1151&gt;Settings!$C$7),"Outside period | ","")&amp;IF(COUNTIF(Settings!$E$14:$E$43,C1151&amp;"")&gt;0,"Sensitive account | ","")&amp;IF(AND(MAX(N(E1151),N(F1151))&gt;=Settings!$C$9,MOD(MAX(N(E1151),N(F1151)),Settings!$C$10)=0),"Round amount | ","")="","",LEFT(IF(K1151="No","Does not balance | ","")&amp;IF(I1151="","Not approved | ",IF(UPPER(TRIM(H1151))=UPPER(TRIM(I1151)),"Self-approved | ",""))&amp;IF(J1151="","No support | ","")&amp;IF(WEEKDAY(B1151,2)&gt;5,"Weekend posting | ","")&amp;IF(COUNTIF(Settings!$A$14:$A$43,B1151)&gt;0,"Holiday posting | ","")&amp;IF(B1151&gt;Settings!$C$8,"Posted after close | ","")&amp;IF(OR(B1151&lt;Settings!$C$6,B1151&gt;Settings!$C$7),"Outside period | ","")&amp;IF(COUNTIF(Settings!$E$14:$E$43,C1151&amp;"")&gt;0,"Sensitive account | ","")&amp;IF(AND(MAX(N(E1151),N(F1151))&gt;=Settings!$C$9,MOD(MAX(N(E1151),N(F1151)),Settings!$C$10)=0),"Round amount | ",""),LEN(IF(K1151="No","Does not balance | ","")&amp;IF(I1151="","Not approved | ",IF(UPPER(TRIM(H1151))=UPPER(TRIM(I1151)),"Self-approved | ",""))&amp;IF(J1151="","No support | ","")&amp;IF(WEEKDAY(B1151,2)&gt;5,"Weekend posting | ","")&amp;IF(COUNTIF(Settings!$A$14:$A$43,B1151)&gt;0,"Holiday posting | ","")&amp;IF(B1151&gt;Settings!$C$8,"Posted after close | ","")&amp;IF(OR(B1151&lt;Settings!$C$6,B1151&gt;Settings!$C$7),"Outside period | ","")&amp;IF(COUNTIF(Settings!$E$14:$E$43,C1151&amp;"")&gt;0,"Sensitive account | ","")&amp;IF(AND(MAX(N(E1151),N(F1151))&gt;=Settings!$C$9,MOD(MAX(N(E1151),N(F1151)),Settings!$C$10)=0),"Round amount | ",""))-3)))</f>
        <v/>
      </c>
      <c r="M1151" s="21" t="str">
        <f aca="false">IF(A1151="","",IF(COUNTIF($A$9:A1151,A1151)=1,MAX($M$8:M1150)+1,""))</f>
        <v/>
      </c>
    </row>
    <row r="1152" customFormat="false" ht="15" hidden="false" customHeight="false" outlineLevel="0" collapsed="false">
      <c r="A1152" s="8"/>
      <c r="B1152" s="17"/>
      <c r="C1152" s="19"/>
      <c r="D1152" s="8"/>
      <c r="E1152" s="18"/>
      <c r="F1152" s="18"/>
      <c r="G1152" s="8"/>
      <c r="H1152" s="8"/>
      <c r="I1152" s="8"/>
      <c r="J1152" s="8"/>
      <c r="K1152" s="10" t="str">
        <f aca="false">IF(A1152="","",IF(ABS(SUMIFS($E$9:$E$2008,$A$9:$A$2008,A1152)-SUMIFS($F$9:$F$2008,$A$9:$A$2008,A1152))&lt;0.5,"Yes","No"))</f>
        <v/>
      </c>
      <c r="L1152" s="10" t="str">
        <f aca="false">IF(A1152="","",IF(IF(K1152="No","Does not balance | ","")&amp;IF(I1152="","Not approved | ",IF(UPPER(TRIM(H1152))=UPPER(TRIM(I1152)),"Self-approved | ",""))&amp;IF(J1152="","No support | ","")&amp;IF(WEEKDAY(B1152,2)&gt;5,"Weekend posting | ","")&amp;IF(COUNTIF(Settings!$A$14:$A$43,B1152)&gt;0,"Holiday posting | ","")&amp;IF(B1152&gt;Settings!$C$8,"Posted after close | ","")&amp;IF(OR(B1152&lt;Settings!$C$6,B1152&gt;Settings!$C$7),"Outside period | ","")&amp;IF(COUNTIF(Settings!$E$14:$E$43,C1152&amp;"")&gt;0,"Sensitive account | ","")&amp;IF(AND(MAX(N(E1152),N(F1152))&gt;=Settings!$C$9,MOD(MAX(N(E1152),N(F1152)),Settings!$C$10)=0),"Round amount | ","")="","",LEFT(IF(K1152="No","Does not balance | ","")&amp;IF(I1152="","Not approved | ",IF(UPPER(TRIM(H1152))=UPPER(TRIM(I1152)),"Self-approved | ",""))&amp;IF(J1152="","No support | ","")&amp;IF(WEEKDAY(B1152,2)&gt;5,"Weekend posting | ","")&amp;IF(COUNTIF(Settings!$A$14:$A$43,B1152)&gt;0,"Holiday posting | ","")&amp;IF(B1152&gt;Settings!$C$8,"Posted after close | ","")&amp;IF(OR(B1152&lt;Settings!$C$6,B1152&gt;Settings!$C$7),"Outside period | ","")&amp;IF(COUNTIF(Settings!$E$14:$E$43,C1152&amp;"")&gt;0,"Sensitive account | ","")&amp;IF(AND(MAX(N(E1152),N(F1152))&gt;=Settings!$C$9,MOD(MAX(N(E1152),N(F1152)),Settings!$C$10)=0),"Round amount | ",""),LEN(IF(K1152="No","Does not balance | ","")&amp;IF(I1152="","Not approved | ",IF(UPPER(TRIM(H1152))=UPPER(TRIM(I1152)),"Self-approved | ",""))&amp;IF(J1152="","No support | ","")&amp;IF(WEEKDAY(B1152,2)&gt;5,"Weekend posting | ","")&amp;IF(COUNTIF(Settings!$A$14:$A$43,B1152)&gt;0,"Holiday posting | ","")&amp;IF(B1152&gt;Settings!$C$8,"Posted after close | ","")&amp;IF(OR(B1152&lt;Settings!$C$6,B1152&gt;Settings!$C$7),"Outside period | ","")&amp;IF(COUNTIF(Settings!$E$14:$E$43,C1152&amp;"")&gt;0,"Sensitive account | ","")&amp;IF(AND(MAX(N(E1152),N(F1152))&gt;=Settings!$C$9,MOD(MAX(N(E1152),N(F1152)),Settings!$C$10)=0),"Round amount | ",""))-3)))</f>
        <v/>
      </c>
      <c r="M1152" s="21" t="str">
        <f aca="false">IF(A1152="","",IF(COUNTIF($A$9:A1152,A1152)=1,MAX($M$8:M1151)+1,""))</f>
        <v/>
      </c>
    </row>
    <row r="1153" customFormat="false" ht="15" hidden="false" customHeight="false" outlineLevel="0" collapsed="false">
      <c r="A1153" s="8"/>
      <c r="B1153" s="17"/>
      <c r="C1153" s="19"/>
      <c r="D1153" s="8"/>
      <c r="E1153" s="18"/>
      <c r="F1153" s="18"/>
      <c r="G1153" s="8"/>
      <c r="H1153" s="8"/>
      <c r="I1153" s="8"/>
      <c r="J1153" s="8"/>
      <c r="K1153" s="10" t="str">
        <f aca="false">IF(A1153="","",IF(ABS(SUMIFS($E$9:$E$2008,$A$9:$A$2008,A1153)-SUMIFS($F$9:$F$2008,$A$9:$A$2008,A1153))&lt;0.5,"Yes","No"))</f>
        <v/>
      </c>
      <c r="L1153" s="10" t="str">
        <f aca="false">IF(A1153="","",IF(IF(K1153="No","Does not balance | ","")&amp;IF(I1153="","Not approved | ",IF(UPPER(TRIM(H1153))=UPPER(TRIM(I1153)),"Self-approved | ",""))&amp;IF(J1153="","No support | ","")&amp;IF(WEEKDAY(B1153,2)&gt;5,"Weekend posting | ","")&amp;IF(COUNTIF(Settings!$A$14:$A$43,B1153)&gt;0,"Holiday posting | ","")&amp;IF(B1153&gt;Settings!$C$8,"Posted after close | ","")&amp;IF(OR(B1153&lt;Settings!$C$6,B1153&gt;Settings!$C$7),"Outside period | ","")&amp;IF(COUNTIF(Settings!$E$14:$E$43,C1153&amp;"")&gt;0,"Sensitive account | ","")&amp;IF(AND(MAX(N(E1153),N(F1153))&gt;=Settings!$C$9,MOD(MAX(N(E1153),N(F1153)),Settings!$C$10)=0),"Round amount | ","")="","",LEFT(IF(K1153="No","Does not balance | ","")&amp;IF(I1153="","Not approved | ",IF(UPPER(TRIM(H1153))=UPPER(TRIM(I1153)),"Self-approved | ",""))&amp;IF(J1153="","No support | ","")&amp;IF(WEEKDAY(B1153,2)&gt;5,"Weekend posting | ","")&amp;IF(COUNTIF(Settings!$A$14:$A$43,B1153)&gt;0,"Holiday posting | ","")&amp;IF(B1153&gt;Settings!$C$8,"Posted after close | ","")&amp;IF(OR(B1153&lt;Settings!$C$6,B1153&gt;Settings!$C$7),"Outside period | ","")&amp;IF(COUNTIF(Settings!$E$14:$E$43,C1153&amp;"")&gt;0,"Sensitive account | ","")&amp;IF(AND(MAX(N(E1153),N(F1153))&gt;=Settings!$C$9,MOD(MAX(N(E1153),N(F1153)),Settings!$C$10)=0),"Round amount | ",""),LEN(IF(K1153="No","Does not balance | ","")&amp;IF(I1153="","Not approved | ",IF(UPPER(TRIM(H1153))=UPPER(TRIM(I1153)),"Self-approved | ",""))&amp;IF(J1153="","No support | ","")&amp;IF(WEEKDAY(B1153,2)&gt;5,"Weekend posting | ","")&amp;IF(COUNTIF(Settings!$A$14:$A$43,B1153)&gt;0,"Holiday posting | ","")&amp;IF(B1153&gt;Settings!$C$8,"Posted after close | ","")&amp;IF(OR(B1153&lt;Settings!$C$6,B1153&gt;Settings!$C$7),"Outside period | ","")&amp;IF(COUNTIF(Settings!$E$14:$E$43,C1153&amp;"")&gt;0,"Sensitive account | ","")&amp;IF(AND(MAX(N(E1153),N(F1153))&gt;=Settings!$C$9,MOD(MAX(N(E1153),N(F1153)),Settings!$C$10)=0),"Round amount | ",""))-3)))</f>
        <v/>
      </c>
      <c r="M1153" s="21" t="str">
        <f aca="false">IF(A1153="","",IF(COUNTIF($A$9:A1153,A1153)=1,MAX($M$8:M1152)+1,""))</f>
        <v/>
      </c>
    </row>
    <row r="1154" customFormat="false" ht="15" hidden="false" customHeight="false" outlineLevel="0" collapsed="false">
      <c r="A1154" s="8"/>
      <c r="B1154" s="17"/>
      <c r="C1154" s="19"/>
      <c r="D1154" s="8"/>
      <c r="E1154" s="18"/>
      <c r="F1154" s="18"/>
      <c r="G1154" s="8"/>
      <c r="H1154" s="8"/>
      <c r="I1154" s="8"/>
      <c r="J1154" s="8"/>
      <c r="K1154" s="10" t="str">
        <f aca="false">IF(A1154="","",IF(ABS(SUMIFS($E$9:$E$2008,$A$9:$A$2008,A1154)-SUMIFS($F$9:$F$2008,$A$9:$A$2008,A1154))&lt;0.5,"Yes","No"))</f>
        <v/>
      </c>
      <c r="L1154" s="10" t="str">
        <f aca="false">IF(A1154="","",IF(IF(K1154="No","Does not balance | ","")&amp;IF(I1154="","Not approved | ",IF(UPPER(TRIM(H1154))=UPPER(TRIM(I1154)),"Self-approved | ",""))&amp;IF(J1154="","No support | ","")&amp;IF(WEEKDAY(B1154,2)&gt;5,"Weekend posting | ","")&amp;IF(COUNTIF(Settings!$A$14:$A$43,B1154)&gt;0,"Holiday posting | ","")&amp;IF(B1154&gt;Settings!$C$8,"Posted after close | ","")&amp;IF(OR(B1154&lt;Settings!$C$6,B1154&gt;Settings!$C$7),"Outside period | ","")&amp;IF(COUNTIF(Settings!$E$14:$E$43,C1154&amp;"")&gt;0,"Sensitive account | ","")&amp;IF(AND(MAX(N(E1154),N(F1154))&gt;=Settings!$C$9,MOD(MAX(N(E1154),N(F1154)),Settings!$C$10)=0),"Round amount | ","")="","",LEFT(IF(K1154="No","Does not balance | ","")&amp;IF(I1154="","Not approved | ",IF(UPPER(TRIM(H1154))=UPPER(TRIM(I1154)),"Self-approved | ",""))&amp;IF(J1154="","No support | ","")&amp;IF(WEEKDAY(B1154,2)&gt;5,"Weekend posting | ","")&amp;IF(COUNTIF(Settings!$A$14:$A$43,B1154)&gt;0,"Holiday posting | ","")&amp;IF(B1154&gt;Settings!$C$8,"Posted after close | ","")&amp;IF(OR(B1154&lt;Settings!$C$6,B1154&gt;Settings!$C$7),"Outside period | ","")&amp;IF(COUNTIF(Settings!$E$14:$E$43,C1154&amp;"")&gt;0,"Sensitive account | ","")&amp;IF(AND(MAX(N(E1154),N(F1154))&gt;=Settings!$C$9,MOD(MAX(N(E1154),N(F1154)),Settings!$C$10)=0),"Round amount | ",""),LEN(IF(K1154="No","Does not balance | ","")&amp;IF(I1154="","Not approved | ",IF(UPPER(TRIM(H1154))=UPPER(TRIM(I1154)),"Self-approved | ",""))&amp;IF(J1154="","No support | ","")&amp;IF(WEEKDAY(B1154,2)&gt;5,"Weekend posting | ","")&amp;IF(COUNTIF(Settings!$A$14:$A$43,B1154)&gt;0,"Holiday posting | ","")&amp;IF(B1154&gt;Settings!$C$8,"Posted after close | ","")&amp;IF(OR(B1154&lt;Settings!$C$6,B1154&gt;Settings!$C$7),"Outside period | ","")&amp;IF(COUNTIF(Settings!$E$14:$E$43,C1154&amp;"")&gt;0,"Sensitive account | ","")&amp;IF(AND(MAX(N(E1154),N(F1154))&gt;=Settings!$C$9,MOD(MAX(N(E1154),N(F1154)),Settings!$C$10)=0),"Round amount | ",""))-3)))</f>
        <v/>
      </c>
      <c r="M1154" s="21" t="str">
        <f aca="false">IF(A1154="","",IF(COUNTIF($A$9:A1154,A1154)=1,MAX($M$8:M1153)+1,""))</f>
        <v/>
      </c>
    </row>
    <row r="1155" customFormat="false" ht="15" hidden="false" customHeight="false" outlineLevel="0" collapsed="false">
      <c r="A1155" s="8"/>
      <c r="B1155" s="17"/>
      <c r="C1155" s="19"/>
      <c r="D1155" s="8"/>
      <c r="E1155" s="18"/>
      <c r="F1155" s="18"/>
      <c r="G1155" s="8"/>
      <c r="H1155" s="8"/>
      <c r="I1155" s="8"/>
      <c r="J1155" s="8"/>
      <c r="K1155" s="10" t="str">
        <f aca="false">IF(A1155="","",IF(ABS(SUMIFS($E$9:$E$2008,$A$9:$A$2008,A1155)-SUMIFS($F$9:$F$2008,$A$9:$A$2008,A1155))&lt;0.5,"Yes","No"))</f>
        <v/>
      </c>
      <c r="L1155" s="10" t="str">
        <f aca="false">IF(A1155="","",IF(IF(K1155="No","Does not balance | ","")&amp;IF(I1155="","Not approved | ",IF(UPPER(TRIM(H1155))=UPPER(TRIM(I1155)),"Self-approved | ",""))&amp;IF(J1155="","No support | ","")&amp;IF(WEEKDAY(B1155,2)&gt;5,"Weekend posting | ","")&amp;IF(COUNTIF(Settings!$A$14:$A$43,B1155)&gt;0,"Holiday posting | ","")&amp;IF(B1155&gt;Settings!$C$8,"Posted after close | ","")&amp;IF(OR(B1155&lt;Settings!$C$6,B1155&gt;Settings!$C$7),"Outside period | ","")&amp;IF(COUNTIF(Settings!$E$14:$E$43,C1155&amp;"")&gt;0,"Sensitive account | ","")&amp;IF(AND(MAX(N(E1155),N(F1155))&gt;=Settings!$C$9,MOD(MAX(N(E1155),N(F1155)),Settings!$C$10)=0),"Round amount | ","")="","",LEFT(IF(K1155="No","Does not balance | ","")&amp;IF(I1155="","Not approved | ",IF(UPPER(TRIM(H1155))=UPPER(TRIM(I1155)),"Self-approved | ",""))&amp;IF(J1155="","No support | ","")&amp;IF(WEEKDAY(B1155,2)&gt;5,"Weekend posting | ","")&amp;IF(COUNTIF(Settings!$A$14:$A$43,B1155)&gt;0,"Holiday posting | ","")&amp;IF(B1155&gt;Settings!$C$8,"Posted after close | ","")&amp;IF(OR(B1155&lt;Settings!$C$6,B1155&gt;Settings!$C$7),"Outside period | ","")&amp;IF(COUNTIF(Settings!$E$14:$E$43,C1155&amp;"")&gt;0,"Sensitive account | ","")&amp;IF(AND(MAX(N(E1155),N(F1155))&gt;=Settings!$C$9,MOD(MAX(N(E1155),N(F1155)),Settings!$C$10)=0),"Round amount | ",""),LEN(IF(K1155="No","Does not balance | ","")&amp;IF(I1155="","Not approved | ",IF(UPPER(TRIM(H1155))=UPPER(TRIM(I1155)),"Self-approved | ",""))&amp;IF(J1155="","No support | ","")&amp;IF(WEEKDAY(B1155,2)&gt;5,"Weekend posting | ","")&amp;IF(COUNTIF(Settings!$A$14:$A$43,B1155)&gt;0,"Holiday posting | ","")&amp;IF(B1155&gt;Settings!$C$8,"Posted after close | ","")&amp;IF(OR(B1155&lt;Settings!$C$6,B1155&gt;Settings!$C$7),"Outside period | ","")&amp;IF(COUNTIF(Settings!$E$14:$E$43,C1155&amp;"")&gt;0,"Sensitive account | ","")&amp;IF(AND(MAX(N(E1155),N(F1155))&gt;=Settings!$C$9,MOD(MAX(N(E1155),N(F1155)),Settings!$C$10)=0),"Round amount | ",""))-3)))</f>
        <v/>
      </c>
      <c r="M1155" s="21" t="str">
        <f aca="false">IF(A1155="","",IF(COUNTIF($A$9:A1155,A1155)=1,MAX($M$8:M1154)+1,""))</f>
        <v/>
      </c>
    </row>
    <row r="1156" customFormat="false" ht="15" hidden="false" customHeight="false" outlineLevel="0" collapsed="false">
      <c r="A1156" s="8"/>
      <c r="B1156" s="17"/>
      <c r="C1156" s="19"/>
      <c r="D1156" s="8"/>
      <c r="E1156" s="18"/>
      <c r="F1156" s="18"/>
      <c r="G1156" s="8"/>
      <c r="H1156" s="8"/>
      <c r="I1156" s="8"/>
      <c r="J1156" s="8"/>
      <c r="K1156" s="10" t="str">
        <f aca="false">IF(A1156="","",IF(ABS(SUMIFS($E$9:$E$2008,$A$9:$A$2008,A1156)-SUMIFS($F$9:$F$2008,$A$9:$A$2008,A1156))&lt;0.5,"Yes","No"))</f>
        <v/>
      </c>
      <c r="L1156" s="10" t="str">
        <f aca="false">IF(A1156="","",IF(IF(K1156="No","Does not balance | ","")&amp;IF(I1156="","Not approved | ",IF(UPPER(TRIM(H1156))=UPPER(TRIM(I1156)),"Self-approved | ",""))&amp;IF(J1156="","No support | ","")&amp;IF(WEEKDAY(B1156,2)&gt;5,"Weekend posting | ","")&amp;IF(COUNTIF(Settings!$A$14:$A$43,B1156)&gt;0,"Holiday posting | ","")&amp;IF(B1156&gt;Settings!$C$8,"Posted after close | ","")&amp;IF(OR(B1156&lt;Settings!$C$6,B1156&gt;Settings!$C$7),"Outside period | ","")&amp;IF(COUNTIF(Settings!$E$14:$E$43,C1156&amp;"")&gt;0,"Sensitive account | ","")&amp;IF(AND(MAX(N(E1156),N(F1156))&gt;=Settings!$C$9,MOD(MAX(N(E1156),N(F1156)),Settings!$C$10)=0),"Round amount | ","")="","",LEFT(IF(K1156="No","Does not balance | ","")&amp;IF(I1156="","Not approved | ",IF(UPPER(TRIM(H1156))=UPPER(TRIM(I1156)),"Self-approved | ",""))&amp;IF(J1156="","No support | ","")&amp;IF(WEEKDAY(B1156,2)&gt;5,"Weekend posting | ","")&amp;IF(COUNTIF(Settings!$A$14:$A$43,B1156)&gt;0,"Holiday posting | ","")&amp;IF(B1156&gt;Settings!$C$8,"Posted after close | ","")&amp;IF(OR(B1156&lt;Settings!$C$6,B1156&gt;Settings!$C$7),"Outside period | ","")&amp;IF(COUNTIF(Settings!$E$14:$E$43,C1156&amp;"")&gt;0,"Sensitive account | ","")&amp;IF(AND(MAX(N(E1156),N(F1156))&gt;=Settings!$C$9,MOD(MAX(N(E1156),N(F1156)),Settings!$C$10)=0),"Round amount | ",""),LEN(IF(K1156="No","Does not balance | ","")&amp;IF(I1156="","Not approved | ",IF(UPPER(TRIM(H1156))=UPPER(TRIM(I1156)),"Self-approved | ",""))&amp;IF(J1156="","No support | ","")&amp;IF(WEEKDAY(B1156,2)&gt;5,"Weekend posting | ","")&amp;IF(COUNTIF(Settings!$A$14:$A$43,B1156)&gt;0,"Holiday posting | ","")&amp;IF(B1156&gt;Settings!$C$8,"Posted after close | ","")&amp;IF(OR(B1156&lt;Settings!$C$6,B1156&gt;Settings!$C$7),"Outside period | ","")&amp;IF(COUNTIF(Settings!$E$14:$E$43,C1156&amp;"")&gt;0,"Sensitive account | ","")&amp;IF(AND(MAX(N(E1156),N(F1156))&gt;=Settings!$C$9,MOD(MAX(N(E1156),N(F1156)),Settings!$C$10)=0),"Round amount | ",""))-3)))</f>
        <v/>
      </c>
      <c r="M1156" s="21" t="str">
        <f aca="false">IF(A1156="","",IF(COUNTIF($A$9:A1156,A1156)=1,MAX($M$8:M1155)+1,""))</f>
        <v/>
      </c>
    </row>
    <row r="1157" customFormat="false" ht="15" hidden="false" customHeight="false" outlineLevel="0" collapsed="false">
      <c r="A1157" s="8"/>
      <c r="B1157" s="17"/>
      <c r="C1157" s="19"/>
      <c r="D1157" s="8"/>
      <c r="E1157" s="18"/>
      <c r="F1157" s="18"/>
      <c r="G1157" s="8"/>
      <c r="H1157" s="8"/>
      <c r="I1157" s="8"/>
      <c r="J1157" s="8"/>
      <c r="K1157" s="10" t="str">
        <f aca="false">IF(A1157="","",IF(ABS(SUMIFS($E$9:$E$2008,$A$9:$A$2008,A1157)-SUMIFS($F$9:$F$2008,$A$9:$A$2008,A1157))&lt;0.5,"Yes","No"))</f>
        <v/>
      </c>
      <c r="L1157" s="10" t="str">
        <f aca="false">IF(A1157="","",IF(IF(K1157="No","Does not balance | ","")&amp;IF(I1157="","Not approved | ",IF(UPPER(TRIM(H1157))=UPPER(TRIM(I1157)),"Self-approved | ",""))&amp;IF(J1157="","No support | ","")&amp;IF(WEEKDAY(B1157,2)&gt;5,"Weekend posting | ","")&amp;IF(COUNTIF(Settings!$A$14:$A$43,B1157)&gt;0,"Holiday posting | ","")&amp;IF(B1157&gt;Settings!$C$8,"Posted after close | ","")&amp;IF(OR(B1157&lt;Settings!$C$6,B1157&gt;Settings!$C$7),"Outside period | ","")&amp;IF(COUNTIF(Settings!$E$14:$E$43,C1157&amp;"")&gt;0,"Sensitive account | ","")&amp;IF(AND(MAX(N(E1157),N(F1157))&gt;=Settings!$C$9,MOD(MAX(N(E1157),N(F1157)),Settings!$C$10)=0),"Round amount | ","")="","",LEFT(IF(K1157="No","Does not balance | ","")&amp;IF(I1157="","Not approved | ",IF(UPPER(TRIM(H1157))=UPPER(TRIM(I1157)),"Self-approved | ",""))&amp;IF(J1157="","No support | ","")&amp;IF(WEEKDAY(B1157,2)&gt;5,"Weekend posting | ","")&amp;IF(COUNTIF(Settings!$A$14:$A$43,B1157)&gt;0,"Holiday posting | ","")&amp;IF(B1157&gt;Settings!$C$8,"Posted after close | ","")&amp;IF(OR(B1157&lt;Settings!$C$6,B1157&gt;Settings!$C$7),"Outside period | ","")&amp;IF(COUNTIF(Settings!$E$14:$E$43,C1157&amp;"")&gt;0,"Sensitive account | ","")&amp;IF(AND(MAX(N(E1157),N(F1157))&gt;=Settings!$C$9,MOD(MAX(N(E1157),N(F1157)),Settings!$C$10)=0),"Round amount | ",""),LEN(IF(K1157="No","Does not balance | ","")&amp;IF(I1157="","Not approved | ",IF(UPPER(TRIM(H1157))=UPPER(TRIM(I1157)),"Self-approved | ",""))&amp;IF(J1157="","No support | ","")&amp;IF(WEEKDAY(B1157,2)&gt;5,"Weekend posting | ","")&amp;IF(COUNTIF(Settings!$A$14:$A$43,B1157)&gt;0,"Holiday posting | ","")&amp;IF(B1157&gt;Settings!$C$8,"Posted after close | ","")&amp;IF(OR(B1157&lt;Settings!$C$6,B1157&gt;Settings!$C$7),"Outside period | ","")&amp;IF(COUNTIF(Settings!$E$14:$E$43,C1157&amp;"")&gt;0,"Sensitive account | ","")&amp;IF(AND(MAX(N(E1157),N(F1157))&gt;=Settings!$C$9,MOD(MAX(N(E1157),N(F1157)),Settings!$C$10)=0),"Round amount | ",""))-3)))</f>
        <v/>
      </c>
      <c r="M1157" s="21" t="str">
        <f aca="false">IF(A1157="","",IF(COUNTIF($A$9:A1157,A1157)=1,MAX($M$8:M1156)+1,""))</f>
        <v/>
      </c>
    </row>
    <row r="1158" customFormat="false" ht="15" hidden="false" customHeight="false" outlineLevel="0" collapsed="false">
      <c r="A1158" s="8"/>
      <c r="B1158" s="17"/>
      <c r="C1158" s="19"/>
      <c r="D1158" s="8"/>
      <c r="E1158" s="18"/>
      <c r="F1158" s="18"/>
      <c r="G1158" s="8"/>
      <c r="H1158" s="8"/>
      <c r="I1158" s="8"/>
      <c r="J1158" s="8"/>
      <c r="K1158" s="10" t="str">
        <f aca="false">IF(A1158="","",IF(ABS(SUMIFS($E$9:$E$2008,$A$9:$A$2008,A1158)-SUMIFS($F$9:$F$2008,$A$9:$A$2008,A1158))&lt;0.5,"Yes","No"))</f>
        <v/>
      </c>
      <c r="L1158" s="10" t="str">
        <f aca="false">IF(A1158="","",IF(IF(K1158="No","Does not balance | ","")&amp;IF(I1158="","Not approved | ",IF(UPPER(TRIM(H1158))=UPPER(TRIM(I1158)),"Self-approved | ",""))&amp;IF(J1158="","No support | ","")&amp;IF(WEEKDAY(B1158,2)&gt;5,"Weekend posting | ","")&amp;IF(COUNTIF(Settings!$A$14:$A$43,B1158)&gt;0,"Holiday posting | ","")&amp;IF(B1158&gt;Settings!$C$8,"Posted after close | ","")&amp;IF(OR(B1158&lt;Settings!$C$6,B1158&gt;Settings!$C$7),"Outside period | ","")&amp;IF(COUNTIF(Settings!$E$14:$E$43,C1158&amp;"")&gt;0,"Sensitive account | ","")&amp;IF(AND(MAX(N(E1158),N(F1158))&gt;=Settings!$C$9,MOD(MAX(N(E1158),N(F1158)),Settings!$C$10)=0),"Round amount | ","")="","",LEFT(IF(K1158="No","Does not balance | ","")&amp;IF(I1158="","Not approved | ",IF(UPPER(TRIM(H1158))=UPPER(TRIM(I1158)),"Self-approved | ",""))&amp;IF(J1158="","No support | ","")&amp;IF(WEEKDAY(B1158,2)&gt;5,"Weekend posting | ","")&amp;IF(COUNTIF(Settings!$A$14:$A$43,B1158)&gt;0,"Holiday posting | ","")&amp;IF(B1158&gt;Settings!$C$8,"Posted after close | ","")&amp;IF(OR(B1158&lt;Settings!$C$6,B1158&gt;Settings!$C$7),"Outside period | ","")&amp;IF(COUNTIF(Settings!$E$14:$E$43,C1158&amp;"")&gt;0,"Sensitive account | ","")&amp;IF(AND(MAX(N(E1158),N(F1158))&gt;=Settings!$C$9,MOD(MAX(N(E1158),N(F1158)),Settings!$C$10)=0),"Round amount | ",""),LEN(IF(K1158="No","Does not balance | ","")&amp;IF(I1158="","Not approved | ",IF(UPPER(TRIM(H1158))=UPPER(TRIM(I1158)),"Self-approved | ",""))&amp;IF(J1158="","No support | ","")&amp;IF(WEEKDAY(B1158,2)&gt;5,"Weekend posting | ","")&amp;IF(COUNTIF(Settings!$A$14:$A$43,B1158)&gt;0,"Holiday posting | ","")&amp;IF(B1158&gt;Settings!$C$8,"Posted after close | ","")&amp;IF(OR(B1158&lt;Settings!$C$6,B1158&gt;Settings!$C$7),"Outside period | ","")&amp;IF(COUNTIF(Settings!$E$14:$E$43,C1158&amp;"")&gt;0,"Sensitive account | ","")&amp;IF(AND(MAX(N(E1158),N(F1158))&gt;=Settings!$C$9,MOD(MAX(N(E1158),N(F1158)),Settings!$C$10)=0),"Round amount | ",""))-3)))</f>
        <v/>
      </c>
      <c r="M1158" s="21" t="str">
        <f aca="false">IF(A1158="","",IF(COUNTIF($A$9:A1158,A1158)=1,MAX($M$8:M1157)+1,""))</f>
        <v/>
      </c>
    </row>
    <row r="1159" customFormat="false" ht="15" hidden="false" customHeight="false" outlineLevel="0" collapsed="false">
      <c r="A1159" s="8"/>
      <c r="B1159" s="17"/>
      <c r="C1159" s="19"/>
      <c r="D1159" s="8"/>
      <c r="E1159" s="18"/>
      <c r="F1159" s="18"/>
      <c r="G1159" s="8"/>
      <c r="H1159" s="8"/>
      <c r="I1159" s="8"/>
      <c r="J1159" s="8"/>
      <c r="K1159" s="10" t="str">
        <f aca="false">IF(A1159="","",IF(ABS(SUMIFS($E$9:$E$2008,$A$9:$A$2008,A1159)-SUMIFS($F$9:$F$2008,$A$9:$A$2008,A1159))&lt;0.5,"Yes","No"))</f>
        <v/>
      </c>
      <c r="L1159" s="10" t="str">
        <f aca="false">IF(A1159="","",IF(IF(K1159="No","Does not balance | ","")&amp;IF(I1159="","Not approved | ",IF(UPPER(TRIM(H1159))=UPPER(TRIM(I1159)),"Self-approved | ",""))&amp;IF(J1159="","No support | ","")&amp;IF(WEEKDAY(B1159,2)&gt;5,"Weekend posting | ","")&amp;IF(COUNTIF(Settings!$A$14:$A$43,B1159)&gt;0,"Holiday posting | ","")&amp;IF(B1159&gt;Settings!$C$8,"Posted after close | ","")&amp;IF(OR(B1159&lt;Settings!$C$6,B1159&gt;Settings!$C$7),"Outside period | ","")&amp;IF(COUNTIF(Settings!$E$14:$E$43,C1159&amp;"")&gt;0,"Sensitive account | ","")&amp;IF(AND(MAX(N(E1159),N(F1159))&gt;=Settings!$C$9,MOD(MAX(N(E1159),N(F1159)),Settings!$C$10)=0),"Round amount | ","")="","",LEFT(IF(K1159="No","Does not balance | ","")&amp;IF(I1159="","Not approved | ",IF(UPPER(TRIM(H1159))=UPPER(TRIM(I1159)),"Self-approved | ",""))&amp;IF(J1159="","No support | ","")&amp;IF(WEEKDAY(B1159,2)&gt;5,"Weekend posting | ","")&amp;IF(COUNTIF(Settings!$A$14:$A$43,B1159)&gt;0,"Holiday posting | ","")&amp;IF(B1159&gt;Settings!$C$8,"Posted after close | ","")&amp;IF(OR(B1159&lt;Settings!$C$6,B1159&gt;Settings!$C$7),"Outside period | ","")&amp;IF(COUNTIF(Settings!$E$14:$E$43,C1159&amp;"")&gt;0,"Sensitive account | ","")&amp;IF(AND(MAX(N(E1159),N(F1159))&gt;=Settings!$C$9,MOD(MAX(N(E1159),N(F1159)),Settings!$C$10)=0),"Round amount | ",""),LEN(IF(K1159="No","Does not balance | ","")&amp;IF(I1159="","Not approved | ",IF(UPPER(TRIM(H1159))=UPPER(TRIM(I1159)),"Self-approved | ",""))&amp;IF(J1159="","No support | ","")&amp;IF(WEEKDAY(B1159,2)&gt;5,"Weekend posting | ","")&amp;IF(COUNTIF(Settings!$A$14:$A$43,B1159)&gt;0,"Holiday posting | ","")&amp;IF(B1159&gt;Settings!$C$8,"Posted after close | ","")&amp;IF(OR(B1159&lt;Settings!$C$6,B1159&gt;Settings!$C$7),"Outside period | ","")&amp;IF(COUNTIF(Settings!$E$14:$E$43,C1159&amp;"")&gt;0,"Sensitive account | ","")&amp;IF(AND(MAX(N(E1159),N(F1159))&gt;=Settings!$C$9,MOD(MAX(N(E1159),N(F1159)),Settings!$C$10)=0),"Round amount | ",""))-3)))</f>
        <v/>
      </c>
      <c r="M1159" s="21" t="str">
        <f aca="false">IF(A1159="","",IF(COUNTIF($A$9:A1159,A1159)=1,MAX($M$8:M1158)+1,""))</f>
        <v/>
      </c>
    </row>
    <row r="1160" customFormat="false" ht="15" hidden="false" customHeight="false" outlineLevel="0" collapsed="false">
      <c r="A1160" s="8"/>
      <c r="B1160" s="17"/>
      <c r="C1160" s="19"/>
      <c r="D1160" s="8"/>
      <c r="E1160" s="18"/>
      <c r="F1160" s="18"/>
      <c r="G1160" s="8"/>
      <c r="H1160" s="8"/>
      <c r="I1160" s="8"/>
      <c r="J1160" s="8"/>
      <c r="K1160" s="10" t="str">
        <f aca="false">IF(A1160="","",IF(ABS(SUMIFS($E$9:$E$2008,$A$9:$A$2008,A1160)-SUMIFS($F$9:$F$2008,$A$9:$A$2008,A1160))&lt;0.5,"Yes","No"))</f>
        <v/>
      </c>
      <c r="L1160" s="10" t="str">
        <f aca="false">IF(A1160="","",IF(IF(K1160="No","Does not balance | ","")&amp;IF(I1160="","Not approved | ",IF(UPPER(TRIM(H1160))=UPPER(TRIM(I1160)),"Self-approved | ",""))&amp;IF(J1160="","No support | ","")&amp;IF(WEEKDAY(B1160,2)&gt;5,"Weekend posting | ","")&amp;IF(COUNTIF(Settings!$A$14:$A$43,B1160)&gt;0,"Holiday posting | ","")&amp;IF(B1160&gt;Settings!$C$8,"Posted after close | ","")&amp;IF(OR(B1160&lt;Settings!$C$6,B1160&gt;Settings!$C$7),"Outside period | ","")&amp;IF(COUNTIF(Settings!$E$14:$E$43,C1160&amp;"")&gt;0,"Sensitive account | ","")&amp;IF(AND(MAX(N(E1160),N(F1160))&gt;=Settings!$C$9,MOD(MAX(N(E1160),N(F1160)),Settings!$C$10)=0),"Round amount | ","")="","",LEFT(IF(K1160="No","Does not balance | ","")&amp;IF(I1160="","Not approved | ",IF(UPPER(TRIM(H1160))=UPPER(TRIM(I1160)),"Self-approved | ",""))&amp;IF(J1160="","No support | ","")&amp;IF(WEEKDAY(B1160,2)&gt;5,"Weekend posting | ","")&amp;IF(COUNTIF(Settings!$A$14:$A$43,B1160)&gt;0,"Holiday posting | ","")&amp;IF(B1160&gt;Settings!$C$8,"Posted after close | ","")&amp;IF(OR(B1160&lt;Settings!$C$6,B1160&gt;Settings!$C$7),"Outside period | ","")&amp;IF(COUNTIF(Settings!$E$14:$E$43,C1160&amp;"")&gt;0,"Sensitive account | ","")&amp;IF(AND(MAX(N(E1160),N(F1160))&gt;=Settings!$C$9,MOD(MAX(N(E1160),N(F1160)),Settings!$C$10)=0),"Round amount | ",""),LEN(IF(K1160="No","Does not balance | ","")&amp;IF(I1160="","Not approved | ",IF(UPPER(TRIM(H1160))=UPPER(TRIM(I1160)),"Self-approved | ",""))&amp;IF(J1160="","No support | ","")&amp;IF(WEEKDAY(B1160,2)&gt;5,"Weekend posting | ","")&amp;IF(COUNTIF(Settings!$A$14:$A$43,B1160)&gt;0,"Holiday posting | ","")&amp;IF(B1160&gt;Settings!$C$8,"Posted after close | ","")&amp;IF(OR(B1160&lt;Settings!$C$6,B1160&gt;Settings!$C$7),"Outside period | ","")&amp;IF(COUNTIF(Settings!$E$14:$E$43,C1160&amp;"")&gt;0,"Sensitive account | ","")&amp;IF(AND(MAX(N(E1160),N(F1160))&gt;=Settings!$C$9,MOD(MAX(N(E1160),N(F1160)),Settings!$C$10)=0),"Round amount | ",""))-3)))</f>
        <v/>
      </c>
      <c r="M1160" s="21" t="str">
        <f aca="false">IF(A1160="","",IF(COUNTIF($A$9:A1160,A1160)=1,MAX($M$8:M1159)+1,""))</f>
        <v/>
      </c>
    </row>
    <row r="1161" customFormat="false" ht="15" hidden="false" customHeight="false" outlineLevel="0" collapsed="false">
      <c r="A1161" s="8"/>
      <c r="B1161" s="17"/>
      <c r="C1161" s="19"/>
      <c r="D1161" s="8"/>
      <c r="E1161" s="18"/>
      <c r="F1161" s="18"/>
      <c r="G1161" s="8"/>
      <c r="H1161" s="8"/>
      <c r="I1161" s="8"/>
      <c r="J1161" s="8"/>
      <c r="K1161" s="10" t="str">
        <f aca="false">IF(A1161="","",IF(ABS(SUMIFS($E$9:$E$2008,$A$9:$A$2008,A1161)-SUMIFS($F$9:$F$2008,$A$9:$A$2008,A1161))&lt;0.5,"Yes","No"))</f>
        <v/>
      </c>
      <c r="L1161" s="10" t="str">
        <f aca="false">IF(A1161="","",IF(IF(K1161="No","Does not balance | ","")&amp;IF(I1161="","Not approved | ",IF(UPPER(TRIM(H1161))=UPPER(TRIM(I1161)),"Self-approved | ",""))&amp;IF(J1161="","No support | ","")&amp;IF(WEEKDAY(B1161,2)&gt;5,"Weekend posting | ","")&amp;IF(COUNTIF(Settings!$A$14:$A$43,B1161)&gt;0,"Holiday posting | ","")&amp;IF(B1161&gt;Settings!$C$8,"Posted after close | ","")&amp;IF(OR(B1161&lt;Settings!$C$6,B1161&gt;Settings!$C$7),"Outside period | ","")&amp;IF(COUNTIF(Settings!$E$14:$E$43,C1161&amp;"")&gt;0,"Sensitive account | ","")&amp;IF(AND(MAX(N(E1161),N(F1161))&gt;=Settings!$C$9,MOD(MAX(N(E1161),N(F1161)),Settings!$C$10)=0),"Round amount | ","")="","",LEFT(IF(K1161="No","Does not balance | ","")&amp;IF(I1161="","Not approved | ",IF(UPPER(TRIM(H1161))=UPPER(TRIM(I1161)),"Self-approved | ",""))&amp;IF(J1161="","No support | ","")&amp;IF(WEEKDAY(B1161,2)&gt;5,"Weekend posting | ","")&amp;IF(COUNTIF(Settings!$A$14:$A$43,B1161)&gt;0,"Holiday posting | ","")&amp;IF(B1161&gt;Settings!$C$8,"Posted after close | ","")&amp;IF(OR(B1161&lt;Settings!$C$6,B1161&gt;Settings!$C$7),"Outside period | ","")&amp;IF(COUNTIF(Settings!$E$14:$E$43,C1161&amp;"")&gt;0,"Sensitive account | ","")&amp;IF(AND(MAX(N(E1161),N(F1161))&gt;=Settings!$C$9,MOD(MAX(N(E1161),N(F1161)),Settings!$C$10)=0),"Round amount | ",""),LEN(IF(K1161="No","Does not balance | ","")&amp;IF(I1161="","Not approved | ",IF(UPPER(TRIM(H1161))=UPPER(TRIM(I1161)),"Self-approved | ",""))&amp;IF(J1161="","No support | ","")&amp;IF(WEEKDAY(B1161,2)&gt;5,"Weekend posting | ","")&amp;IF(COUNTIF(Settings!$A$14:$A$43,B1161)&gt;0,"Holiday posting | ","")&amp;IF(B1161&gt;Settings!$C$8,"Posted after close | ","")&amp;IF(OR(B1161&lt;Settings!$C$6,B1161&gt;Settings!$C$7),"Outside period | ","")&amp;IF(COUNTIF(Settings!$E$14:$E$43,C1161&amp;"")&gt;0,"Sensitive account | ","")&amp;IF(AND(MAX(N(E1161),N(F1161))&gt;=Settings!$C$9,MOD(MAX(N(E1161),N(F1161)),Settings!$C$10)=0),"Round amount | ",""))-3)))</f>
        <v/>
      </c>
      <c r="M1161" s="21" t="str">
        <f aca="false">IF(A1161="","",IF(COUNTIF($A$9:A1161,A1161)=1,MAX($M$8:M1160)+1,""))</f>
        <v/>
      </c>
    </row>
    <row r="1162" customFormat="false" ht="15" hidden="false" customHeight="false" outlineLevel="0" collapsed="false">
      <c r="A1162" s="8"/>
      <c r="B1162" s="17"/>
      <c r="C1162" s="19"/>
      <c r="D1162" s="8"/>
      <c r="E1162" s="18"/>
      <c r="F1162" s="18"/>
      <c r="G1162" s="8"/>
      <c r="H1162" s="8"/>
      <c r="I1162" s="8"/>
      <c r="J1162" s="8"/>
      <c r="K1162" s="10" t="str">
        <f aca="false">IF(A1162="","",IF(ABS(SUMIFS($E$9:$E$2008,$A$9:$A$2008,A1162)-SUMIFS($F$9:$F$2008,$A$9:$A$2008,A1162))&lt;0.5,"Yes","No"))</f>
        <v/>
      </c>
      <c r="L1162" s="10" t="str">
        <f aca="false">IF(A1162="","",IF(IF(K1162="No","Does not balance | ","")&amp;IF(I1162="","Not approved | ",IF(UPPER(TRIM(H1162))=UPPER(TRIM(I1162)),"Self-approved | ",""))&amp;IF(J1162="","No support | ","")&amp;IF(WEEKDAY(B1162,2)&gt;5,"Weekend posting | ","")&amp;IF(COUNTIF(Settings!$A$14:$A$43,B1162)&gt;0,"Holiday posting | ","")&amp;IF(B1162&gt;Settings!$C$8,"Posted after close | ","")&amp;IF(OR(B1162&lt;Settings!$C$6,B1162&gt;Settings!$C$7),"Outside period | ","")&amp;IF(COUNTIF(Settings!$E$14:$E$43,C1162&amp;"")&gt;0,"Sensitive account | ","")&amp;IF(AND(MAX(N(E1162),N(F1162))&gt;=Settings!$C$9,MOD(MAX(N(E1162),N(F1162)),Settings!$C$10)=0),"Round amount | ","")="","",LEFT(IF(K1162="No","Does not balance | ","")&amp;IF(I1162="","Not approved | ",IF(UPPER(TRIM(H1162))=UPPER(TRIM(I1162)),"Self-approved | ",""))&amp;IF(J1162="","No support | ","")&amp;IF(WEEKDAY(B1162,2)&gt;5,"Weekend posting | ","")&amp;IF(COUNTIF(Settings!$A$14:$A$43,B1162)&gt;0,"Holiday posting | ","")&amp;IF(B1162&gt;Settings!$C$8,"Posted after close | ","")&amp;IF(OR(B1162&lt;Settings!$C$6,B1162&gt;Settings!$C$7),"Outside period | ","")&amp;IF(COUNTIF(Settings!$E$14:$E$43,C1162&amp;"")&gt;0,"Sensitive account | ","")&amp;IF(AND(MAX(N(E1162),N(F1162))&gt;=Settings!$C$9,MOD(MAX(N(E1162),N(F1162)),Settings!$C$10)=0),"Round amount | ",""),LEN(IF(K1162="No","Does not balance | ","")&amp;IF(I1162="","Not approved | ",IF(UPPER(TRIM(H1162))=UPPER(TRIM(I1162)),"Self-approved | ",""))&amp;IF(J1162="","No support | ","")&amp;IF(WEEKDAY(B1162,2)&gt;5,"Weekend posting | ","")&amp;IF(COUNTIF(Settings!$A$14:$A$43,B1162)&gt;0,"Holiday posting | ","")&amp;IF(B1162&gt;Settings!$C$8,"Posted after close | ","")&amp;IF(OR(B1162&lt;Settings!$C$6,B1162&gt;Settings!$C$7),"Outside period | ","")&amp;IF(COUNTIF(Settings!$E$14:$E$43,C1162&amp;"")&gt;0,"Sensitive account | ","")&amp;IF(AND(MAX(N(E1162),N(F1162))&gt;=Settings!$C$9,MOD(MAX(N(E1162),N(F1162)),Settings!$C$10)=0),"Round amount | ",""))-3)))</f>
        <v/>
      </c>
      <c r="M1162" s="21" t="str">
        <f aca="false">IF(A1162="","",IF(COUNTIF($A$9:A1162,A1162)=1,MAX($M$8:M1161)+1,""))</f>
        <v/>
      </c>
    </row>
    <row r="1163" customFormat="false" ht="15" hidden="false" customHeight="false" outlineLevel="0" collapsed="false">
      <c r="A1163" s="8"/>
      <c r="B1163" s="17"/>
      <c r="C1163" s="19"/>
      <c r="D1163" s="8"/>
      <c r="E1163" s="18"/>
      <c r="F1163" s="18"/>
      <c r="G1163" s="8"/>
      <c r="H1163" s="8"/>
      <c r="I1163" s="8"/>
      <c r="J1163" s="8"/>
      <c r="K1163" s="10" t="str">
        <f aca="false">IF(A1163="","",IF(ABS(SUMIFS($E$9:$E$2008,$A$9:$A$2008,A1163)-SUMIFS($F$9:$F$2008,$A$9:$A$2008,A1163))&lt;0.5,"Yes","No"))</f>
        <v/>
      </c>
      <c r="L1163" s="10" t="str">
        <f aca="false">IF(A1163="","",IF(IF(K1163="No","Does not balance | ","")&amp;IF(I1163="","Not approved | ",IF(UPPER(TRIM(H1163))=UPPER(TRIM(I1163)),"Self-approved | ",""))&amp;IF(J1163="","No support | ","")&amp;IF(WEEKDAY(B1163,2)&gt;5,"Weekend posting | ","")&amp;IF(COUNTIF(Settings!$A$14:$A$43,B1163)&gt;0,"Holiday posting | ","")&amp;IF(B1163&gt;Settings!$C$8,"Posted after close | ","")&amp;IF(OR(B1163&lt;Settings!$C$6,B1163&gt;Settings!$C$7),"Outside period | ","")&amp;IF(COUNTIF(Settings!$E$14:$E$43,C1163&amp;"")&gt;0,"Sensitive account | ","")&amp;IF(AND(MAX(N(E1163),N(F1163))&gt;=Settings!$C$9,MOD(MAX(N(E1163),N(F1163)),Settings!$C$10)=0),"Round amount | ","")="","",LEFT(IF(K1163="No","Does not balance | ","")&amp;IF(I1163="","Not approved | ",IF(UPPER(TRIM(H1163))=UPPER(TRIM(I1163)),"Self-approved | ",""))&amp;IF(J1163="","No support | ","")&amp;IF(WEEKDAY(B1163,2)&gt;5,"Weekend posting | ","")&amp;IF(COUNTIF(Settings!$A$14:$A$43,B1163)&gt;0,"Holiday posting | ","")&amp;IF(B1163&gt;Settings!$C$8,"Posted after close | ","")&amp;IF(OR(B1163&lt;Settings!$C$6,B1163&gt;Settings!$C$7),"Outside period | ","")&amp;IF(COUNTIF(Settings!$E$14:$E$43,C1163&amp;"")&gt;0,"Sensitive account | ","")&amp;IF(AND(MAX(N(E1163),N(F1163))&gt;=Settings!$C$9,MOD(MAX(N(E1163),N(F1163)),Settings!$C$10)=0),"Round amount | ",""),LEN(IF(K1163="No","Does not balance | ","")&amp;IF(I1163="","Not approved | ",IF(UPPER(TRIM(H1163))=UPPER(TRIM(I1163)),"Self-approved | ",""))&amp;IF(J1163="","No support | ","")&amp;IF(WEEKDAY(B1163,2)&gt;5,"Weekend posting | ","")&amp;IF(COUNTIF(Settings!$A$14:$A$43,B1163)&gt;0,"Holiday posting | ","")&amp;IF(B1163&gt;Settings!$C$8,"Posted after close | ","")&amp;IF(OR(B1163&lt;Settings!$C$6,B1163&gt;Settings!$C$7),"Outside period | ","")&amp;IF(COUNTIF(Settings!$E$14:$E$43,C1163&amp;"")&gt;0,"Sensitive account | ","")&amp;IF(AND(MAX(N(E1163),N(F1163))&gt;=Settings!$C$9,MOD(MAX(N(E1163),N(F1163)),Settings!$C$10)=0),"Round amount | ",""))-3)))</f>
        <v/>
      </c>
      <c r="M1163" s="21" t="str">
        <f aca="false">IF(A1163="","",IF(COUNTIF($A$9:A1163,A1163)=1,MAX($M$8:M1162)+1,""))</f>
        <v/>
      </c>
    </row>
    <row r="1164" customFormat="false" ht="15" hidden="false" customHeight="false" outlineLevel="0" collapsed="false">
      <c r="A1164" s="8"/>
      <c r="B1164" s="17"/>
      <c r="C1164" s="19"/>
      <c r="D1164" s="8"/>
      <c r="E1164" s="18"/>
      <c r="F1164" s="18"/>
      <c r="G1164" s="8"/>
      <c r="H1164" s="8"/>
      <c r="I1164" s="8"/>
      <c r="J1164" s="8"/>
      <c r="K1164" s="10" t="str">
        <f aca="false">IF(A1164="","",IF(ABS(SUMIFS($E$9:$E$2008,$A$9:$A$2008,A1164)-SUMIFS($F$9:$F$2008,$A$9:$A$2008,A1164))&lt;0.5,"Yes","No"))</f>
        <v/>
      </c>
      <c r="L1164" s="10" t="str">
        <f aca="false">IF(A1164="","",IF(IF(K1164="No","Does not balance | ","")&amp;IF(I1164="","Not approved | ",IF(UPPER(TRIM(H1164))=UPPER(TRIM(I1164)),"Self-approved | ",""))&amp;IF(J1164="","No support | ","")&amp;IF(WEEKDAY(B1164,2)&gt;5,"Weekend posting | ","")&amp;IF(COUNTIF(Settings!$A$14:$A$43,B1164)&gt;0,"Holiday posting | ","")&amp;IF(B1164&gt;Settings!$C$8,"Posted after close | ","")&amp;IF(OR(B1164&lt;Settings!$C$6,B1164&gt;Settings!$C$7),"Outside period | ","")&amp;IF(COUNTIF(Settings!$E$14:$E$43,C1164&amp;"")&gt;0,"Sensitive account | ","")&amp;IF(AND(MAX(N(E1164),N(F1164))&gt;=Settings!$C$9,MOD(MAX(N(E1164),N(F1164)),Settings!$C$10)=0),"Round amount | ","")="","",LEFT(IF(K1164="No","Does not balance | ","")&amp;IF(I1164="","Not approved | ",IF(UPPER(TRIM(H1164))=UPPER(TRIM(I1164)),"Self-approved | ",""))&amp;IF(J1164="","No support | ","")&amp;IF(WEEKDAY(B1164,2)&gt;5,"Weekend posting | ","")&amp;IF(COUNTIF(Settings!$A$14:$A$43,B1164)&gt;0,"Holiday posting | ","")&amp;IF(B1164&gt;Settings!$C$8,"Posted after close | ","")&amp;IF(OR(B1164&lt;Settings!$C$6,B1164&gt;Settings!$C$7),"Outside period | ","")&amp;IF(COUNTIF(Settings!$E$14:$E$43,C1164&amp;"")&gt;0,"Sensitive account | ","")&amp;IF(AND(MAX(N(E1164),N(F1164))&gt;=Settings!$C$9,MOD(MAX(N(E1164),N(F1164)),Settings!$C$10)=0),"Round amount | ",""),LEN(IF(K1164="No","Does not balance | ","")&amp;IF(I1164="","Not approved | ",IF(UPPER(TRIM(H1164))=UPPER(TRIM(I1164)),"Self-approved | ",""))&amp;IF(J1164="","No support | ","")&amp;IF(WEEKDAY(B1164,2)&gt;5,"Weekend posting | ","")&amp;IF(COUNTIF(Settings!$A$14:$A$43,B1164)&gt;0,"Holiday posting | ","")&amp;IF(B1164&gt;Settings!$C$8,"Posted after close | ","")&amp;IF(OR(B1164&lt;Settings!$C$6,B1164&gt;Settings!$C$7),"Outside period | ","")&amp;IF(COUNTIF(Settings!$E$14:$E$43,C1164&amp;"")&gt;0,"Sensitive account | ","")&amp;IF(AND(MAX(N(E1164),N(F1164))&gt;=Settings!$C$9,MOD(MAX(N(E1164),N(F1164)),Settings!$C$10)=0),"Round amount | ",""))-3)))</f>
        <v/>
      </c>
      <c r="M1164" s="21" t="str">
        <f aca="false">IF(A1164="","",IF(COUNTIF($A$9:A1164,A1164)=1,MAX($M$8:M1163)+1,""))</f>
        <v/>
      </c>
    </row>
    <row r="1165" customFormat="false" ht="15" hidden="false" customHeight="false" outlineLevel="0" collapsed="false">
      <c r="A1165" s="8"/>
      <c r="B1165" s="17"/>
      <c r="C1165" s="19"/>
      <c r="D1165" s="8"/>
      <c r="E1165" s="18"/>
      <c r="F1165" s="18"/>
      <c r="G1165" s="8"/>
      <c r="H1165" s="8"/>
      <c r="I1165" s="8"/>
      <c r="J1165" s="8"/>
      <c r="K1165" s="10" t="str">
        <f aca="false">IF(A1165="","",IF(ABS(SUMIFS($E$9:$E$2008,$A$9:$A$2008,A1165)-SUMIFS($F$9:$F$2008,$A$9:$A$2008,A1165))&lt;0.5,"Yes","No"))</f>
        <v/>
      </c>
      <c r="L1165" s="10" t="str">
        <f aca="false">IF(A1165="","",IF(IF(K1165="No","Does not balance | ","")&amp;IF(I1165="","Not approved | ",IF(UPPER(TRIM(H1165))=UPPER(TRIM(I1165)),"Self-approved | ",""))&amp;IF(J1165="","No support | ","")&amp;IF(WEEKDAY(B1165,2)&gt;5,"Weekend posting | ","")&amp;IF(COUNTIF(Settings!$A$14:$A$43,B1165)&gt;0,"Holiday posting | ","")&amp;IF(B1165&gt;Settings!$C$8,"Posted after close | ","")&amp;IF(OR(B1165&lt;Settings!$C$6,B1165&gt;Settings!$C$7),"Outside period | ","")&amp;IF(COUNTIF(Settings!$E$14:$E$43,C1165&amp;"")&gt;0,"Sensitive account | ","")&amp;IF(AND(MAX(N(E1165),N(F1165))&gt;=Settings!$C$9,MOD(MAX(N(E1165),N(F1165)),Settings!$C$10)=0),"Round amount | ","")="","",LEFT(IF(K1165="No","Does not balance | ","")&amp;IF(I1165="","Not approved | ",IF(UPPER(TRIM(H1165))=UPPER(TRIM(I1165)),"Self-approved | ",""))&amp;IF(J1165="","No support | ","")&amp;IF(WEEKDAY(B1165,2)&gt;5,"Weekend posting | ","")&amp;IF(COUNTIF(Settings!$A$14:$A$43,B1165)&gt;0,"Holiday posting | ","")&amp;IF(B1165&gt;Settings!$C$8,"Posted after close | ","")&amp;IF(OR(B1165&lt;Settings!$C$6,B1165&gt;Settings!$C$7),"Outside period | ","")&amp;IF(COUNTIF(Settings!$E$14:$E$43,C1165&amp;"")&gt;0,"Sensitive account | ","")&amp;IF(AND(MAX(N(E1165),N(F1165))&gt;=Settings!$C$9,MOD(MAX(N(E1165),N(F1165)),Settings!$C$10)=0),"Round amount | ",""),LEN(IF(K1165="No","Does not balance | ","")&amp;IF(I1165="","Not approved | ",IF(UPPER(TRIM(H1165))=UPPER(TRIM(I1165)),"Self-approved | ",""))&amp;IF(J1165="","No support | ","")&amp;IF(WEEKDAY(B1165,2)&gt;5,"Weekend posting | ","")&amp;IF(COUNTIF(Settings!$A$14:$A$43,B1165)&gt;0,"Holiday posting | ","")&amp;IF(B1165&gt;Settings!$C$8,"Posted after close | ","")&amp;IF(OR(B1165&lt;Settings!$C$6,B1165&gt;Settings!$C$7),"Outside period | ","")&amp;IF(COUNTIF(Settings!$E$14:$E$43,C1165&amp;"")&gt;0,"Sensitive account | ","")&amp;IF(AND(MAX(N(E1165),N(F1165))&gt;=Settings!$C$9,MOD(MAX(N(E1165),N(F1165)),Settings!$C$10)=0),"Round amount | ",""))-3)))</f>
        <v/>
      </c>
      <c r="M1165" s="21" t="str">
        <f aca="false">IF(A1165="","",IF(COUNTIF($A$9:A1165,A1165)=1,MAX($M$8:M1164)+1,""))</f>
        <v/>
      </c>
    </row>
    <row r="1166" customFormat="false" ht="15" hidden="false" customHeight="false" outlineLevel="0" collapsed="false">
      <c r="A1166" s="8"/>
      <c r="B1166" s="17"/>
      <c r="C1166" s="19"/>
      <c r="D1166" s="8"/>
      <c r="E1166" s="18"/>
      <c r="F1166" s="18"/>
      <c r="G1166" s="8"/>
      <c r="H1166" s="8"/>
      <c r="I1166" s="8"/>
      <c r="J1166" s="8"/>
      <c r="K1166" s="10" t="str">
        <f aca="false">IF(A1166="","",IF(ABS(SUMIFS($E$9:$E$2008,$A$9:$A$2008,A1166)-SUMIFS($F$9:$F$2008,$A$9:$A$2008,A1166))&lt;0.5,"Yes","No"))</f>
        <v/>
      </c>
      <c r="L1166" s="10" t="str">
        <f aca="false">IF(A1166="","",IF(IF(K1166="No","Does not balance | ","")&amp;IF(I1166="","Not approved | ",IF(UPPER(TRIM(H1166))=UPPER(TRIM(I1166)),"Self-approved | ",""))&amp;IF(J1166="","No support | ","")&amp;IF(WEEKDAY(B1166,2)&gt;5,"Weekend posting | ","")&amp;IF(COUNTIF(Settings!$A$14:$A$43,B1166)&gt;0,"Holiday posting | ","")&amp;IF(B1166&gt;Settings!$C$8,"Posted after close | ","")&amp;IF(OR(B1166&lt;Settings!$C$6,B1166&gt;Settings!$C$7),"Outside period | ","")&amp;IF(COUNTIF(Settings!$E$14:$E$43,C1166&amp;"")&gt;0,"Sensitive account | ","")&amp;IF(AND(MAX(N(E1166),N(F1166))&gt;=Settings!$C$9,MOD(MAX(N(E1166),N(F1166)),Settings!$C$10)=0),"Round amount | ","")="","",LEFT(IF(K1166="No","Does not balance | ","")&amp;IF(I1166="","Not approved | ",IF(UPPER(TRIM(H1166))=UPPER(TRIM(I1166)),"Self-approved | ",""))&amp;IF(J1166="","No support | ","")&amp;IF(WEEKDAY(B1166,2)&gt;5,"Weekend posting | ","")&amp;IF(COUNTIF(Settings!$A$14:$A$43,B1166)&gt;0,"Holiday posting | ","")&amp;IF(B1166&gt;Settings!$C$8,"Posted after close | ","")&amp;IF(OR(B1166&lt;Settings!$C$6,B1166&gt;Settings!$C$7),"Outside period | ","")&amp;IF(COUNTIF(Settings!$E$14:$E$43,C1166&amp;"")&gt;0,"Sensitive account | ","")&amp;IF(AND(MAX(N(E1166),N(F1166))&gt;=Settings!$C$9,MOD(MAX(N(E1166),N(F1166)),Settings!$C$10)=0),"Round amount | ",""),LEN(IF(K1166="No","Does not balance | ","")&amp;IF(I1166="","Not approved | ",IF(UPPER(TRIM(H1166))=UPPER(TRIM(I1166)),"Self-approved | ",""))&amp;IF(J1166="","No support | ","")&amp;IF(WEEKDAY(B1166,2)&gt;5,"Weekend posting | ","")&amp;IF(COUNTIF(Settings!$A$14:$A$43,B1166)&gt;0,"Holiday posting | ","")&amp;IF(B1166&gt;Settings!$C$8,"Posted after close | ","")&amp;IF(OR(B1166&lt;Settings!$C$6,B1166&gt;Settings!$C$7),"Outside period | ","")&amp;IF(COUNTIF(Settings!$E$14:$E$43,C1166&amp;"")&gt;0,"Sensitive account | ","")&amp;IF(AND(MAX(N(E1166),N(F1166))&gt;=Settings!$C$9,MOD(MAX(N(E1166),N(F1166)),Settings!$C$10)=0),"Round amount | ",""))-3)))</f>
        <v/>
      </c>
      <c r="M1166" s="21" t="str">
        <f aca="false">IF(A1166="","",IF(COUNTIF($A$9:A1166,A1166)=1,MAX($M$8:M1165)+1,""))</f>
        <v/>
      </c>
    </row>
    <row r="1167" customFormat="false" ht="15" hidden="false" customHeight="false" outlineLevel="0" collapsed="false">
      <c r="A1167" s="8"/>
      <c r="B1167" s="17"/>
      <c r="C1167" s="19"/>
      <c r="D1167" s="8"/>
      <c r="E1167" s="18"/>
      <c r="F1167" s="18"/>
      <c r="G1167" s="8"/>
      <c r="H1167" s="8"/>
      <c r="I1167" s="8"/>
      <c r="J1167" s="8"/>
      <c r="K1167" s="10" t="str">
        <f aca="false">IF(A1167="","",IF(ABS(SUMIFS($E$9:$E$2008,$A$9:$A$2008,A1167)-SUMIFS($F$9:$F$2008,$A$9:$A$2008,A1167))&lt;0.5,"Yes","No"))</f>
        <v/>
      </c>
      <c r="L1167" s="10" t="str">
        <f aca="false">IF(A1167="","",IF(IF(K1167="No","Does not balance | ","")&amp;IF(I1167="","Not approved | ",IF(UPPER(TRIM(H1167))=UPPER(TRIM(I1167)),"Self-approved | ",""))&amp;IF(J1167="","No support | ","")&amp;IF(WEEKDAY(B1167,2)&gt;5,"Weekend posting | ","")&amp;IF(COUNTIF(Settings!$A$14:$A$43,B1167)&gt;0,"Holiday posting | ","")&amp;IF(B1167&gt;Settings!$C$8,"Posted after close | ","")&amp;IF(OR(B1167&lt;Settings!$C$6,B1167&gt;Settings!$C$7),"Outside period | ","")&amp;IF(COUNTIF(Settings!$E$14:$E$43,C1167&amp;"")&gt;0,"Sensitive account | ","")&amp;IF(AND(MAX(N(E1167),N(F1167))&gt;=Settings!$C$9,MOD(MAX(N(E1167),N(F1167)),Settings!$C$10)=0),"Round amount | ","")="","",LEFT(IF(K1167="No","Does not balance | ","")&amp;IF(I1167="","Not approved | ",IF(UPPER(TRIM(H1167))=UPPER(TRIM(I1167)),"Self-approved | ",""))&amp;IF(J1167="","No support | ","")&amp;IF(WEEKDAY(B1167,2)&gt;5,"Weekend posting | ","")&amp;IF(COUNTIF(Settings!$A$14:$A$43,B1167)&gt;0,"Holiday posting | ","")&amp;IF(B1167&gt;Settings!$C$8,"Posted after close | ","")&amp;IF(OR(B1167&lt;Settings!$C$6,B1167&gt;Settings!$C$7),"Outside period | ","")&amp;IF(COUNTIF(Settings!$E$14:$E$43,C1167&amp;"")&gt;0,"Sensitive account | ","")&amp;IF(AND(MAX(N(E1167),N(F1167))&gt;=Settings!$C$9,MOD(MAX(N(E1167),N(F1167)),Settings!$C$10)=0),"Round amount | ",""),LEN(IF(K1167="No","Does not balance | ","")&amp;IF(I1167="","Not approved | ",IF(UPPER(TRIM(H1167))=UPPER(TRIM(I1167)),"Self-approved | ",""))&amp;IF(J1167="","No support | ","")&amp;IF(WEEKDAY(B1167,2)&gt;5,"Weekend posting | ","")&amp;IF(COUNTIF(Settings!$A$14:$A$43,B1167)&gt;0,"Holiday posting | ","")&amp;IF(B1167&gt;Settings!$C$8,"Posted after close | ","")&amp;IF(OR(B1167&lt;Settings!$C$6,B1167&gt;Settings!$C$7),"Outside period | ","")&amp;IF(COUNTIF(Settings!$E$14:$E$43,C1167&amp;"")&gt;0,"Sensitive account | ","")&amp;IF(AND(MAX(N(E1167),N(F1167))&gt;=Settings!$C$9,MOD(MAX(N(E1167),N(F1167)),Settings!$C$10)=0),"Round amount | ",""))-3)))</f>
        <v/>
      </c>
      <c r="M1167" s="21" t="str">
        <f aca="false">IF(A1167="","",IF(COUNTIF($A$9:A1167,A1167)=1,MAX($M$8:M1166)+1,""))</f>
        <v/>
      </c>
    </row>
    <row r="1168" customFormat="false" ht="15" hidden="false" customHeight="false" outlineLevel="0" collapsed="false">
      <c r="A1168" s="8"/>
      <c r="B1168" s="17"/>
      <c r="C1168" s="19"/>
      <c r="D1168" s="8"/>
      <c r="E1168" s="18"/>
      <c r="F1168" s="18"/>
      <c r="G1168" s="8"/>
      <c r="H1168" s="8"/>
      <c r="I1168" s="8"/>
      <c r="J1168" s="8"/>
      <c r="K1168" s="10" t="str">
        <f aca="false">IF(A1168="","",IF(ABS(SUMIFS($E$9:$E$2008,$A$9:$A$2008,A1168)-SUMIFS($F$9:$F$2008,$A$9:$A$2008,A1168))&lt;0.5,"Yes","No"))</f>
        <v/>
      </c>
      <c r="L1168" s="10" t="str">
        <f aca="false">IF(A1168="","",IF(IF(K1168="No","Does not balance | ","")&amp;IF(I1168="","Not approved | ",IF(UPPER(TRIM(H1168))=UPPER(TRIM(I1168)),"Self-approved | ",""))&amp;IF(J1168="","No support | ","")&amp;IF(WEEKDAY(B1168,2)&gt;5,"Weekend posting | ","")&amp;IF(COUNTIF(Settings!$A$14:$A$43,B1168)&gt;0,"Holiday posting | ","")&amp;IF(B1168&gt;Settings!$C$8,"Posted after close | ","")&amp;IF(OR(B1168&lt;Settings!$C$6,B1168&gt;Settings!$C$7),"Outside period | ","")&amp;IF(COUNTIF(Settings!$E$14:$E$43,C1168&amp;"")&gt;0,"Sensitive account | ","")&amp;IF(AND(MAX(N(E1168),N(F1168))&gt;=Settings!$C$9,MOD(MAX(N(E1168),N(F1168)),Settings!$C$10)=0),"Round amount | ","")="","",LEFT(IF(K1168="No","Does not balance | ","")&amp;IF(I1168="","Not approved | ",IF(UPPER(TRIM(H1168))=UPPER(TRIM(I1168)),"Self-approved | ",""))&amp;IF(J1168="","No support | ","")&amp;IF(WEEKDAY(B1168,2)&gt;5,"Weekend posting | ","")&amp;IF(COUNTIF(Settings!$A$14:$A$43,B1168)&gt;0,"Holiday posting | ","")&amp;IF(B1168&gt;Settings!$C$8,"Posted after close | ","")&amp;IF(OR(B1168&lt;Settings!$C$6,B1168&gt;Settings!$C$7),"Outside period | ","")&amp;IF(COUNTIF(Settings!$E$14:$E$43,C1168&amp;"")&gt;0,"Sensitive account | ","")&amp;IF(AND(MAX(N(E1168),N(F1168))&gt;=Settings!$C$9,MOD(MAX(N(E1168),N(F1168)),Settings!$C$10)=0),"Round amount | ",""),LEN(IF(K1168="No","Does not balance | ","")&amp;IF(I1168="","Not approved | ",IF(UPPER(TRIM(H1168))=UPPER(TRIM(I1168)),"Self-approved | ",""))&amp;IF(J1168="","No support | ","")&amp;IF(WEEKDAY(B1168,2)&gt;5,"Weekend posting | ","")&amp;IF(COUNTIF(Settings!$A$14:$A$43,B1168)&gt;0,"Holiday posting | ","")&amp;IF(B1168&gt;Settings!$C$8,"Posted after close | ","")&amp;IF(OR(B1168&lt;Settings!$C$6,B1168&gt;Settings!$C$7),"Outside period | ","")&amp;IF(COUNTIF(Settings!$E$14:$E$43,C1168&amp;"")&gt;0,"Sensitive account | ","")&amp;IF(AND(MAX(N(E1168),N(F1168))&gt;=Settings!$C$9,MOD(MAX(N(E1168),N(F1168)),Settings!$C$10)=0),"Round amount | ",""))-3)))</f>
        <v/>
      </c>
      <c r="M1168" s="21" t="str">
        <f aca="false">IF(A1168="","",IF(COUNTIF($A$9:A1168,A1168)=1,MAX($M$8:M1167)+1,""))</f>
        <v/>
      </c>
    </row>
    <row r="1169" customFormat="false" ht="15" hidden="false" customHeight="false" outlineLevel="0" collapsed="false">
      <c r="A1169" s="8"/>
      <c r="B1169" s="17"/>
      <c r="C1169" s="19"/>
      <c r="D1169" s="8"/>
      <c r="E1169" s="18"/>
      <c r="F1169" s="18"/>
      <c r="G1169" s="8"/>
      <c r="H1169" s="8"/>
      <c r="I1169" s="8"/>
      <c r="J1169" s="8"/>
      <c r="K1169" s="10" t="str">
        <f aca="false">IF(A1169="","",IF(ABS(SUMIFS($E$9:$E$2008,$A$9:$A$2008,A1169)-SUMIFS($F$9:$F$2008,$A$9:$A$2008,A1169))&lt;0.5,"Yes","No"))</f>
        <v/>
      </c>
      <c r="L1169" s="10" t="str">
        <f aca="false">IF(A1169="","",IF(IF(K1169="No","Does not balance | ","")&amp;IF(I1169="","Not approved | ",IF(UPPER(TRIM(H1169))=UPPER(TRIM(I1169)),"Self-approved | ",""))&amp;IF(J1169="","No support | ","")&amp;IF(WEEKDAY(B1169,2)&gt;5,"Weekend posting | ","")&amp;IF(COUNTIF(Settings!$A$14:$A$43,B1169)&gt;0,"Holiday posting | ","")&amp;IF(B1169&gt;Settings!$C$8,"Posted after close | ","")&amp;IF(OR(B1169&lt;Settings!$C$6,B1169&gt;Settings!$C$7),"Outside period | ","")&amp;IF(COUNTIF(Settings!$E$14:$E$43,C1169&amp;"")&gt;0,"Sensitive account | ","")&amp;IF(AND(MAX(N(E1169),N(F1169))&gt;=Settings!$C$9,MOD(MAX(N(E1169),N(F1169)),Settings!$C$10)=0),"Round amount | ","")="","",LEFT(IF(K1169="No","Does not balance | ","")&amp;IF(I1169="","Not approved | ",IF(UPPER(TRIM(H1169))=UPPER(TRIM(I1169)),"Self-approved | ",""))&amp;IF(J1169="","No support | ","")&amp;IF(WEEKDAY(B1169,2)&gt;5,"Weekend posting | ","")&amp;IF(COUNTIF(Settings!$A$14:$A$43,B1169)&gt;0,"Holiday posting | ","")&amp;IF(B1169&gt;Settings!$C$8,"Posted after close | ","")&amp;IF(OR(B1169&lt;Settings!$C$6,B1169&gt;Settings!$C$7),"Outside period | ","")&amp;IF(COUNTIF(Settings!$E$14:$E$43,C1169&amp;"")&gt;0,"Sensitive account | ","")&amp;IF(AND(MAX(N(E1169),N(F1169))&gt;=Settings!$C$9,MOD(MAX(N(E1169),N(F1169)),Settings!$C$10)=0),"Round amount | ",""),LEN(IF(K1169="No","Does not balance | ","")&amp;IF(I1169="","Not approved | ",IF(UPPER(TRIM(H1169))=UPPER(TRIM(I1169)),"Self-approved | ",""))&amp;IF(J1169="","No support | ","")&amp;IF(WEEKDAY(B1169,2)&gt;5,"Weekend posting | ","")&amp;IF(COUNTIF(Settings!$A$14:$A$43,B1169)&gt;0,"Holiday posting | ","")&amp;IF(B1169&gt;Settings!$C$8,"Posted after close | ","")&amp;IF(OR(B1169&lt;Settings!$C$6,B1169&gt;Settings!$C$7),"Outside period | ","")&amp;IF(COUNTIF(Settings!$E$14:$E$43,C1169&amp;"")&gt;0,"Sensitive account | ","")&amp;IF(AND(MAX(N(E1169),N(F1169))&gt;=Settings!$C$9,MOD(MAX(N(E1169),N(F1169)),Settings!$C$10)=0),"Round amount | ",""))-3)))</f>
        <v/>
      </c>
      <c r="M1169" s="21" t="str">
        <f aca="false">IF(A1169="","",IF(COUNTIF($A$9:A1169,A1169)=1,MAX($M$8:M1168)+1,""))</f>
        <v/>
      </c>
    </row>
    <row r="1170" customFormat="false" ht="15" hidden="false" customHeight="false" outlineLevel="0" collapsed="false">
      <c r="A1170" s="8"/>
      <c r="B1170" s="17"/>
      <c r="C1170" s="19"/>
      <c r="D1170" s="8"/>
      <c r="E1170" s="18"/>
      <c r="F1170" s="18"/>
      <c r="G1170" s="8"/>
      <c r="H1170" s="8"/>
      <c r="I1170" s="8"/>
      <c r="J1170" s="8"/>
      <c r="K1170" s="10" t="str">
        <f aca="false">IF(A1170="","",IF(ABS(SUMIFS($E$9:$E$2008,$A$9:$A$2008,A1170)-SUMIFS($F$9:$F$2008,$A$9:$A$2008,A1170))&lt;0.5,"Yes","No"))</f>
        <v/>
      </c>
      <c r="L1170" s="10" t="str">
        <f aca="false">IF(A1170="","",IF(IF(K1170="No","Does not balance | ","")&amp;IF(I1170="","Not approved | ",IF(UPPER(TRIM(H1170))=UPPER(TRIM(I1170)),"Self-approved | ",""))&amp;IF(J1170="","No support | ","")&amp;IF(WEEKDAY(B1170,2)&gt;5,"Weekend posting | ","")&amp;IF(COUNTIF(Settings!$A$14:$A$43,B1170)&gt;0,"Holiday posting | ","")&amp;IF(B1170&gt;Settings!$C$8,"Posted after close | ","")&amp;IF(OR(B1170&lt;Settings!$C$6,B1170&gt;Settings!$C$7),"Outside period | ","")&amp;IF(COUNTIF(Settings!$E$14:$E$43,C1170&amp;"")&gt;0,"Sensitive account | ","")&amp;IF(AND(MAX(N(E1170),N(F1170))&gt;=Settings!$C$9,MOD(MAX(N(E1170),N(F1170)),Settings!$C$10)=0),"Round amount | ","")="","",LEFT(IF(K1170="No","Does not balance | ","")&amp;IF(I1170="","Not approved | ",IF(UPPER(TRIM(H1170))=UPPER(TRIM(I1170)),"Self-approved | ",""))&amp;IF(J1170="","No support | ","")&amp;IF(WEEKDAY(B1170,2)&gt;5,"Weekend posting | ","")&amp;IF(COUNTIF(Settings!$A$14:$A$43,B1170)&gt;0,"Holiday posting | ","")&amp;IF(B1170&gt;Settings!$C$8,"Posted after close | ","")&amp;IF(OR(B1170&lt;Settings!$C$6,B1170&gt;Settings!$C$7),"Outside period | ","")&amp;IF(COUNTIF(Settings!$E$14:$E$43,C1170&amp;"")&gt;0,"Sensitive account | ","")&amp;IF(AND(MAX(N(E1170),N(F1170))&gt;=Settings!$C$9,MOD(MAX(N(E1170),N(F1170)),Settings!$C$10)=0),"Round amount | ",""),LEN(IF(K1170="No","Does not balance | ","")&amp;IF(I1170="","Not approved | ",IF(UPPER(TRIM(H1170))=UPPER(TRIM(I1170)),"Self-approved | ",""))&amp;IF(J1170="","No support | ","")&amp;IF(WEEKDAY(B1170,2)&gt;5,"Weekend posting | ","")&amp;IF(COUNTIF(Settings!$A$14:$A$43,B1170)&gt;0,"Holiday posting | ","")&amp;IF(B1170&gt;Settings!$C$8,"Posted after close | ","")&amp;IF(OR(B1170&lt;Settings!$C$6,B1170&gt;Settings!$C$7),"Outside period | ","")&amp;IF(COUNTIF(Settings!$E$14:$E$43,C1170&amp;"")&gt;0,"Sensitive account | ","")&amp;IF(AND(MAX(N(E1170),N(F1170))&gt;=Settings!$C$9,MOD(MAX(N(E1170),N(F1170)),Settings!$C$10)=0),"Round amount | ",""))-3)))</f>
        <v/>
      </c>
      <c r="M1170" s="21" t="str">
        <f aca="false">IF(A1170="","",IF(COUNTIF($A$9:A1170,A1170)=1,MAX($M$8:M1169)+1,""))</f>
        <v/>
      </c>
    </row>
    <row r="1171" customFormat="false" ht="15" hidden="false" customHeight="false" outlineLevel="0" collapsed="false">
      <c r="A1171" s="8"/>
      <c r="B1171" s="17"/>
      <c r="C1171" s="19"/>
      <c r="D1171" s="8"/>
      <c r="E1171" s="18"/>
      <c r="F1171" s="18"/>
      <c r="G1171" s="8"/>
      <c r="H1171" s="8"/>
      <c r="I1171" s="8"/>
      <c r="J1171" s="8"/>
      <c r="K1171" s="10" t="str">
        <f aca="false">IF(A1171="","",IF(ABS(SUMIFS($E$9:$E$2008,$A$9:$A$2008,A1171)-SUMIFS($F$9:$F$2008,$A$9:$A$2008,A1171))&lt;0.5,"Yes","No"))</f>
        <v/>
      </c>
      <c r="L1171" s="10" t="str">
        <f aca="false">IF(A1171="","",IF(IF(K1171="No","Does not balance | ","")&amp;IF(I1171="","Not approved | ",IF(UPPER(TRIM(H1171))=UPPER(TRIM(I1171)),"Self-approved | ",""))&amp;IF(J1171="","No support | ","")&amp;IF(WEEKDAY(B1171,2)&gt;5,"Weekend posting | ","")&amp;IF(COUNTIF(Settings!$A$14:$A$43,B1171)&gt;0,"Holiday posting | ","")&amp;IF(B1171&gt;Settings!$C$8,"Posted after close | ","")&amp;IF(OR(B1171&lt;Settings!$C$6,B1171&gt;Settings!$C$7),"Outside period | ","")&amp;IF(COUNTIF(Settings!$E$14:$E$43,C1171&amp;"")&gt;0,"Sensitive account | ","")&amp;IF(AND(MAX(N(E1171),N(F1171))&gt;=Settings!$C$9,MOD(MAX(N(E1171),N(F1171)),Settings!$C$10)=0),"Round amount | ","")="","",LEFT(IF(K1171="No","Does not balance | ","")&amp;IF(I1171="","Not approved | ",IF(UPPER(TRIM(H1171))=UPPER(TRIM(I1171)),"Self-approved | ",""))&amp;IF(J1171="","No support | ","")&amp;IF(WEEKDAY(B1171,2)&gt;5,"Weekend posting | ","")&amp;IF(COUNTIF(Settings!$A$14:$A$43,B1171)&gt;0,"Holiday posting | ","")&amp;IF(B1171&gt;Settings!$C$8,"Posted after close | ","")&amp;IF(OR(B1171&lt;Settings!$C$6,B1171&gt;Settings!$C$7),"Outside period | ","")&amp;IF(COUNTIF(Settings!$E$14:$E$43,C1171&amp;"")&gt;0,"Sensitive account | ","")&amp;IF(AND(MAX(N(E1171),N(F1171))&gt;=Settings!$C$9,MOD(MAX(N(E1171),N(F1171)),Settings!$C$10)=0),"Round amount | ",""),LEN(IF(K1171="No","Does not balance | ","")&amp;IF(I1171="","Not approved | ",IF(UPPER(TRIM(H1171))=UPPER(TRIM(I1171)),"Self-approved | ",""))&amp;IF(J1171="","No support | ","")&amp;IF(WEEKDAY(B1171,2)&gt;5,"Weekend posting | ","")&amp;IF(COUNTIF(Settings!$A$14:$A$43,B1171)&gt;0,"Holiday posting | ","")&amp;IF(B1171&gt;Settings!$C$8,"Posted after close | ","")&amp;IF(OR(B1171&lt;Settings!$C$6,B1171&gt;Settings!$C$7),"Outside period | ","")&amp;IF(COUNTIF(Settings!$E$14:$E$43,C1171&amp;"")&gt;0,"Sensitive account | ","")&amp;IF(AND(MAX(N(E1171),N(F1171))&gt;=Settings!$C$9,MOD(MAX(N(E1171),N(F1171)),Settings!$C$10)=0),"Round amount | ",""))-3)))</f>
        <v/>
      </c>
      <c r="M1171" s="21" t="str">
        <f aca="false">IF(A1171="","",IF(COUNTIF($A$9:A1171,A1171)=1,MAX($M$8:M1170)+1,""))</f>
        <v/>
      </c>
    </row>
    <row r="1172" customFormat="false" ht="15" hidden="false" customHeight="false" outlineLevel="0" collapsed="false">
      <c r="A1172" s="8"/>
      <c r="B1172" s="17"/>
      <c r="C1172" s="19"/>
      <c r="D1172" s="8"/>
      <c r="E1172" s="18"/>
      <c r="F1172" s="18"/>
      <c r="G1172" s="8"/>
      <c r="H1172" s="8"/>
      <c r="I1172" s="8"/>
      <c r="J1172" s="8"/>
      <c r="K1172" s="10" t="str">
        <f aca="false">IF(A1172="","",IF(ABS(SUMIFS($E$9:$E$2008,$A$9:$A$2008,A1172)-SUMIFS($F$9:$F$2008,$A$9:$A$2008,A1172))&lt;0.5,"Yes","No"))</f>
        <v/>
      </c>
      <c r="L1172" s="10" t="str">
        <f aca="false">IF(A1172="","",IF(IF(K1172="No","Does not balance | ","")&amp;IF(I1172="","Not approved | ",IF(UPPER(TRIM(H1172))=UPPER(TRIM(I1172)),"Self-approved | ",""))&amp;IF(J1172="","No support | ","")&amp;IF(WEEKDAY(B1172,2)&gt;5,"Weekend posting | ","")&amp;IF(COUNTIF(Settings!$A$14:$A$43,B1172)&gt;0,"Holiday posting | ","")&amp;IF(B1172&gt;Settings!$C$8,"Posted after close | ","")&amp;IF(OR(B1172&lt;Settings!$C$6,B1172&gt;Settings!$C$7),"Outside period | ","")&amp;IF(COUNTIF(Settings!$E$14:$E$43,C1172&amp;"")&gt;0,"Sensitive account | ","")&amp;IF(AND(MAX(N(E1172),N(F1172))&gt;=Settings!$C$9,MOD(MAX(N(E1172),N(F1172)),Settings!$C$10)=0),"Round amount | ","")="","",LEFT(IF(K1172="No","Does not balance | ","")&amp;IF(I1172="","Not approved | ",IF(UPPER(TRIM(H1172))=UPPER(TRIM(I1172)),"Self-approved | ",""))&amp;IF(J1172="","No support | ","")&amp;IF(WEEKDAY(B1172,2)&gt;5,"Weekend posting | ","")&amp;IF(COUNTIF(Settings!$A$14:$A$43,B1172)&gt;0,"Holiday posting | ","")&amp;IF(B1172&gt;Settings!$C$8,"Posted after close | ","")&amp;IF(OR(B1172&lt;Settings!$C$6,B1172&gt;Settings!$C$7),"Outside period | ","")&amp;IF(COUNTIF(Settings!$E$14:$E$43,C1172&amp;"")&gt;0,"Sensitive account | ","")&amp;IF(AND(MAX(N(E1172),N(F1172))&gt;=Settings!$C$9,MOD(MAX(N(E1172),N(F1172)),Settings!$C$10)=0),"Round amount | ",""),LEN(IF(K1172="No","Does not balance | ","")&amp;IF(I1172="","Not approved | ",IF(UPPER(TRIM(H1172))=UPPER(TRIM(I1172)),"Self-approved | ",""))&amp;IF(J1172="","No support | ","")&amp;IF(WEEKDAY(B1172,2)&gt;5,"Weekend posting | ","")&amp;IF(COUNTIF(Settings!$A$14:$A$43,B1172)&gt;0,"Holiday posting | ","")&amp;IF(B1172&gt;Settings!$C$8,"Posted after close | ","")&amp;IF(OR(B1172&lt;Settings!$C$6,B1172&gt;Settings!$C$7),"Outside period | ","")&amp;IF(COUNTIF(Settings!$E$14:$E$43,C1172&amp;"")&gt;0,"Sensitive account | ","")&amp;IF(AND(MAX(N(E1172),N(F1172))&gt;=Settings!$C$9,MOD(MAX(N(E1172),N(F1172)),Settings!$C$10)=0),"Round amount | ",""))-3)))</f>
        <v/>
      </c>
      <c r="M1172" s="21" t="str">
        <f aca="false">IF(A1172="","",IF(COUNTIF($A$9:A1172,A1172)=1,MAX($M$8:M1171)+1,""))</f>
        <v/>
      </c>
    </row>
    <row r="1173" customFormat="false" ht="15" hidden="false" customHeight="false" outlineLevel="0" collapsed="false">
      <c r="A1173" s="8"/>
      <c r="B1173" s="17"/>
      <c r="C1173" s="19"/>
      <c r="D1173" s="8"/>
      <c r="E1173" s="18"/>
      <c r="F1173" s="18"/>
      <c r="G1173" s="8"/>
      <c r="H1173" s="8"/>
      <c r="I1173" s="8"/>
      <c r="J1173" s="8"/>
      <c r="K1173" s="10" t="str">
        <f aca="false">IF(A1173="","",IF(ABS(SUMIFS($E$9:$E$2008,$A$9:$A$2008,A1173)-SUMIFS($F$9:$F$2008,$A$9:$A$2008,A1173))&lt;0.5,"Yes","No"))</f>
        <v/>
      </c>
      <c r="L1173" s="10" t="str">
        <f aca="false">IF(A1173="","",IF(IF(K1173="No","Does not balance | ","")&amp;IF(I1173="","Not approved | ",IF(UPPER(TRIM(H1173))=UPPER(TRIM(I1173)),"Self-approved | ",""))&amp;IF(J1173="","No support | ","")&amp;IF(WEEKDAY(B1173,2)&gt;5,"Weekend posting | ","")&amp;IF(COUNTIF(Settings!$A$14:$A$43,B1173)&gt;0,"Holiday posting | ","")&amp;IF(B1173&gt;Settings!$C$8,"Posted after close | ","")&amp;IF(OR(B1173&lt;Settings!$C$6,B1173&gt;Settings!$C$7),"Outside period | ","")&amp;IF(COUNTIF(Settings!$E$14:$E$43,C1173&amp;"")&gt;0,"Sensitive account | ","")&amp;IF(AND(MAX(N(E1173),N(F1173))&gt;=Settings!$C$9,MOD(MAX(N(E1173),N(F1173)),Settings!$C$10)=0),"Round amount | ","")="","",LEFT(IF(K1173="No","Does not balance | ","")&amp;IF(I1173="","Not approved | ",IF(UPPER(TRIM(H1173))=UPPER(TRIM(I1173)),"Self-approved | ",""))&amp;IF(J1173="","No support | ","")&amp;IF(WEEKDAY(B1173,2)&gt;5,"Weekend posting | ","")&amp;IF(COUNTIF(Settings!$A$14:$A$43,B1173)&gt;0,"Holiday posting | ","")&amp;IF(B1173&gt;Settings!$C$8,"Posted after close | ","")&amp;IF(OR(B1173&lt;Settings!$C$6,B1173&gt;Settings!$C$7),"Outside period | ","")&amp;IF(COUNTIF(Settings!$E$14:$E$43,C1173&amp;"")&gt;0,"Sensitive account | ","")&amp;IF(AND(MAX(N(E1173),N(F1173))&gt;=Settings!$C$9,MOD(MAX(N(E1173),N(F1173)),Settings!$C$10)=0),"Round amount | ",""),LEN(IF(K1173="No","Does not balance | ","")&amp;IF(I1173="","Not approved | ",IF(UPPER(TRIM(H1173))=UPPER(TRIM(I1173)),"Self-approved | ",""))&amp;IF(J1173="","No support | ","")&amp;IF(WEEKDAY(B1173,2)&gt;5,"Weekend posting | ","")&amp;IF(COUNTIF(Settings!$A$14:$A$43,B1173)&gt;0,"Holiday posting | ","")&amp;IF(B1173&gt;Settings!$C$8,"Posted after close | ","")&amp;IF(OR(B1173&lt;Settings!$C$6,B1173&gt;Settings!$C$7),"Outside period | ","")&amp;IF(COUNTIF(Settings!$E$14:$E$43,C1173&amp;"")&gt;0,"Sensitive account | ","")&amp;IF(AND(MAX(N(E1173),N(F1173))&gt;=Settings!$C$9,MOD(MAX(N(E1173),N(F1173)),Settings!$C$10)=0),"Round amount | ",""))-3)))</f>
        <v/>
      </c>
      <c r="M1173" s="21" t="str">
        <f aca="false">IF(A1173="","",IF(COUNTIF($A$9:A1173,A1173)=1,MAX($M$8:M1172)+1,""))</f>
        <v/>
      </c>
    </row>
    <row r="1174" customFormat="false" ht="15" hidden="false" customHeight="false" outlineLevel="0" collapsed="false">
      <c r="A1174" s="8"/>
      <c r="B1174" s="17"/>
      <c r="C1174" s="19"/>
      <c r="D1174" s="8"/>
      <c r="E1174" s="18"/>
      <c r="F1174" s="18"/>
      <c r="G1174" s="8"/>
      <c r="H1174" s="8"/>
      <c r="I1174" s="8"/>
      <c r="J1174" s="8"/>
      <c r="K1174" s="10" t="str">
        <f aca="false">IF(A1174="","",IF(ABS(SUMIFS($E$9:$E$2008,$A$9:$A$2008,A1174)-SUMIFS($F$9:$F$2008,$A$9:$A$2008,A1174))&lt;0.5,"Yes","No"))</f>
        <v/>
      </c>
      <c r="L1174" s="10" t="str">
        <f aca="false">IF(A1174="","",IF(IF(K1174="No","Does not balance | ","")&amp;IF(I1174="","Not approved | ",IF(UPPER(TRIM(H1174))=UPPER(TRIM(I1174)),"Self-approved | ",""))&amp;IF(J1174="","No support | ","")&amp;IF(WEEKDAY(B1174,2)&gt;5,"Weekend posting | ","")&amp;IF(COUNTIF(Settings!$A$14:$A$43,B1174)&gt;0,"Holiday posting | ","")&amp;IF(B1174&gt;Settings!$C$8,"Posted after close | ","")&amp;IF(OR(B1174&lt;Settings!$C$6,B1174&gt;Settings!$C$7),"Outside period | ","")&amp;IF(COUNTIF(Settings!$E$14:$E$43,C1174&amp;"")&gt;0,"Sensitive account | ","")&amp;IF(AND(MAX(N(E1174),N(F1174))&gt;=Settings!$C$9,MOD(MAX(N(E1174),N(F1174)),Settings!$C$10)=0),"Round amount | ","")="","",LEFT(IF(K1174="No","Does not balance | ","")&amp;IF(I1174="","Not approved | ",IF(UPPER(TRIM(H1174))=UPPER(TRIM(I1174)),"Self-approved | ",""))&amp;IF(J1174="","No support | ","")&amp;IF(WEEKDAY(B1174,2)&gt;5,"Weekend posting | ","")&amp;IF(COUNTIF(Settings!$A$14:$A$43,B1174)&gt;0,"Holiday posting | ","")&amp;IF(B1174&gt;Settings!$C$8,"Posted after close | ","")&amp;IF(OR(B1174&lt;Settings!$C$6,B1174&gt;Settings!$C$7),"Outside period | ","")&amp;IF(COUNTIF(Settings!$E$14:$E$43,C1174&amp;"")&gt;0,"Sensitive account | ","")&amp;IF(AND(MAX(N(E1174),N(F1174))&gt;=Settings!$C$9,MOD(MAX(N(E1174),N(F1174)),Settings!$C$10)=0),"Round amount | ",""),LEN(IF(K1174="No","Does not balance | ","")&amp;IF(I1174="","Not approved | ",IF(UPPER(TRIM(H1174))=UPPER(TRIM(I1174)),"Self-approved | ",""))&amp;IF(J1174="","No support | ","")&amp;IF(WEEKDAY(B1174,2)&gt;5,"Weekend posting | ","")&amp;IF(COUNTIF(Settings!$A$14:$A$43,B1174)&gt;0,"Holiday posting | ","")&amp;IF(B1174&gt;Settings!$C$8,"Posted after close | ","")&amp;IF(OR(B1174&lt;Settings!$C$6,B1174&gt;Settings!$C$7),"Outside period | ","")&amp;IF(COUNTIF(Settings!$E$14:$E$43,C1174&amp;"")&gt;0,"Sensitive account | ","")&amp;IF(AND(MAX(N(E1174),N(F1174))&gt;=Settings!$C$9,MOD(MAX(N(E1174),N(F1174)),Settings!$C$10)=0),"Round amount | ",""))-3)))</f>
        <v/>
      </c>
      <c r="M1174" s="21" t="str">
        <f aca="false">IF(A1174="","",IF(COUNTIF($A$9:A1174,A1174)=1,MAX($M$8:M1173)+1,""))</f>
        <v/>
      </c>
    </row>
    <row r="1175" customFormat="false" ht="15" hidden="false" customHeight="false" outlineLevel="0" collapsed="false">
      <c r="A1175" s="8"/>
      <c r="B1175" s="17"/>
      <c r="C1175" s="19"/>
      <c r="D1175" s="8"/>
      <c r="E1175" s="18"/>
      <c r="F1175" s="18"/>
      <c r="G1175" s="8"/>
      <c r="H1175" s="8"/>
      <c r="I1175" s="8"/>
      <c r="J1175" s="8"/>
      <c r="K1175" s="10" t="str">
        <f aca="false">IF(A1175="","",IF(ABS(SUMIFS($E$9:$E$2008,$A$9:$A$2008,A1175)-SUMIFS($F$9:$F$2008,$A$9:$A$2008,A1175))&lt;0.5,"Yes","No"))</f>
        <v/>
      </c>
      <c r="L1175" s="10" t="str">
        <f aca="false">IF(A1175="","",IF(IF(K1175="No","Does not balance | ","")&amp;IF(I1175="","Not approved | ",IF(UPPER(TRIM(H1175))=UPPER(TRIM(I1175)),"Self-approved | ",""))&amp;IF(J1175="","No support | ","")&amp;IF(WEEKDAY(B1175,2)&gt;5,"Weekend posting | ","")&amp;IF(COUNTIF(Settings!$A$14:$A$43,B1175)&gt;0,"Holiday posting | ","")&amp;IF(B1175&gt;Settings!$C$8,"Posted after close | ","")&amp;IF(OR(B1175&lt;Settings!$C$6,B1175&gt;Settings!$C$7),"Outside period | ","")&amp;IF(COUNTIF(Settings!$E$14:$E$43,C1175&amp;"")&gt;0,"Sensitive account | ","")&amp;IF(AND(MAX(N(E1175),N(F1175))&gt;=Settings!$C$9,MOD(MAX(N(E1175),N(F1175)),Settings!$C$10)=0),"Round amount | ","")="","",LEFT(IF(K1175="No","Does not balance | ","")&amp;IF(I1175="","Not approved | ",IF(UPPER(TRIM(H1175))=UPPER(TRIM(I1175)),"Self-approved | ",""))&amp;IF(J1175="","No support | ","")&amp;IF(WEEKDAY(B1175,2)&gt;5,"Weekend posting | ","")&amp;IF(COUNTIF(Settings!$A$14:$A$43,B1175)&gt;0,"Holiday posting | ","")&amp;IF(B1175&gt;Settings!$C$8,"Posted after close | ","")&amp;IF(OR(B1175&lt;Settings!$C$6,B1175&gt;Settings!$C$7),"Outside period | ","")&amp;IF(COUNTIF(Settings!$E$14:$E$43,C1175&amp;"")&gt;0,"Sensitive account | ","")&amp;IF(AND(MAX(N(E1175),N(F1175))&gt;=Settings!$C$9,MOD(MAX(N(E1175),N(F1175)),Settings!$C$10)=0),"Round amount | ",""),LEN(IF(K1175="No","Does not balance | ","")&amp;IF(I1175="","Not approved | ",IF(UPPER(TRIM(H1175))=UPPER(TRIM(I1175)),"Self-approved | ",""))&amp;IF(J1175="","No support | ","")&amp;IF(WEEKDAY(B1175,2)&gt;5,"Weekend posting | ","")&amp;IF(COUNTIF(Settings!$A$14:$A$43,B1175)&gt;0,"Holiday posting | ","")&amp;IF(B1175&gt;Settings!$C$8,"Posted after close | ","")&amp;IF(OR(B1175&lt;Settings!$C$6,B1175&gt;Settings!$C$7),"Outside period | ","")&amp;IF(COUNTIF(Settings!$E$14:$E$43,C1175&amp;"")&gt;0,"Sensitive account | ","")&amp;IF(AND(MAX(N(E1175),N(F1175))&gt;=Settings!$C$9,MOD(MAX(N(E1175),N(F1175)),Settings!$C$10)=0),"Round amount | ",""))-3)))</f>
        <v/>
      </c>
      <c r="M1175" s="21" t="str">
        <f aca="false">IF(A1175="","",IF(COUNTIF($A$9:A1175,A1175)=1,MAX($M$8:M1174)+1,""))</f>
        <v/>
      </c>
    </row>
    <row r="1176" customFormat="false" ht="15" hidden="false" customHeight="false" outlineLevel="0" collapsed="false">
      <c r="A1176" s="8"/>
      <c r="B1176" s="17"/>
      <c r="C1176" s="19"/>
      <c r="D1176" s="8"/>
      <c r="E1176" s="18"/>
      <c r="F1176" s="18"/>
      <c r="G1176" s="8"/>
      <c r="H1176" s="8"/>
      <c r="I1176" s="8"/>
      <c r="J1176" s="8"/>
      <c r="K1176" s="10" t="str">
        <f aca="false">IF(A1176="","",IF(ABS(SUMIFS($E$9:$E$2008,$A$9:$A$2008,A1176)-SUMIFS($F$9:$F$2008,$A$9:$A$2008,A1176))&lt;0.5,"Yes","No"))</f>
        <v/>
      </c>
      <c r="L1176" s="10" t="str">
        <f aca="false">IF(A1176="","",IF(IF(K1176="No","Does not balance | ","")&amp;IF(I1176="","Not approved | ",IF(UPPER(TRIM(H1176))=UPPER(TRIM(I1176)),"Self-approved | ",""))&amp;IF(J1176="","No support | ","")&amp;IF(WEEKDAY(B1176,2)&gt;5,"Weekend posting | ","")&amp;IF(COUNTIF(Settings!$A$14:$A$43,B1176)&gt;0,"Holiday posting | ","")&amp;IF(B1176&gt;Settings!$C$8,"Posted after close | ","")&amp;IF(OR(B1176&lt;Settings!$C$6,B1176&gt;Settings!$C$7),"Outside period | ","")&amp;IF(COUNTIF(Settings!$E$14:$E$43,C1176&amp;"")&gt;0,"Sensitive account | ","")&amp;IF(AND(MAX(N(E1176),N(F1176))&gt;=Settings!$C$9,MOD(MAX(N(E1176),N(F1176)),Settings!$C$10)=0),"Round amount | ","")="","",LEFT(IF(K1176="No","Does not balance | ","")&amp;IF(I1176="","Not approved | ",IF(UPPER(TRIM(H1176))=UPPER(TRIM(I1176)),"Self-approved | ",""))&amp;IF(J1176="","No support | ","")&amp;IF(WEEKDAY(B1176,2)&gt;5,"Weekend posting | ","")&amp;IF(COUNTIF(Settings!$A$14:$A$43,B1176)&gt;0,"Holiday posting | ","")&amp;IF(B1176&gt;Settings!$C$8,"Posted after close | ","")&amp;IF(OR(B1176&lt;Settings!$C$6,B1176&gt;Settings!$C$7),"Outside period | ","")&amp;IF(COUNTIF(Settings!$E$14:$E$43,C1176&amp;"")&gt;0,"Sensitive account | ","")&amp;IF(AND(MAX(N(E1176),N(F1176))&gt;=Settings!$C$9,MOD(MAX(N(E1176),N(F1176)),Settings!$C$10)=0),"Round amount | ",""),LEN(IF(K1176="No","Does not balance | ","")&amp;IF(I1176="","Not approved | ",IF(UPPER(TRIM(H1176))=UPPER(TRIM(I1176)),"Self-approved | ",""))&amp;IF(J1176="","No support | ","")&amp;IF(WEEKDAY(B1176,2)&gt;5,"Weekend posting | ","")&amp;IF(COUNTIF(Settings!$A$14:$A$43,B1176)&gt;0,"Holiday posting | ","")&amp;IF(B1176&gt;Settings!$C$8,"Posted after close | ","")&amp;IF(OR(B1176&lt;Settings!$C$6,B1176&gt;Settings!$C$7),"Outside period | ","")&amp;IF(COUNTIF(Settings!$E$14:$E$43,C1176&amp;"")&gt;0,"Sensitive account | ","")&amp;IF(AND(MAX(N(E1176),N(F1176))&gt;=Settings!$C$9,MOD(MAX(N(E1176),N(F1176)),Settings!$C$10)=0),"Round amount | ",""))-3)))</f>
        <v/>
      </c>
      <c r="M1176" s="21" t="str">
        <f aca="false">IF(A1176="","",IF(COUNTIF($A$9:A1176,A1176)=1,MAX($M$8:M1175)+1,""))</f>
        <v/>
      </c>
    </row>
    <row r="1177" customFormat="false" ht="15" hidden="false" customHeight="false" outlineLevel="0" collapsed="false">
      <c r="A1177" s="8"/>
      <c r="B1177" s="17"/>
      <c r="C1177" s="19"/>
      <c r="D1177" s="8"/>
      <c r="E1177" s="18"/>
      <c r="F1177" s="18"/>
      <c r="G1177" s="8"/>
      <c r="H1177" s="8"/>
      <c r="I1177" s="8"/>
      <c r="J1177" s="8"/>
      <c r="K1177" s="10" t="str">
        <f aca="false">IF(A1177="","",IF(ABS(SUMIFS($E$9:$E$2008,$A$9:$A$2008,A1177)-SUMIFS($F$9:$F$2008,$A$9:$A$2008,A1177))&lt;0.5,"Yes","No"))</f>
        <v/>
      </c>
      <c r="L1177" s="10" t="str">
        <f aca="false">IF(A1177="","",IF(IF(K1177="No","Does not balance | ","")&amp;IF(I1177="","Not approved | ",IF(UPPER(TRIM(H1177))=UPPER(TRIM(I1177)),"Self-approved | ",""))&amp;IF(J1177="","No support | ","")&amp;IF(WEEKDAY(B1177,2)&gt;5,"Weekend posting | ","")&amp;IF(COUNTIF(Settings!$A$14:$A$43,B1177)&gt;0,"Holiday posting | ","")&amp;IF(B1177&gt;Settings!$C$8,"Posted after close | ","")&amp;IF(OR(B1177&lt;Settings!$C$6,B1177&gt;Settings!$C$7),"Outside period | ","")&amp;IF(COUNTIF(Settings!$E$14:$E$43,C1177&amp;"")&gt;0,"Sensitive account | ","")&amp;IF(AND(MAX(N(E1177),N(F1177))&gt;=Settings!$C$9,MOD(MAX(N(E1177),N(F1177)),Settings!$C$10)=0),"Round amount | ","")="","",LEFT(IF(K1177="No","Does not balance | ","")&amp;IF(I1177="","Not approved | ",IF(UPPER(TRIM(H1177))=UPPER(TRIM(I1177)),"Self-approved | ",""))&amp;IF(J1177="","No support | ","")&amp;IF(WEEKDAY(B1177,2)&gt;5,"Weekend posting | ","")&amp;IF(COUNTIF(Settings!$A$14:$A$43,B1177)&gt;0,"Holiday posting | ","")&amp;IF(B1177&gt;Settings!$C$8,"Posted after close | ","")&amp;IF(OR(B1177&lt;Settings!$C$6,B1177&gt;Settings!$C$7),"Outside period | ","")&amp;IF(COUNTIF(Settings!$E$14:$E$43,C1177&amp;"")&gt;0,"Sensitive account | ","")&amp;IF(AND(MAX(N(E1177),N(F1177))&gt;=Settings!$C$9,MOD(MAX(N(E1177),N(F1177)),Settings!$C$10)=0),"Round amount | ",""),LEN(IF(K1177="No","Does not balance | ","")&amp;IF(I1177="","Not approved | ",IF(UPPER(TRIM(H1177))=UPPER(TRIM(I1177)),"Self-approved | ",""))&amp;IF(J1177="","No support | ","")&amp;IF(WEEKDAY(B1177,2)&gt;5,"Weekend posting | ","")&amp;IF(COUNTIF(Settings!$A$14:$A$43,B1177)&gt;0,"Holiday posting | ","")&amp;IF(B1177&gt;Settings!$C$8,"Posted after close | ","")&amp;IF(OR(B1177&lt;Settings!$C$6,B1177&gt;Settings!$C$7),"Outside period | ","")&amp;IF(COUNTIF(Settings!$E$14:$E$43,C1177&amp;"")&gt;0,"Sensitive account | ","")&amp;IF(AND(MAX(N(E1177),N(F1177))&gt;=Settings!$C$9,MOD(MAX(N(E1177),N(F1177)),Settings!$C$10)=0),"Round amount | ",""))-3)))</f>
        <v/>
      </c>
      <c r="M1177" s="21" t="str">
        <f aca="false">IF(A1177="","",IF(COUNTIF($A$9:A1177,A1177)=1,MAX($M$8:M1176)+1,""))</f>
        <v/>
      </c>
    </row>
    <row r="1178" customFormat="false" ht="15" hidden="false" customHeight="false" outlineLevel="0" collapsed="false">
      <c r="A1178" s="8"/>
      <c r="B1178" s="17"/>
      <c r="C1178" s="19"/>
      <c r="D1178" s="8"/>
      <c r="E1178" s="18"/>
      <c r="F1178" s="18"/>
      <c r="G1178" s="8"/>
      <c r="H1178" s="8"/>
      <c r="I1178" s="8"/>
      <c r="J1178" s="8"/>
      <c r="K1178" s="10" t="str">
        <f aca="false">IF(A1178="","",IF(ABS(SUMIFS($E$9:$E$2008,$A$9:$A$2008,A1178)-SUMIFS($F$9:$F$2008,$A$9:$A$2008,A1178))&lt;0.5,"Yes","No"))</f>
        <v/>
      </c>
      <c r="L1178" s="10" t="str">
        <f aca="false">IF(A1178="","",IF(IF(K1178="No","Does not balance | ","")&amp;IF(I1178="","Not approved | ",IF(UPPER(TRIM(H1178))=UPPER(TRIM(I1178)),"Self-approved | ",""))&amp;IF(J1178="","No support | ","")&amp;IF(WEEKDAY(B1178,2)&gt;5,"Weekend posting | ","")&amp;IF(COUNTIF(Settings!$A$14:$A$43,B1178)&gt;0,"Holiday posting | ","")&amp;IF(B1178&gt;Settings!$C$8,"Posted after close | ","")&amp;IF(OR(B1178&lt;Settings!$C$6,B1178&gt;Settings!$C$7),"Outside period | ","")&amp;IF(COUNTIF(Settings!$E$14:$E$43,C1178&amp;"")&gt;0,"Sensitive account | ","")&amp;IF(AND(MAX(N(E1178),N(F1178))&gt;=Settings!$C$9,MOD(MAX(N(E1178),N(F1178)),Settings!$C$10)=0),"Round amount | ","")="","",LEFT(IF(K1178="No","Does not balance | ","")&amp;IF(I1178="","Not approved | ",IF(UPPER(TRIM(H1178))=UPPER(TRIM(I1178)),"Self-approved | ",""))&amp;IF(J1178="","No support | ","")&amp;IF(WEEKDAY(B1178,2)&gt;5,"Weekend posting | ","")&amp;IF(COUNTIF(Settings!$A$14:$A$43,B1178)&gt;0,"Holiday posting | ","")&amp;IF(B1178&gt;Settings!$C$8,"Posted after close | ","")&amp;IF(OR(B1178&lt;Settings!$C$6,B1178&gt;Settings!$C$7),"Outside period | ","")&amp;IF(COUNTIF(Settings!$E$14:$E$43,C1178&amp;"")&gt;0,"Sensitive account | ","")&amp;IF(AND(MAX(N(E1178),N(F1178))&gt;=Settings!$C$9,MOD(MAX(N(E1178),N(F1178)),Settings!$C$10)=0),"Round amount | ",""),LEN(IF(K1178="No","Does not balance | ","")&amp;IF(I1178="","Not approved | ",IF(UPPER(TRIM(H1178))=UPPER(TRIM(I1178)),"Self-approved | ",""))&amp;IF(J1178="","No support | ","")&amp;IF(WEEKDAY(B1178,2)&gt;5,"Weekend posting | ","")&amp;IF(COUNTIF(Settings!$A$14:$A$43,B1178)&gt;0,"Holiday posting | ","")&amp;IF(B1178&gt;Settings!$C$8,"Posted after close | ","")&amp;IF(OR(B1178&lt;Settings!$C$6,B1178&gt;Settings!$C$7),"Outside period | ","")&amp;IF(COUNTIF(Settings!$E$14:$E$43,C1178&amp;"")&gt;0,"Sensitive account | ","")&amp;IF(AND(MAX(N(E1178),N(F1178))&gt;=Settings!$C$9,MOD(MAX(N(E1178),N(F1178)),Settings!$C$10)=0),"Round amount | ",""))-3)))</f>
        <v/>
      </c>
      <c r="M1178" s="21" t="str">
        <f aca="false">IF(A1178="","",IF(COUNTIF($A$9:A1178,A1178)=1,MAX($M$8:M1177)+1,""))</f>
        <v/>
      </c>
    </row>
    <row r="1179" customFormat="false" ht="15" hidden="false" customHeight="false" outlineLevel="0" collapsed="false">
      <c r="A1179" s="8"/>
      <c r="B1179" s="17"/>
      <c r="C1179" s="19"/>
      <c r="D1179" s="8"/>
      <c r="E1179" s="18"/>
      <c r="F1179" s="18"/>
      <c r="G1179" s="8"/>
      <c r="H1179" s="8"/>
      <c r="I1179" s="8"/>
      <c r="J1179" s="8"/>
      <c r="K1179" s="10" t="str">
        <f aca="false">IF(A1179="","",IF(ABS(SUMIFS($E$9:$E$2008,$A$9:$A$2008,A1179)-SUMIFS($F$9:$F$2008,$A$9:$A$2008,A1179))&lt;0.5,"Yes","No"))</f>
        <v/>
      </c>
      <c r="L1179" s="10" t="str">
        <f aca="false">IF(A1179="","",IF(IF(K1179="No","Does not balance | ","")&amp;IF(I1179="","Not approved | ",IF(UPPER(TRIM(H1179))=UPPER(TRIM(I1179)),"Self-approved | ",""))&amp;IF(J1179="","No support | ","")&amp;IF(WEEKDAY(B1179,2)&gt;5,"Weekend posting | ","")&amp;IF(COUNTIF(Settings!$A$14:$A$43,B1179)&gt;0,"Holiday posting | ","")&amp;IF(B1179&gt;Settings!$C$8,"Posted after close | ","")&amp;IF(OR(B1179&lt;Settings!$C$6,B1179&gt;Settings!$C$7),"Outside period | ","")&amp;IF(COUNTIF(Settings!$E$14:$E$43,C1179&amp;"")&gt;0,"Sensitive account | ","")&amp;IF(AND(MAX(N(E1179),N(F1179))&gt;=Settings!$C$9,MOD(MAX(N(E1179),N(F1179)),Settings!$C$10)=0),"Round amount | ","")="","",LEFT(IF(K1179="No","Does not balance | ","")&amp;IF(I1179="","Not approved | ",IF(UPPER(TRIM(H1179))=UPPER(TRIM(I1179)),"Self-approved | ",""))&amp;IF(J1179="","No support | ","")&amp;IF(WEEKDAY(B1179,2)&gt;5,"Weekend posting | ","")&amp;IF(COUNTIF(Settings!$A$14:$A$43,B1179)&gt;0,"Holiday posting | ","")&amp;IF(B1179&gt;Settings!$C$8,"Posted after close | ","")&amp;IF(OR(B1179&lt;Settings!$C$6,B1179&gt;Settings!$C$7),"Outside period | ","")&amp;IF(COUNTIF(Settings!$E$14:$E$43,C1179&amp;"")&gt;0,"Sensitive account | ","")&amp;IF(AND(MAX(N(E1179),N(F1179))&gt;=Settings!$C$9,MOD(MAX(N(E1179),N(F1179)),Settings!$C$10)=0),"Round amount | ",""),LEN(IF(K1179="No","Does not balance | ","")&amp;IF(I1179="","Not approved | ",IF(UPPER(TRIM(H1179))=UPPER(TRIM(I1179)),"Self-approved | ",""))&amp;IF(J1179="","No support | ","")&amp;IF(WEEKDAY(B1179,2)&gt;5,"Weekend posting | ","")&amp;IF(COUNTIF(Settings!$A$14:$A$43,B1179)&gt;0,"Holiday posting | ","")&amp;IF(B1179&gt;Settings!$C$8,"Posted after close | ","")&amp;IF(OR(B1179&lt;Settings!$C$6,B1179&gt;Settings!$C$7),"Outside period | ","")&amp;IF(COUNTIF(Settings!$E$14:$E$43,C1179&amp;"")&gt;0,"Sensitive account | ","")&amp;IF(AND(MAX(N(E1179),N(F1179))&gt;=Settings!$C$9,MOD(MAX(N(E1179),N(F1179)),Settings!$C$10)=0),"Round amount | ",""))-3)))</f>
        <v/>
      </c>
      <c r="M1179" s="21" t="str">
        <f aca="false">IF(A1179="","",IF(COUNTIF($A$9:A1179,A1179)=1,MAX($M$8:M1178)+1,""))</f>
        <v/>
      </c>
    </row>
    <row r="1180" customFormat="false" ht="15" hidden="false" customHeight="false" outlineLevel="0" collapsed="false">
      <c r="A1180" s="8"/>
      <c r="B1180" s="17"/>
      <c r="C1180" s="19"/>
      <c r="D1180" s="8"/>
      <c r="E1180" s="18"/>
      <c r="F1180" s="18"/>
      <c r="G1180" s="8"/>
      <c r="H1180" s="8"/>
      <c r="I1180" s="8"/>
      <c r="J1180" s="8"/>
      <c r="K1180" s="10" t="str">
        <f aca="false">IF(A1180="","",IF(ABS(SUMIFS($E$9:$E$2008,$A$9:$A$2008,A1180)-SUMIFS($F$9:$F$2008,$A$9:$A$2008,A1180))&lt;0.5,"Yes","No"))</f>
        <v/>
      </c>
      <c r="L1180" s="10" t="str">
        <f aca="false">IF(A1180="","",IF(IF(K1180="No","Does not balance | ","")&amp;IF(I1180="","Not approved | ",IF(UPPER(TRIM(H1180))=UPPER(TRIM(I1180)),"Self-approved | ",""))&amp;IF(J1180="","No support | ","")&amp;IF(WEEKDAY(B1180,2)&gt;5,"Weekend posting | ","")&amp;IF(COUNTIF(Settings!$A$14:$A$43,B1180)&gt;0,"Holiday posting | ","")&amp;IF(B1180&gt;Settings!$C$8,"Posted after close | ","")&amp;IF(OR(B1180&lt;Settings!$C$6,B1180&gt;Settings!$C$7),"Outside period | ","")&amp;IF(COUNTIF(Settings!$E$14:$E$43,C1180&amp;"")&gt;0,"Sensitive account | ","")&amp;IF(AND(MAX(N(E1180),N(F1180))&gt;=Settings!$C$9,MOD(MAX(N(E1180),N(F1180)),Settings!$C$10)=0),"Round amount | ","")="","",LEFT(IF(K1180="No","Does not balance | ","")&amp;IF(I1180="","Not approved | ",IF(UPPER(TRIM(H1180))=UPPER(TRIM(I1180)),"Self-approved | ",""))&amp;IF(J1180="","No support | ","")&amp;IF(WEEKDAY(B1180,2)&gt;5,"Weekend posting | ","")&amp;IF(COUNTIF(Settings!$A$14:$A$43,B1180)&gt;0,"Holiday posting | ","")&amp;IF(B1180&gt;Settings!$C$8,"Posted after close | ","")&amp;IF(OR(B1180&lt;Settings!$C$6,B1180&gt;Settings!$C$7),"Outside period | ","")&amp;IF(COUNTIF(Settings!$E$14:$E$43,C1180&amp;"")&gt;0,"Sensitive account | ","")&amp;IF(AND(MAX(N(E1180),N(F1180))&gt;=Settings!$C$9,MOD(MAX(N(E1180),N(F1180)),Settings!$C$10)=0),"Round amount | ",""),LEN(IF(K1180="No","Does not balance | ","")&amp;IF(I1180="","Not approved | ",IF(UPPER(TRIM(H1180))=UPPER(TRIM(I1180)),"Self-approved | ",""))&amp;IF(J1180="","No support | ","")&amp;IF(WEEKDAY(B1180,2)&gt;5,"Weekend posting | ","")&amp;IF(COUNTIF(Settings!$A$14:$A$43,B1180)&gt;0,"Holiday posting | ","")&amp;IF(B1180&gt;Settings!$C$8,"Posted after close | ","")&amp;IF(OR(B1180&lt;Settings!$C$6,B1180&gt;Settings!$C$7),"Outside period | ","")&amp;IF(COUNTIF(Settings!$E$14:$E$43,C1180&amp;"")&gt;0,"Sensitive account | ","")&amp;IF(AND(MAX(N(E1180),N(F1180))&gt;=Settings!$C$9,MOD(MAX(N(E1180),N(F1180)),Settings!$C$10)=0),"Round amount | ",""))-3)))</f>
        <v/>
      </c>
      <c r="M1180" s="21" t="str">
        <f aca="false">IF(A1180="","",IF(COUNTIF($A$9:A1180,A1180)=1,MAX($M$8:M1179)+1,""))</f>
        <v/>
      </c>
    </row>
    <row r="1181" customFormat="false" ht="15" hidden="false" customHeight="false" outlineLevel="0" collapsed="false">
      <c r="A1181" s="8"/>
      <c r="B1181" s="17"/>
      <c r="C1181" s="19"/>
      <c r="D1181" s="8"/>
      <c r="E1181" s="18"/>
      <c r="F1181" s="18"/>
      <c r="G1181" s="8"/>
      <c r="H1181" s="8"/>
      <c r="I1181" s="8"/>
      <c r="J1181" s="8"/>
      <c r="K1181" s="10" t="str">
        <f aca="false">IF(A1181="","",IF(ABS(SUMIFS($E$9:$E$2008,$A$9:$A$2008,A1181)-SUMIFS($F$9:$F$2008,$A$9:$A$2008,A1181))&lt;0.5,"Yes","No"))</f>
        <v/>
      </c>
      <c r="L1181" s="10" t="str">
        <f aca="false">IF(A1181="","",IF(IF(K1181="No","Does not balance | ","")&amp;IF(I1181="","Not approved | ",IF(UPPER(TRIM(H1181))=UPPER(TRIM(I1181)),"Self-approved | ",""))&amp;IF(J1181="","No support | ","")&amp;IF(WEEKDAY(B1181,2)&gt;5,"Weekend posting | ","")&amp;IF(COUNTIF(Settings!$A$14:$A$43,B1181)&gt;0,"Holiday posting | ","")&amp;IF(B1181&gt;Settings!$C$8,"Posted after close | ","")&amp;IF(OR(B1181&lt;Settings!$C$6,B1181&gt;Settings!$C$7),"Outside period | ","")&amp;IF(COUNTIF(Settings!$E$14:$E$43,C1181&amp;"")&gt;0,"Sensitive account | ","")&amp;IF(AND(MAX(N(E1181),N(F1181))&gt;=Settings!$C$9,MOD(MAX(N(E1181),N(F1181)),Settings!$C$10)=0),"Round amount | ","")="","",LEFT(IF(K1181="No","Does not balance | ","")&amp;IF(I1181="","Not approved | ",IF(UPPER(TRIM(H1181))=UPPER(TRIM(I1181)),"Self-approved | ",""))&amp;IF(J1181="","No support | ","")&amp;IF(WEEKDAY(B1181,2)&gt;5,"Weekend posting | ","")&amp;IF(COUNTIF(Settings!$A$14:$A$43,B1181)&gt;0,"Holiday posting | ","")&amp;IF(B1181&gt;Settings!$C$8,"Posted after close | ","")&amp;IF(OR(B1181&lt;Settings!$C$6,B1181&gt;Settings!$C$7),"Outside period | ","")&amp;IF(COUNTIF(Settings!$E$14:$E$43,C1181&amp;"")&gt;0,"Sensitive account | ","")&amp;IF(AND(MAX(N(E1181),N(F1181))&gt;=Settings!$C$9,MOD(MAX(N(E1181),N(F1181)),Settings!$C$10)=0),"Round amount | ",""),LEN(IF(K1181="No","Does not balance | ","")&amp;IF(I1181="","Not approved | ",IF(UPPER(TRIM(H1181))=UPPER(TRIM(I1181)),"Self-approved | ",""))&amp;IF(J1181="","No support | ","")&amp;IF(WEEKDAY(B1181,2)&gt;5,"Weekend posting | ","")&amp;IF(COUNTIF(Settings!$A$14:$A$43,B1181)&gt;0,"Holiday posting | ","")&amp;IF(B1181&gt;Settings!$C$8,"Posted after close | ","")&amp;IF(OR(B1181&lt;Settings!$C$6,B1181&gt;Settings!$C$7),"Outside period | ","")&amp;IF(COUNTIF(Settings!$E$14:$E$43,C1181&amp;"")&gt;0,"Sensitive account | ","")&amp;IF(AND(MAX(N(E1181),N(F1181))&gt;=Settings!$C$9,MOD(MAX(N(E1181),N(F1181)),Settings!$C$10)=0),"Round amount | ",""))-3)))</f>
        <v/>
      </c>
      <c r="M1181" s="21" t="str">
        <f aca="false">IF(A1181="","",IF(COUNTIF($A$9:A1181,A1181)=1,MAX($M$8:M1180)+1,""))</f>
        <v/>
      </c>
    </row>
    <row r="1182" customFormat="false" ht="15" hidden="false" customHeight="false" outlineLevel="0" collapsed="false">
      <c r="A1182" s="8"/>
      <c r="B1182" s="17"/>
      <c r="C1182" s="19"/>
      <c r="D1182" s="8"/>
      <c r="E1182" s="18"/>
      <c r="F1182" s="18"/>
      <c r="G1182" s="8"/>
      <c r="H1182" s="8"/>
      <c r="I1182" s="8"/>
      <c r="J1182" s="8"/>
      <c r="K1182" s="10" t="str">
        <f aca="false">IF(A1182="","",IF(ABS(SUMIFS($E$9:$E$2008,$A$9:$A$2008,A1182)-SUMIFS($F$9:$F$2008,$A$9:$A$2008,A1182))&lt;0.5,"Yes","No"))</f>
        <v/>
      </c>
      <c r="L1182" s="10" t="str">
        <f aca="false">IF(A1182="","",IF(IF(K1182="No","Does not balance | ","")&amp;IF(I1182="","Not approved | ",IF(UPPER(TRIM(H1182))=UPPER(TRIM(I1182)),"Self-approved | ",""))&amp;IF(J1182="","No support | ","")&amp;IF(WEEKDAY(B1182,2)&gt;5,"Weekend posting | ","")&amp;IF(COUNTIF(Settings!$A$14:$A$43,B1182)&gt;0,"Holiday posting | ","")&amp;IF(B1182&gt;Settings!$C$8,"Posted after close | ","")&amp;IF(OR(B1182&lt;Settings!$C$6,B1182&gt;Settings!$C$7),"Outside period | ","")&amp;IF(COUNTIF(Settings!$E$14:$E$43,C1182&amp;"")&gt;0,"Sensitive account | ","")&amp;IF(AND(MAX(N(E1182),N(F1182))&gt;=Settings!$C$9,MOD(MAX(N(E1182),N(F1182)),Settings!$C$10)=0),"Round amount | ","")="","",LEFT(IF(K1182="No","Does not balance | ","")&amp;IF(I1182="","Not approved | ",IF(UPPER(TRIM(H1182))=UPPER(TRIM(I1182)),"Self-approved | ",""))&amp;IF(J1182="","No support | ","")&amp;IF(WEEKDAY(B1182,2)&gt;5,"Weekend posting | ","")&amp;IF(COUNTIF(Settings!$A$14:$A$43,B1182)&gt;0,"Holiday posting | ","")&amp;IF(B1182&gt;Settings!$C$8,"Posted after close | ","")&amp;IF(OR(B1182&lt;Settings!$C$6,B1182&gt;Settings!$C$7),"Outside period | ","")&amp;IF(COUNTIF(Settings!$E$14:$E$43,C1182&amp;"")&gt;0,"Sensitive account | ","")&amp;IF(AND(MAX(N(E1182),N(F1182))&gt;=Settings!$C$9,MOD(MAX(N(E1182),N(F1182)),Settings!$C$10)=0),"Round amount | ",""),LEN(IF(K1182="No","Does not balance | ","")&amp;IF(I1182="","Not approved | ",IF(UPPER(TRIM(H1182))=UPPER(TRIM(I1182)),"Self-approved | ",""))&amp;IF(J1182="","No support | ","")&amp;IF(WEEKDAY(B1182,2)&gt;5,"Weekend posting | ","")&amp;IF(COUNTIF(Settings!$A$14:$A$43,B1182)&gt;0,"Holiday posting | ","")&amp;IF(B1182&gt;Settings!$C$8,"Posted after close | ","")&amp;IF(OR(B1182&lt;Settings!$C$6,B1182&gt;Settings!$C$7),"Outside period | ","")&amp;IF(COUNTIF(Settings!$E$14:$E$43,C1182&amp;"")&gt;0,"Sensitive account | ","")&amp;IF(AND(MAX(N(E1182),N(F1182))&gt;=Settings!$C$9,MOD(MAX(N(E1182),N(F1182)),Settings!$C$10)=0),"Round amount | ",""))-3)))</f>
        <v/>
      </c>
      <c r="M1182" s="21" t="str">
        <f aca="false">IF(A1182="","",IF(COUNTIF($A$9:A1182,A1182)=1,MAX($M$8:M1181)+1,""))</f>
        <v/>
      </c>
    </row>
    <row r="1183" customFormat="false" ht="15" hidden="false" customHeight="false" outlineLevel="0" collapsed="false">
      <c r="A1183" s="8"/>
      <c r="B1183" s="17"/>
      <c r="C1183" s="19"/>
      <c r="D1183" s="8"/>
      <c r="E1183" s="18"/>
      <c r="F1183" s="18"/>
      <c r="G1183" s="8"/>
      <c r="H1183" s="8"/>
      <c r="I1183" s="8"/>
      <c r="J1183" s="8"/>
      <c r="K1183" s="10" t="str">
        <f aca="false">IF(A1183="","",IF(ABS(SUMIFS($E$9:$E$2008,$A$9:$A$2008,A1183)-SUMIFS($F$9:$F$2008,$A$9:$A$2008,A1183))&lt;0.5,"Yes","No"))</f>
        <v/>
      </c>
      <c r="L1183" s="10" t="str">
        <f aca="false">IF(A1183="","",IF(IF(K1183="No","Does not balance | ","")&amp;IF(I1183="","Not approved | ",IF(UPPER(TRIM(H1183))=UPPER(TRIM(I1183)),"Self-approved | ",""))&amp;IF(J1183="","No support | ","")&amp;IF(WEEKDAY(B1183,2)&gt;5,"Weekend posting | ","")&amp;IF(COUNTIF(Settings!$A$14:$A$43,B1183)&gt;0,"Holiday posting | ","")&amp;IF(B1183&gt;Settings!$C$8,"Posted after close | ","")&amp;IF(OR(B1183&lt;Settings!$C$6,B1183&gt;Settings!$C$7),"Outside period | ","")&amp;IF(COUNTIF(Settings!$E$14:$E$43,C1183&amp;"")&gt;0,"Sensitive account | ","")&amp;IF(AND(MAX(N(E1183),N(F1183))&gt;=Settings!$C$9,MOD(MAX(N(E1183),N(F1183)),Settings!$C$10)=0),"Round amount | ","")="","",LEFT(IF(K1183="No","Does not balance | ","")&amp;IF(I1183="","Not approved | ",IF(UPPER(TRIM(H1183))=UPPER(TRIM(I1183)),"Self-approved | ",""))&amp;IF(J1183="","No support | ","")&amp;IF(WEEKDAY(B1183,2)&gt;5,"Weekend posting | ","")&amp;IF(COUNTIF(Settings!$A$14:$A$43,B1183)&gt;0,"Holiday posting | ","")&amp;IF(B1183&gt;Settings!$C$8,"Posted after close | ","")&amp;IF(OR(B1183&lt;Settings!$C$6,B1183&gt;Settings!$C$7),"Outside period | ","")&amp;IF(COUNTIF(Settings!$E$14:$E$43,C1183&amp;"")&gt;0,"Sensitive account | ","")&amp;IF(AND(MAX(N(E1183),N(F1183))&gt;=Settings!$C$9,MOD(MAX(N(E1183),N(F1183)),Settings!$C$10)=0),"Round amount | ",""),LEN(IF(K1183="No","Does not balance | ","")&amp;IF(I1183="","Not approved | ",IF(UPPER(TRIM(H1183))=UPPER(TRIM(I1183)),"Self-approved | ",""))&amp;IF(J1183="","No support | ","")&amp;IF(WEEKDAY(B1183,2)&gt;5,"Weekend posting | ","")&amp;IF(COUNTIF(Settings!$A$14:$A$43,B1183)&gt;0,"Holiday posting | ","")&amp;IF(B1183&gt;Settings!$C$8,"Posted after close | ","")&amp;IF(OR(B1183&lt;Settings!$C$6,B1183&gt;Settings!$C$7),"Outside period | ","")&amp;IF(COUNTIF(Settings!$E$14:$E$43,C1183&amp;"")&gt;0,"Sensitive account | ","")&amp;IF(AND(MAX(N(E1183),N(F1183))&gt;=Settings!$C$9,MOD(MAX(N(E1183),N(F1183)),Settings!$C$10)=0),"Round amount | ",""))-3)))</f>
        <v/>
      </c>
      <c r="M1183" s="21" t="str">
        <f aca="false">IF(A1183="","",IF(COUNTIF($A$9:A1183,A1183)=1,MAX($M$8:M1182)+1,""))</f>
        <v/>
      </c>
    </row>
    <row r="1184" customFormat="false" ht="15" hidden="false" customHeight="false" outlineLevel="0" collapsed="false">
      <c r="A1184" s="8"/>
      <c r="B1184" s="17"/>
      <c r="C1184" s="19"/>
      <c r="D1184" s="8"/>
      <c r="E1184" s="18"/>
      <c r="F1184" s="18"/>
      <c r="G1184" s="8"/>
      <c r="H1184" s="8"/>
      <c r="I1184" s="8"/>
      <c r="J1184" s="8"/>
      <c r="K1184" s="10" t="str">
        <f aca="false">IF(A1184="","",IF(ABS(SUMIFS($E$9:$E$2008,$A$9:$A$2008,A1184)-SUMIFS($F$9:$F$2008,$A$9:$A$2008,A1184))&lt;0.5,"Yes","No"))</f>
        <v/>
      </c>
      <c r="L1184" s="10" t="str">
        <f aca="false">IF(A1184="","",IF(IF(K1184="No","Does not balance | ","")&amp;IF(I1184="","Not approved | ",IF(UPPER(TRIM(H1184))=UPPER(TRIM(I1184)),"Self-approved | ",""))&amp;IF(J1184="","No support | ","")&amp;IF(WEEKDAY(B1184,2)&gt;5,"Weekend posting | ","")&amp;IF(COUNTIF(Settings!$A$14:$A$43,B1184)&gt;0,"Holiday posting | ","")&amp;IF(B1184&gt;Settings!$C$8,"Posted after close | ","")&amp;IF(OR(B1184&lt;Settings!$C$6,B1184&gt;Settings!$C$7),"Outside period | ","")&amp;IF(COUNTIF(Settings!$E$14:$E$43,C1184&amp;"")&gt;0,"Sensitive account | ","")&amp;IF(AND(MAX(N(E1184),N(F1184))&gt;=Settings!$C$9,MOD(MAX(N(E1184),N(F1184)),Settings!$C$10)=0),"Round amount | ","")="","",LEFT(IF(K1184="No","Does not balance | ","")&amp;IF(I1184="","Not approved | ",IF(UPPER(TRIM(H1184))=UPPER(TRIM(I1184)),"Self-approved | ",""))&amp;IF(J1184="","No support | ","")&amp;IF(WEEKDAY(B1184,2)&gt;5,"Weekend posting | ","")&amp;IF(COUNTIF(Settings!$A$14:$A$43,B1184)&gt;0,"Holiday posting | ","")&amp;IF(B1184&gt;Settings!$C$8,"Posted after close | ","")&amp;IF(OR(B1184&lt;Settings!$C$6,B1184&gt;Settings!$C$7),"Outside period | ","")&amp;IF(COUNTIF(Settings!$E$14:$E$43,C1184&amp;"")&gt;0,"Sensitive account | ","")&amp;IF(AND(MAX(N(E1184),N(F1184))&gt;=Settings!$C$9,MOD(MAX(N(E1184),N(F1184)),Settings!$C$10)=0),"Round amount | ",""),LEN(IF(K1184="No","Does not balance | ","")&amp;IF(I1184="","Not approved | ",IF(UPPER(TRIM(H1184))=UPPER(TRIM(I1184)),"Self-approved | ",""))&amp;IF(J1184="","No support | ","")&amp;IF(WEEKDAY(B1184,2)&gt;5,"Weekend posting | ","")&amp;IF(COUNTIF(Settings!$A$14:$A$43,B1184)&gt;0,"Holiday posting | ","")&amp;IF(B1184&gt;Settings!$C$8,"Posted after close | ","")&amp;IF(OR(B1184&lt;Settings!$C$6,B1184&gt;Settings!$C$7),"Outside period | ","")&amp;IF(COUNTIF(Settings!$E$14:$E$43,C1184&amp;"")&gt;0,"Sensitive account | ","")&amp;IF(AND(MAX(N(E1184),N(F1184))&gt;=Settings!$C$9,MOD(MAX(N(E1184),N(F1184)),Settings!$C$10)=0),"Round amount | ",""))-3)))</f>
        <v/>
      </c>
      <c r="M1184" s="21" t="str">
        <f aca="false">IF(A1184="","",IF(COUNTIF($A$9:A1184,A1184)=1,MAX($M$8:M1183)+1,""))</f>
        <v/>
      </c>
    </row>
    <row r="1185" customFormat="false" ht="15" hidden="false" customHeight="false" outlineLevel="0" collapsed="false">
      <c r="A1185" s="8"/>
      <c r="B1185" s="17"/>
      <c r="C1185" s="19"/>
      <c r="D1185" s="8"/>
      <c r="E1185" s="18"/>
      <c r="F1185" s="18"/>
      <c r="G1185" s="8"/>
      <c r="H1185" s="8"/>
      <c r="I1185" s="8"/>
      <c r="J1185" s="8"/>
      <c r="K1185" s="10" t="str">
        <f aca="false">IF(A1185="","",IF(ABS(SUMIFS($E$9:$E$2008,$A$9:$A$2008,A1185)-SUMIFS($F$9:$F$2008,$A$9:$A$2008,A1185))&lt;0.5,"Yes","No"))</f>
        <v/>
      </c>
      <c r="L1185" s="10" t="str">
        <f aca="false">IF(A1185="","",IF(IF(K1185="No","Does not balance | ","")&amp;IF(I1185="","Not approved | ",IF(UPPER(TRIM(H1185))=UPPER(TRIM(I1185)),"Self-approved | ",""))&amp;IF(J1185="","No support | ","")&amp;IF(WEEKDAY(B1185,2)&gt;5,"Weekend posting | ","")&amp;IF(COUNTIF(Settings!$A$14:$A$43,B1185)&gt;0,"Holiday posting | ","")&amp;IF(B1185&gt;Settings!$C$8,"Posted after close | ","")&amp;IF(OR(B1185&lt;Settings!$C$6,B1185&gt;Settings!$C$7),"Outside period | ","")&amp;IF(COUNTIF(Settings!$E$14:$E$43,C1185&amp;"")&gt;0,"Sensitive account | ","")&amp;IF(AND(MAX(N(E1185),N(F1185))&gt;=Settings!$C$9,MOD(MAX(N(E1185),N(F1185)),Settings!$C$10)=0),"Round amount | ","")="","",LEFT(IF(K1185="No","Does not balance | ","")&amp;IF(I1185="","Not approved | ",IF(UPPER(TRIM(H1185))=UPPER(TRIM(I1185)),"Self-approved | ",""))&amp;IF(J1185="","No support | ","")&amp;IF(WEEKDAY(B1185,2)&gt;5,"Weekend posting | ","")&amp;IF(COUNTIF(Settings!$A$14:$A$43,B1185)&gt;0,"Holiday posting | ","")&amp;IF(B1185&gt;Settings!$C$8,"Posted after close | ","")&amp;IF(OR(B1185&lt;Settings!$C$6,B1185&gt;Settings!$C$7),"Outside period | ","")&amp;IF(COUNTIF(Settings!$E$14:$E$43,C1185&amp;"")&gt;0,"Sensitive account | ","")&amp;IF(AND(MAX(N(E1185),N(F1185))&gt;=Settings!$C$9,MOD(MAX(N(E1185),N(F1185)),Settings!$C$10)=0),"Round amount | ",""),LEN(IF(K1185="No","Does not balance | ","")&amp;IF(I1185="","Not approved | ",IF(UPPER(TRIM(H1185))=UPPER(TRIM(I1185)),"Self-approved | ",""))&amp;IF(J1185="","No support | ","")&amp;IF(WEEKDAY(B1185,2)&gt;5,"Weekend posting | ","")&amp;IF(COUNTIF(Settings!$A$14:$A$43,B1185)&gt;0,"Holiday posting | ","")&amp;IF(B1185&gt;Settings!$C$8,"Posted after close | ","")&amp;IF(OR(B1185&lt;Settings!$C$6,B1185&gt;Settings!$C$7),"Outside period | ","")&amp;IF(COUNTIF(Settings!$E$14:$E$43,C1185&amp;"")&gt;0,"Sensitive account | ","")&amp;IF(AND(MAX(N(E1185),N(F1185))&gt;=Settings!$C$9,MOD(MAX(N(E1185),N(F1185)),Settings!$C$10)=0),"Round amount | ",""))-3)))</f>
        <v/>
      </c>
      <c r="M1185" s="21" t="str">
        <f aca="false">IF(A1185="","",IF(COUNTIF($A$9:A1185,A1185)=1,MAX($M$8:M1184)+1,""))</f>
        <v/>
      </c>
    </row>
    <row r="1186" customFormat="false" ht="15" hidden="false" customHeight="false" outlineLevel="0" collapsed="false">
      <c r="A1186" s="8"/>
      <c r="B1186" s="17"/>
      <c r="C1186" s="19"/>
      <c r="D1186" s="8"/>
      <c r="E1186" s="18"/>
      <c r="F1186" s="18"/>
      <c r="G1186" s="8"/>
      <c r="H1186" s="8"/>
      <c r="I1186" s="8"/>
      <c r="J1186" s="8"/>
      <c r="K1186" s="10" t="str">
        <f aca="false">IF(A1186="","",IF(ABS(SUMIFS($E$9:$E$2008,$A$9:$A$2008,A1186)-SUMIFS($F$9:$F$2008,$A$9:$A$2008,A1186))&lt;0.5,"Yes","No"))</f>
        <v/>
      </c>
      <c r="L1186" s="10" t="str">
        <f aca="false">IF(A1186="","",IF(IF(K1186="No","Does not balance | ","")&amp;IF(I1186="","Not approved | ",IF(UPPER(TRIM(H1186))=UPPER(TRIM(I1186)),"Self-approved | ",""))&amp;IF(J1186="","No support | ","")&amp;IF(WEEKDAY(B1186,2)&gt;5,"Weekend posting | ","")&amp;IF(COUNTIF(Settings!$A$14:$A$43,B1186)&gt;0,"Holiday posting | ","")&amp;IF(B1186&gt;Settings!$C$8,"Posted after close | ","")&amp;IF(OR(B1186&lt;Settings!$C$6,B1186&gt;Settings!$C$7),"Outside period | ","")&amp;IF(COUNTIF(Settings!$E$14:$E$43,C1186&amp;"")&gt;0,"Sensitive account | ","")&amp;IF(AND(MAX(N(E1186),N(F1186))&gt;=Settings!$C$9,MOD(MAX(N(E1186),N(F1186)),Settings!$C$10)=0),"Round amount | ","")="","",LEFT(IF(K1186="No","Does not balance | ","")&amp;IF(I1186="","Not approved | ",IF(UPPER(TRIM(H1186))=UPPER(TRIM(I1186)),"Self-approved | ",""))&amp;IF(J1186="","No support | ","")&amp;IF(WEEKDAY(B1186,2)&gt;5,"Weekend posting | ","")&amp;IF(COUNTIF(Settings!$A$14:$A$43,B1186)&gt;0,"Holiday posting | ","")&amp;IF(B1186&gt;Settings!$C$8,"Posted after close | ","")&amp;IF(OR(B1186&lt;Settings!$C$6,B1186&gt;Settings!$C$7),"Outside period | ","")&amp;IF(COUNTIF(Settings!$E$14:$E$43,C1186&amp;"")&gt;0,"Sensitive account | ","")&amp;IF(AND(MAX(N(E1186),N(F1186))&gt;=Settings!$C$9,MOD(MAX(N(E1186),N(F1186)),Settings!$C$10)=0),"Round amount | ",""),LEN(IF(K1186="No","Does not balance | ","")&amp;IF(I1186="","Not approved | ",IF(UPPER(TRIM(H1186))=UPPER(TRIM(I1186)),"Self-approved | ",""))&amp;IF(J1186="","No support | ","")&amp;IF(WEEKDAY(B1186,2)&gt;5,"Weekend posting | ","")&amp;IF(COUNTIF(Settings!$A$14:$A$43,B1186)&gt;0,"Holiday posting | ","")&amp;IF(B1186&gt;Settings!$C$8,"Posted after close | ","")&amp;IF(OR(B1186&lt;Settings!$C$6,B1186&gt;Settings!$C$7),"Outside period | ","")&amp;IF(COUNTIF(Settings!$E$14:$E$43,C1186&amp;"")&gt;0,"Sensitive account | ","")&amp;IF(AND(MAX(N(E1186),N(F1186))&gt;=Settings!$C$9,MOD(MAX(N(E1186),N(F1186)),Settings!$C$10)=0),"Round amount | ",""))-3)))</f>
        <v/>
      </c>
      <c r="M1186" s="21" t="str">
        <f aca="false">IF(A1186="","",IF(COUNTIF($A$9:A1186,A1186)=1,MAX($M$8:M1185)+1,""))</f>
        <v/>
      </c>
    </row>
    <row r="1187" customFormat="false" ht="15" hidden="false" customHeight="false" outlineLevel="0" collapsed="false">
      <c r="A1187" s="8"/>
      <c r="B1187" s="17"/>
      <c r="C1187" s="19"/>
      <c r="D1187" s="8"/>
      <c r="E1187" s="18"/>
      <c r="F1187" s="18"/>
      <c r="G1187" s="8"/>
      <c r="H1187" s="8"/>
      <c r="I1187" s="8"/>
      <c r="J1187" s="8"/>
      <c r="K1187" s="10" t="str">
        <f aca="false">IF(A1187="","",IF(ABS(SUMIFS($E$9:$E$2008,$A$9:$A$2008,A1187)-SUMIFS($F$9:$F$2008,$A$9:$A$2008,A1187))&lt;0.5,"Yes","No"))</f>
        <v/>
      </c>
      <c r="L1187" s="10" t="str">
        <f aca="false">IF(A1187="","",IF(IF(K1187="No","Does not balance | ","")&amp;IF(I1187="","Not approved | ",IF(UPPER(TRIM(H1187))=UPPER(TRIM(I1187)),"Self-approved | ",""))&amp;IF(J1187="","No support | ","")&amp;IF(WEEKDAY(B1187,2)&gt;5,"Weekend posting | ","")&amp;IF(COUNTIF(Settings!$A$14:$A$43,B1187)&gt;0,"Holiday posting | ","")&amp;IF(B1187&gt;Settings!$C$8,"Posted after close | ","")&amp;IF(OR(B1187&lt;Settings!$C$6,B1187&gt;Settings!$C$7),"Outside period | ","")&amp;IF(COUNTIF(Settings!$E$14:$E$43,C1187&amp;"")&gt;0,"Sensitive account | ","")&amp;IF(AND(MAX(N(E1187),N(F1187))&gt;=Settings!$C$9,MOD(MAX(N(E1187),N(F1187)),Settings!$C$10)=0),"Round amount | ","")="","",LEFT(IF(K1187="No","Does not balance | ","")&amp;IF(I1187="","Not approved | ",IF(UPPER(TRIM(H1187))=UPPER(TRIM(I1187)),"Self-approved | ",""))&amp;IF(J1187="","No support | ","")&amp;IF(WEEKDAY(B1187,2)&gt;5,"Weekend posting | ","")&amp;IF(COUNTIF(Settings!$A$14:$A$43,B1187)&gt;0,"Holiday posting | ","")&amp;IF(B1187&gt;Settings!$C$8,"Posted after close | ","")&amp;IF(OR(B1187&lt;Settings!$C$6,B1187&gt;Settings!$C$7),"Outside period | ","")&amp;IF(COUNTIF(Settings!$E$14:$E$43,C1187&amp;"")&gt;0,"Sensitive account | ","")&amp;IF(AND(MAX(N(E1187),N(F1187))&gt;=Settings!$C$9,MOD(MAX(N(E1187),N(F1187)),Settings!$C$10)=0),"Round amount | ",""),LEN(IF(K1187="No","Does not balance | ","")&amp;IF(I1187="","Not approved | ",IF(UPPER(TRIM(H1187))=UPPER(TRIM(I1187)),"Self-approved | ",""))&amp;IF(J1187="","No support | ","")&amp;IF(WEEKDAY(B1187,2)&gt;5,"Weekend posting | ","")&amp;IF(COUNTIF(Settings!$A$14:$A$43,B1187)&gt;0,"Holiday posting | ","")&amp;IF(B1187&gt;Settings!$C$8,"Posted after close | ","")&amp;IF(OR(B1187&lt;Settings!$C$6,B1187&gt;Settings!$C$7),"Outside period | ","")&amp;IF(COUNTIF(Settings!$E$14:$E$43,C1187&amp;"")&gt;0,"Sensitive account | ","")&amp;IF(AND(MAX(N(E1187),N(F1187))&gt;=Settings!$C$9,MOD(MAX(N(E1187),N(F1187)),Settings!$C$10)=0),"Round amount | ",""))-3)))</f>
        <v/>
      </c>
      <c r="M1187" s="21" t="str">
        <f aca="false">IF(A1187="","",IF(COUNTIF($A$9:A1187,A1187)=1,MAX($M$8:M1186)+1,""))</f>
        <v/>
      </c>
    </row>
    <row r="1188" customFormat="false" ht="15" hidden="false" customHeight="false" outlineLevel="0" collapsed="false">
      <c r="A1188" s="8"/>
      <c r="B1188" s="17"/>
      <c r="C1188" s="19"/>
      <c r="D1188" s="8"/>
      <c r="E1188" s="18"/>
      <c r="F1188" s="18"/>
      <c r="G1188" s="8"/>
      <c r="H1188" s="8"/>
      <c r="I1188" s="8"/>
      <c r="J1188" s="8"/>
      <c r="K1188" s="10" t="str">
        <f aca="false">IF(A1188="","",IF(ABS(SUMIFS($E$9:$E$2008,$A$9:$A$2008,A1188)-SUMIFS($F$9:$F$2008,$A$9:$A$2008,A1188))&lt;0.5,"Yes","No"))</f>
        <v/>
      </c>
      <c r="L1188" s="10" t="str">
        <f aca="false">IF(A1188="","",IF(IF(K1188="No","Does not balance | ","")&amp;IF(I1188="","Not approved | ",IF(UPPER(TRIM(H1188))=UPPER(TRIM(I1188)),"Self-approved | ",""))&amp;IF(J1188="","No support | ","")&amp;IF(WEEKDAY(B1188,2)&gt;5,"Weekend posting | ","")&amp;IF(COUNTIF(Settings!$A$14:$A$43,B1188)&gt;0,"Holiday posting | ","")&amp;IF(B1188&gt;Settings!$C$8,"Posted after close | ","")&amp;IF(OR(B1188&lt;Settings!$C$6,B1188&gt;Settings!$C$7),"Outside period | ","")&amp;IF(COUNTIF(Settings!$E$14:$E$43,C1188&amp;"")&gt;0,"Sensitive account | ","")&amp;IF(AND(MAX(N(E1188),N(F1188))&gt;=Settings!$C$9,MOD(MAX(N(E1188),N(F1188)),Settings!$C$10)=0),"Round amount | ","")="","",LEFT(IF(K1188="No","Does not balance | ","")&amp;IF(I1188="","Not approved | ",IF(UPPER(TRIM(H1188))=UPPER(TRIM(I1188)),"Self-approved | ",""))&amp;IF(J1188="","No support | ","")&amp;IF(WEEKDAY(B1188,2)&gt;5,"Weekend posting | ","")&amp;IF(COUNTIF(Settings!$A$14:$A$43,B1188)&gt;0,"Holiday posting | ","")&amp;IF(B1188&gt;Settings!$C$8,"Posted after close | ","")&amp;IF(OR(B1188&lt;Settings!$C$6,B1188&gt;Settings!$C$7),"Outside period | ","")&amp;IF(COUNTIF(Settings!$E$14:$E$43,C1188&amp;"")&gt;0,"Sensitive account | ","")&amp;IF(AND(MAX(N(E1188),N(F1188))&gt;=Settings!$C$9,MOD(MAX(N(E1188),N(F1188)),Settings!$C$10)=0),"Round amount | ",""),LEN(IF(K1188="No","Does not balance | ","")&amp;IF(I1188="","Not approved | ",IF(UPPER(TRIM(H1188))=UPPER(TRIM(I1188)),"Self-approved | ",""))&amp;IF(J1188="","No support | ","")&amp;IF(WEEKDAY(B1188,2)&gt;5,"Weekend posting | ","")&amp;IF(COUNTIF(Settings!$A$14:$A$43,B1188)&gt;0,"Holiday posting | ","")&amp;IF(B1188&gt;Settings!$C$8,"Posted after close | ","")&amp;IF(OR(B1188&lt;Settings!$C$6,B1188&gt;Settings!$C$7),"Outside period | ","")&amp;IF(COUNTIF(Settings!$E$14:$E$43,C1188&amp;"")&gt;0,"Sensitive account | ","")&amp;IF(AND(MAX(N(E1188),N(F1188))&gt;=Settings!$C$9,MOD(MAX(N(E1188),N(F1188)),Settings!$C$10)=0),"Round amount | ",""))-3)))</f>
        <v/>
      </c>
      <c r="M1188" s="21" t="str">
        <f aca="false">IF(A1188="","",IF(COUNTIF($A$9:A1188,A1188)=1,MAX($M$8:M1187)+1,""))</f>
        <v/>
      </c>
    </row>
    <row r="1189" customFormat="false" ht="15" hidden="false" customHeight="false" outlineLevel="0" collapsed="false">
      <c r="A1189" s="8"/>
      <c r="B1189" s="17"/>
      <c r="C1189" s="19"/>
      <c r="D1189" s="8"/>
      <c r="E1189" s="18"/>
      <c r="F1189" s="18"/>
      <c r="G1189" s="8"/>
      <c r="H1189" s="8"/>
      <c r="I1189" s="8"/>
      <c r="J1189" s="8"/>
      <c r="K1189" s="10" t="str">
        <f aca="false">IF(A1189="","",IF(ABS(SUMIFS($E$9:$E$2008,$A$9:$A$2008,A1189)-SUMIFS($F$9:$F$2008,$A$9:$A$2008,A1189))&lt;0.5,"Yes","No"))</f>
        <v/>
      </c>
      <c r="L1189" s="10" t="str">
        <f aca="false">IF(A1189="","",IF(IF(K1189="No","Does not balance | ","")&amp;IF(I1189="","Not approved | ",IF(UPPER(TRIM(H1189))=UPPER(TRIM(I1189)),"Self-approved | ",""))&amp;IF(J1189="","No support | ","")&amp;IF(WEEKDAY(B1189,2)&gt;5,"Weekend posting | ","")&amp;IF(COUNTIF(Settings!$A$14:$A$43,B1189)&gt;0,"Holiday posting | ","")&amp;IF(B1189&gt;Settings!$C$8,"Posted after close | ","")&amp;IF(OR(B1189&lt;Settings!$C$6,B1189&gt;Settings!$C$7),"Outside period | ","")&amp;IF(COUNTIF(Settings!$E$14:$E$43,C1189&amp;"")&gt;0,"Sensitive account | ","")&amp;IF(AND(MAX(N(E1189),N(F1189))&gt;=Settings!$C$9,MOD(MAX(N(E1189),N(F1189)),Settings!$C$10)=0),"Round amount | ","")="","",LEFT(IF(K1189="No","Does not balance | ","")&amp;IF(I1189="","Not approved | ",IF(UPPER(TRIM(H1189))=UPPER(TRIM(I1189)),"Self-approved | ",""))&amp;IF(J1189="","No support | ","")&amp;IF(WEEKDAY(B1189,2)&gt;5,"Weekend posting | ","")&amp;IF(COUNTIF(Settings!$A$14:$A$43,B1189)&gt;0,"Holiday posting | ","")&amp;IF(B1189&gt;Settings!$C$8,"Posted after close | ","")&amp;IF(OR(B1189&lt;Settings!$C$6,B1189&gt;Settings!$C$7),"Outside period | ","")&amp;IF(COUNTIF(Settings!$E$14:$E$43,C1189&amp;"")&gt;0,"Sensitive account | ","")&amp;IF(AND(MAX(N(E1189),N(F1189))&gt;=Settings!$C$9,MOD(MAX(N(E1189),N(F1189)),Settings!$C$10)=0),"Round amount | ",""),LEN(IF(K1189="No","Does not balance | ","")&amp;IF(I1189="","Not approved | ",IF(UPPER(TRIM(H1189))=UPPER(TRIM(I1189)),"Self-approved | ",""))&amp;IF(J1189="","No support | ","")&amp;IF(WEEKDAY(B1189,2)&gt;5,"Weekend posting | ","")&amp;IF(COUNTIF(Settings!$A$14:$A$43,B1189)&gt;0,"Holiday posting | ","")&amp;IF(B1189&gt;Settings!$C$8,"Posted after close | ","")&amp;IF(OR(B1189&lt;Settings!$C$6,B1189&gt;Settings!$C$7),"Outside period | ","")&amp;IF(COUNTIF(Settings!$E$14:$E$43,C1189&amp;"")&gt;0,"Sensitive account | ","")&amp;IF(AND(MAX(N(E1189),N(F1189))&gt;=Settings!$C$9,MOD(MAX(N(E1189),N(F1189)),Settings!$C$10)=0),"Round amount | ",""))-3)))</f>
        <v/>
      </c>
      <c r="M1189" s="21" t="str">
        <f aca="false">IF(A1189="","",IF(COUNTIF($A$9:A1189,A1189)=1,MAX($M$8:M1188)+1,""))</f>
        <v/>
      </c>
    </row>
    <row r="1190" customFormat="false" ht="15" hidden="false" customHeight="false" outlineLevel="0" collapsed="false">
      <c r="A1190" s="8"/>
      <c r="B1190" s="17"/>
      <c r="C1190" s="19"/>
      <c r="D1190" s="8"/>
      <c r="E1190" s="18"/>
      <c r="F1190" s="18"/>
      <c r="G1190" s="8"/>
      <c r="H1190" s="8"/>
      <c r="I1190" s="8"/>
      <c r="J1190" s="8"/>
      <c r="K1190" s="10" t="str">
        <f aca="false">IF(A1190="","",IF(ABS(SUMIFS($E$9:$E$2008,$A$9:$A$2008,A1190)-SUMIFS($F$9:$F$2008,$A$9:$A$2008,A1190))&lt;0.5,"Yes","No"))</f>
        <v/>
      </c>
      <c r="L1190" s="10" t="str">
        <f aca="false">IF(A1190="","",IF(IF(K1190="No","Does not balance | ","")&amp;IF(I1190="","Not approved | ",IF(UPPER(TRIM(H1190))=UPPER(TRIM(I1190)),"Self-approved | ",""))&amp;IF(J1190="","No support | ","")&amp;IF(WEEKDAY(B1190,2)&gt;5,"Weekend posting | ","")&amp;IF(COUNTIF(Settings!$A$14:$A$43,B1190)&gt;0,"Holiday posting | ","")&amp;IF(B1190&gt;Settings!$C$8,"Posted after close | ","")&amp;IF(OR(B1190&lt;Settings!$C$6,B1190&gt;Settings!$C$7),"Outside period | ","")&amp;IF(COUNTIF(Settings!$E$14:$E$43,C1190&amp;"")&gt;0,"Sensitive account | ","")&amp;IF(AND(MAX(N(E1190),N(F1190))&gt;=Settings!$C$9,MOD(MAX(N(E1190),N(F1190)),Settings!$C$10)=0),"Round amount | ","")="","",LEFT(IF(K1190="No","Does not balance | ","")&amp;IF(I1190="","Not approved | ",IF(UPPER(TRIM(H1190))=UPPER(TRIM(I1190)),"Self-approved | ",""))&amp;IF(J1190="","No support | ","")&amp;IF(WEEKDAY(B1190,2)&gt;5,"Weekend posting | ","")&amp;IF(COUNTIF(Settings!$A$14:$A$43,B1190)&gt;0,"Holiday posting | ","")&amp;IF(B1190&gt;Settings!$C$8,"Posted after close | ","")&amp;IF(OR(B1190&lt;Settings!$C$6,B1190&gt;Settings!$C$7),"Outside period | ","")&amp;IF(COUNTIF(Settings!$E$14:$E$43,C1190&amp;"")&gt;0,"Sensitive account | ","")&amp;IF(AND(MAX(N(E1190),N(F1190))&gt;=Settings!$C$9,MOD(MAX(N(E1190),N(F1190)),Settings!$C$10)=0),"Round amount | ",""),LEN(IF(K1190="No","Does not balance | ","")&amp;IF(I1190="","Not approved | ",IF(UPPER(TRIM(H1190))=UPPER(TRIM(I1190)),"Self-approved | ",""))&amp;IF(J1190="","No support | ","")&amp;IF(WEEKDAY(B1190,2)&gt;5,"Weekend posting | ","")&amp;IF(COUNTIF(Settings!$A$14:$A$43,B1190)&gt;0,"Holiday posting | ","")&amp;IF(B1190&gt;Settings!$C$8,"Posted after close | ","")&amp;IF(OR(B1190&lt;Settings!$C$6,B1190&gt;Settings!$C$7),"Outside period | ","")&amp;IF(COUNTIF(Settings!$E$14:$E$43,C1190&amp;"")&gt;0,"Sensitive account | ","")&amp;IF(AND(MAX(N(E1190),N(F1190))&gt;=Settings!$C$9,MOD(MAX(N(E1190),N(F1190)),Settings!$C$10)=0),"Round amount | ",""))-3)))</f>
        <v/>
      </c>
      <c r="M1190" s="21" t="str">
        <f aca="false">IF(A1190="","",IF(COUNTIF($A$9:A1190,A1190)=1,MAX($M$8:M1189)+1,""))</f>
        <v/>
      </c>
    </row>
    <row r="1191" customFormat="false" ht="15" hidden="false" customHeight="false" outlineLevel="0" collapsed="false">
      <c r="A1191" s="8"/>
      <c r="B1191" s="17"/>
      <c r="C1191" s="19"/>
      <c r="D1191" s="8"/>
      <c r="E1191" s="18"/>
      <c r="F1191" s="18"/>
      <c r="G1191" s="8"/>
      <c r="H1191" s="8"/>
      <c r="I1191" s="8"/>
      <c r="J1191" s="8"/>
      <c r="K1191" s="10" t="str">
        <f aca="false">IF(A1191="","",IF(ABS(SUMIFS($E$9:$E$2008,$A$9:$A$2008,A1191)-SUMIFS($F$9:$F$2008,$A$9:$A$2008,A1191))&lt;0.5,"Yes","No"))</f>
        <v/>
      </c>
      <c r="L1191" s="10" t="str">
        <f aca="false">IF(A1191="","",IF(IF(K1191="No","Does not balance | ","")&amp;IF(I1191="","Not approved | ",IF(UPPER(TRIM(H1191))=UPPER(TRIM(I1191)),"Self-approved | ",""))&amp;IF(J1191="","No support | ","")&amp;IF(WEEKDAY(B1191,2)&gt;5,"Weekend posting | ","")&amp;IF(COUNTIF(Settings!$A$14:$A$43,B1191)&gt;0,"Holiday posting | ","")&amp;IF(B1191&gt;Settings!$C$8,"Posted after close | ","")&amp;IF(OR(B1191&lt;Settings!$C$6,B1191&gt;Settings!$C$7),"Outside period | ","")&amp;IF(COUNTIF(Settings!$E$14:$E$43,C1191&amp;"")&gt;0,"Sensitive account | ","")&amp;IF(AND(MAX(N(E1191),N(F1191))&gt;=Settings!$C$9,MOD(MAX(N(E1191),N(F1191)),Settings!$C$10)=0),"Round amount | ","")="","",LEFT(IF(K1191="No","Does not balance | ","")&amp;IF(I1191="","Not approved | ",IF(UPPER(TRIM(H1191))=UPPER(TRIM(I1191)),"Self-approved | ",""))&amp;IF(J1191="","No support | ","")&amp;IF(WEEKDAY(B1191,2)&gt;5,"Weekend posting | ","")&amp;IF(COUNTIF(Settings!$A$14:$A$43,B1191)&gt;0,"Holiday posting | ","")&amp;IF(B1191&gt;Settings!$C$8,"Posted after close | ","")&amp;IF(OR(B1191&lt;Settings!$C$6,B1191&gt;Settings!$C$7),"Outside period | ","")&amp;IF(COUNTIF(Settings!$E$14:$E$43,C1191&amp;"")&gt;0,"Sensitive account | ","")&amp;IF(AND(MAX(N(E1191),N(F1191))&gt;=Settings!$C$9,MOD(MAX(N(E1191),N(F1191)),Settings!$C$10)=0),"Round amount | ",""),LEN(IF(K1191="No","Does not balance | ","")&amp;IF(I1191="","Not approved | ",IF(UPPER(TRIM(H1191))=UPPER(TRIM(I1191)),"Self-approved | ",""))&amp;IF(J1191="","No support | ","")&amp;IF(WEEKDAY(B1191,2)&gt;5,"Weekend posting | ","")&amp;IF(COUNTIF(Settings!$A$14:$A$43,B1191)&gt;0,"Holiday posting | ","")&amp;IF(B1191&gt;Settings!$C$8,"Posted after close | ","")&amp;IF(OR(B1191&lt;Settings!$C$6,B1191&gt;Settings!$C$7),"Outside period | ","")&amp;IF(COUNTIF(Settings!$E$14:$E$43,C1191&amp;"")&gt;0,"Sensitive account | ","")&amp;IF(AND(MAX(N(E1191),N(F1191))&gt;=Settings!$C$9,MOD(MAX(N(E1191),N(F1191)),Settings!$C$10)=0),"Round amount | ",""))-3)))</f>
        <v/>
      </c>
      <c r="M1191" s="21" t="str">
        <f aca="false">IF(A1191="","",IF(COUNTIF($A$9:A1191,A1191)=1,MAX($M$8:M1190)+1,""))</f>
        <v/>
      </c>
    </row>
    <row r="1192" customFormat="false" ht="15" hidden="false" customHeight="false" outlineLevel="0" collapsed="false">
      <c r="A1192" s="8"/>
      <c r="B1192" s="17"/>
      <c r="C1192" s="19"/>
      <c r="D1192" s="8"/>
      <c r="E1192" s="18"/>
      <c r="F1192" s="18"/>
      <c r="G1192" s="8"/>
      <c r="H1192" s="8"/>
      <c r="I1192" s="8"/>
      <c r="J1192" s="8"/>
      <c r="K1192" s="10" t="str">
        <f aca="false">IF(A1192="","",IF(ABS(SUMIFS($E$9:$E$2008,$A$9:$A$2008,A1192)-SUMIFS($F$9:$F$2008,$A$9:$A$2008,A1192))&lt;0.5,"Yes","No"))</f>
        <v/>
      </c>
      <c r="L1192" s="10" t="str">
        <f aca="false">IF(A1192="","",IF(IF(K1192="No","Does not balance | ","")&amp;IF(I1192="","Not approved | ",IF(UPPER(TRIM(H1192))=UPPER(TRIM(I1192)),"Self-approved | ",""))&amp;IF(J1192="","No support | ","")&amp;IF(WEEKDAY(B1192,2)&gt;5,"Weekend posting | ","")&amp;IF(COUNTIF(Settings!$A$14:$A$43,B1192)&gt;0,"Holiday posting | ","")&amp;IF(B1192&gt;Settings!$C$8,"Posted after close | ","")&amp;IF(OR(B1192&lt;Settings!$C$6,B1192&gt;Settings!$C$7),"Outside period | ","")&amp;IF(COUNTIF(Settings!$E$14:$E$43,C1192&amp;"")&gt;0,"Sensitive account | ","")&amp;IF(AND(MAX(N(E1192),N(F1192))&gt;=Settings!$C$9,MOD(MAX(N(E1192),N(F1192)),Settings!$C$10)=0),"Round amount | ","")="","",LEFT(IF(K1192="No","Does not balance | ","")&amp;IF(I1192="","Not approved | ",IF(UPPER(TRIM(H1192))=UPPER(TRIM(I1192)),"Self-approved | ",""))&amp;IF(J1192="","No support | ","")&amp;IF(WEEKDAY(B1192,2)&gt;5,"Weekend posting | ","")&amp;IF(COUNTIF(Settings!$A$14:$A$43,B1192)&gt;0,"Holiday posting | ","")&amp;IF(B1192&gt;Settings!$C$8,"Posted after close | ","")&amp;IF(OR(B1192&lt;Settings!$C$6,B1192&gt;Settings!$C$7),"Outside period | ","")&amp;IF(COUNTIF(Settings!$E$14:$E$43,C1192&amp;"")&gt;0,"Sensitive account | ","")&amp;IF(AND(MAX(N(E1192),N(F1192))&gt;=Settings!$C$9,MOD(MAX(N(E1192),N(F1192)),Settings!$C$10)=0),"Round amount | ",""),LEN(IF(K1192="No","Does not balance | ","")&amp;IF(I1192="","Not approved | ",IF(UPPER(TRIM(H1192))=UPPER(TRIM(I1192)),"Self-approved | ",""))&amp;IF(J1192="","No support | ","")&amp;IF(WEEKDAY(B1192,2)&gt;5,"Weekend posting | ","")&amp;IF(COUNTIF(Settings!$A$14:$A$43,B1192)&gt;0,"Holiday posting | ","")&amp;IF(B1192&gt;Settings!$C$8,"Posted after close | ","")&amp;IF(OR(B1192&lt;Settings!$C$6,B1192&gt;Settings!$C$7),"Outside period | ","")&amp;IF(COUNTIF(Settings!$E$14:$E$43,C1192&amp;"")&gt;0,"Sensitive account | ","")&amp;IF(AND(MAX(N(E1192),N(F1192))&gt;=Settings!$C$9,MOD(MAX(N(E1192),N(F1192)),Settings!$C$10)=0),"Round amount | ",""))-3)))</f>
        <v/>
      </c>
      <c r="M1192" s="21" t="str">
        <f aca="false">IF(A1192="","",IF(COUNTIF($A$9:A1192,A1192)=1,MAX($M$8:M1191)+1,""))</f>
        <v/>
      </c>
    </row>
    <row r="1193" customFormat="false" ht="15" hidden="false" customHeight="false" outlineLevel="0" collapsed="false">
      <c r="A1193" s="8"/>
      <c r="B1193" s="17"/>
      <c r="C1193" s="19"/>
      <c r="D1193" s="8"/>
      <c r="E1193" s="18"/>
      <c r="F1193" s="18"/>
      <c r="G1193" s="8"/>
      <c r="H1193" s="8"/>
      <c r="I1193" s="8"/>
      <c r="J1193" s="8"/>
      <c r="K1193" s="10" t="str">
        <f aca="false">IF(A1193="","",IF(ABS(SUMIFS($E$9:$E$2008,$A$9:$A$2008,A1193)-SUMIFS($F$9:$F$2008,$A$9:$A$2008,A1193))&lt;0.5,"Yes","No"))</f>
        <v/>
      </c>
      <c r="L1193" s="10" t="str">
        <f aca="false">IF(A1193="","",IF(IF(K1193="No","Does not balance | ","")&amp;IF(I1193="","Not approved | ",IF(UPPER(TRIM(H1193))=UPPER(TRIM(I1193)),"Self-approved | ",""))&amp;IF(J1193="","No support | ","")&amp;IF(WEEKDAY(B1193,2)&gt;5,"Weekend posting | ","")&amp;IF(COUNTIF(Settings!$A$14:$A$43,B1193)&gt;0,"Holiday posting | ","")&amp;IF(B1193&gt;Settings!$C$8,"Posted after close | ","")&amp;IF(OR(B1193&lt;Settings!$C$6,B1193&gt;Settings!$C$7),"Outside period | ","")&amp;IF(COUNTIF(Settings!$E$14:$E$43,C1193&amp;"")&gt;0,"Sensitive account | ","")&amp;IF(AND(MAX(N(E1193),N(F1193))&gt;=Settings!$C$9,MOD(MAX(N(E1193),N(F1193)),Settings!$C$10)=0),"Round amount | ","")="","",LEFT(IF(K1193="No","Does not balance | ","")&amp;IF(I1193="","Not approved | ",IF(UPPER(TRIM(H1193))=UPPER(TRIM(I1193)),"Self-approved | ",""))&amp;IF(J1193="","No support | ","")&amp;IF(WEEKDAY(B1193,2)&gt;5,"Weekend posting | ","")&amp;IF(COUNTIF(Settings!$A$14:$A$43,B1193)&gt;0,"Holiday posting | ","")&amp;IF(B1193&gt;Settings!$C$8,"Posted after close | ","")&amp;IF(OR(B1193&lt;Settings!$C$6,B1193&gt;Settings!$C$7),"Outside period | ","")&amp;IF(COUNTIF(Settings!$E$14:$E$43,C1193&amp;"")&gt;0,"Sensitive account | ","")&amp;IF(AND(MAX(N(E1193),N(F1193))&gt;=Settings!$C$9,MOD(MAX(N(E1193),N(F1193)),Settings!$C$10)=0),"Round amount | ",""),LEN(IF(K1193="No","Does not balance | ","")&amp;IF(I1193="","Not approved | ",IF(UPPER(TRIM(H1193))=UPPER(TRIM(I1193)),"Self-approved | ",""))&amp;IF(J1193="","No support | ","")&amp;IF(WEEKDAY(B1193,2)&gt;5,"Weekend posting | ","")&amp;IF(COUNTIF(Settings!$A$14:$A$43,B1193)&gt;0,"Holiday posting | ","")&amp;IF(B1193&gt;Settings!$C$8,"Posted after close | ","")&amp;IF(OR(B1193&lt;Settings!$C$6,B1193&gt;Settings!$C$7),"Outside period | ","")&amp;IF(COUNTIF(Settings!$E$14:$E$43,C1193&amp;"")&gt;0,"Sensitive account | ","")&amp;IF(AND(MAX(N(E1193),N(F1193))&gt;=Settings!$C$9,MOD(MAX(N(E1193),N(F1193)),Settings!$C$10)=0),"Round amount | ",""))-3)))</f>
        <v/>
      </c>
      <c r="M1193" s="21" t="str">
        <f aca="false">IF(A1193="","",IF(COUNTIF($A$9:A1193,A1193)=1,MAX($M$8:M1192)+1,""))</f>
        <v/>
      </c>
    </row>
    <row r="1194" customFormat="false" ht="15" hidden="false" customHeight="false" outlineLevel="0" collapsed="false">
      <c r="A1194" s="8"/>
      <c r="B1194" s="17"/>
      <c r="C1194" s="19"/>
      <c r="D1194" s="8"/>
      <c r="E1194" s="18"/>
      <c r="F1194" s="18"/>
      <c r="G1194" s="8"/>
      <c r="H1194" s="8"/>
      <c r="I1194" s="8"/>
      <c r="J1194" s="8"/>
      <c r="K1194" s="10" t="str">
        <f aca="false">IF(A1194="","",IF(ABS(SUMIFS($E$9:$E$2008,$A$9:$A$2008,A1194)-SUMIFS($F$9:$F$2008,$A$9:$A$2008,A1194))&lt;0.5,"Yes","No"))</f>
        <v/>
      </c>
      <c r="L1194" s="10" t="str">
        <f aca="false">IF(A1194="","",IF(IF(K1194="No","Does not balance | ","")&amp;IF(I1194="","Not approved | ",IF(UPPER(TRIM(H1194))=UPPER(TRIM(I1194)),"Self-approved | ",""))&amp;IF(J1194="","No support | ","")&amp;IF(WEEKDAY(B1194,2)&gt;5,"Weekend posting | ","")&amp;IF(COUNTIF(Settings!$A$14:$A$43,B1194)&gt;0,"Holiday posting | ","")&amp;IF(B1194&gt;Settings!$C$8,"Posted after close | ","")&amp;IF(OR(B1194&lt;Settings!$C$6,B1194&gt;Settings!$C$7),"Outside period | ","")&amp;IF(COUNTIF(Settings!$E$14:$E$43,C1194&amp;"")&gt;0,"Sensitive account | ","")&amp;IF(AND(MAX(N(E1194),N(F1194))&gt;=Settings!$C$9,MOD(MAX(N(E1194),N(F1194)),Settings!$C$10)=0),"Round amount | ","")="","",LEFT(IF(K1194="No","Does not balance | ","")&amp;IF(I1194="","Not approved | ",IF(UPPER(TRIM(H1194))=UPPER(TRIM(I1194)),"Self-approved | ",""))&amp;IF(J1194="","No support | ","")&amp;IF(WEEKDAY(B1194,2)&gt;5,"Weekend posting | ","")&amp;IF(COUNTIF(Settings!$A$14:$A$43,B1194)&gt;0,"Holiday posting | ","")&amp;IF(B1194&gt;Settings!$C$8,"Posted after close | ","")&amp;IF(OR(B1194&lt;Settings!$C$6,B1194&gt;Settings!$C$7),"Outside period | ","")&amp;IF(COUNTIF(Settings!$E$14:$E$43,C1194&amp;"")&gt;0,"Sensitive account | ","")&amp;IF(AND(MAX(N(E1194),N(F1194))&gt;=Settings!$C$9,MOD(MAX(N(E1194),N(F1194)),Settings!$C$10)=0),"Round amount | ",""),LEN(IF(K1194="No","Does not balance | ","")&amp;IF(I1194="","Not approved | ",IF(UPPER(TRIM(H1194))=UPPER(TRIM(I1194)),"Self-approved | ",""))&amp;IF(J1194="","No support | ","")&amp;IF(WEEKDAY(B1194,2)&gt;5,"Weekend posting | ","")&amp;IF(COUNTIF(Settings!$A$14:$A$43,B1194)&gt;0,"Holiday posting | ","")&amp;IF(B1194&gt;Settings!$C$8,"Posted after close | ","")&amp;IF(OR(B1194&lt;Settings!$C$6,B1194&gt;Settings!$C$7),"Outside period | ","")&amp;IF(COUNTIF(Settings!$E$14:$E$43,C1194&amp;"")&gt;0,"Sensitive account | ","")&amp;IF(AND(MAX(N(E1194),N(F1194))&gt;=Settings!$C$9,MOD(MAX(N(E1194),N(F1194)),Settings!$C$10)=0),"Round amount | ",""))-3)))</f>
        <v/>
      </c>
      <c r="M1194" s="21" t="str">
        <f aca="false">IF(A1194="","",IF(COUNTIF($A$9:A1194,A1194)=1,MAX($M$8:M1193)+1,""))</f>
        <v/>
      </c>
    </row>
    <row r="1195" customFormat="false" ht="15" hidden="false" customHeight="false" outlineLevel="0" collapsed="false">
      <c r="A1195" s="8"/>
      <c r="B1195" s="17"/>
      <c r="C1195" s="19"/>
      <c r="D1195" s="8"/>
      <c r="E1195" s="18"/>
      <c r="F1195" s="18"/>
      <c r="G1195" s="8"/>
      <c r="H1195" s="8"/>
      <c r="I1195" s="8"/>
      <c r="J1195" s="8"/>
      <c r="K1195" s="10" t="str">
        <f aca="false">IF(A1195="","",IF(ABS(SUMIFS($E$9:$E$2008,$A$9:$A$2008,A1195)-SUMIFS($F$9:$F$2008,$A$9:$A$2008,A1195))&lt;0.5,"Yes","No"))</f>
        <v/>
      </c>
      <c r="L1195" s="10" t="str">
        <f aca="false">IF(A1195="","",IF(IF(K1195="No","Does not balance | ","")&amp;IF(I1195="","Not approved | ",IF(UPPER(TRIM(H1195))=UPPER(TRIM(I1195)),"Self-approved | ",""))&amp;IF(J1195="","No support | ","")&amp;IF(WEEKDAY(B1195,2)&gt;5,"Weekend posting | ","")&amp;IF(COUNTIF(Settings!$A$14:$A$43,B1195)&gt;0,"Holiday posting | ","")&amp;IF(B1195&gt;Settings!$C$8,"Posted after close | ","")&amp;IF(OR(B1195&lt;Settings!$C$6,B1195&gt;Settings!$C$7),"Outside period | ","")&amp;IF(COUNTIF(Settings!$E$14:$E$43,C1195&amp;"")&gt;0,"Sensitive account | ","")&amp;IF(AND(MAX(N(E1195),N(F1195))&gt;=Settings!$C$9,MOD(MAX(N(E1195),N(F1195)),Settings!$C$10)=0),"Round amount | ","")="","",LEFT(IF(K1195="No","Does not balance | ","")&amp;IF(I1195="","Not approved | ",IF(UPPER(TRIM(H1195))=UPPER(TRIM(I1195)),"Self-approved | ",""))&amp;IF(J1195="","No support | ","")&amp;IF(WEEKDAY(B1195,2)&gt;5,"Weekend posting | ","")&amp;IF(COUNTIF(Settings!$A$14:$A$43,B1195)&gt;0,"Holiday posting | ","")&amp;IF(B1195&gt;Settings!$C$8,"Posted after close | ","")&amp;IF(OR(B1195&lt;Settings!$C$6,B1195&gt;Settings!$C$7),"Outside period | ","")&amp;IF(COUNTIF(Settings!$E$14:$E$43,C1195&amp;"")&gt;0,"Sensitive account | ","")&amp;IF(AND(MAX(N(E1195),N(F1195))&gt;=Settings!$C$9,MOD(MAX(N(E1195),N(F1195)),Settings!$C$10)=0),"Round amount | ",""),LEN(IF(K1195="No","Does not balance | ","")&amp;IF(I1195="","Not approved | ",IF(UPPER(TRIM(H1195))=UPPER(TRIM(I1195)),"Self-approved | ",""))&amp;IF(J1195="","No support | ","")&amp;IF(WEEKDAY(B1195,2)&gt;5,"Weekend posting | ","")&amp;IF(COUNTIF(Settings!$A$14:$A$43,B1195)&gt;0,"Holiday posting | ","")&amp;IF(B1195&gt;Settings!$C$8,"Posted after close | ","")&amp;IF(OR(B1195&lt;Settings!$C$6,B1195&gt;Settings!$C$7),"Outside period | ","")&amp;IF(COUNTIF(Settings!$E$14:$E$43,C1195&amp;"")&gt;0,"Sensitive account | ","")&amp;IF(AND(MAX(N(E1195),N(F1195))&gt;=Settings!$C$9,MOD(MAX(N(E1195),N(F1195)),Settings!$C$10)=0),"Round amount | ",""))-3)))</f>
        <v/>
      </c>
      <c r="M1195" s="21" t="str">
        <f aca="false">IF(A1195="","",IF(COUNTIF($A$9:A1195,A1195)=1,MAX($M$8:M1194)+1,""))</f>
        <v/>
      </c>
    </row>
    <row r="1196" customFormat="false" ht="15" hidden="false" customHeight="false" outlineLevel="0" collapsed="false">
      <c r="A1196" s="8"/>
      <c r="B1196" s="17"/>
      <c r="C1196" s="19"/>
      <c r="D1196" s="8"/>
      <c r="E1196" s="18"/>
      <c r="F1196" s="18"/>
      <c r="G1196" s="8"/>
      <c r="H1196" s="8"/>
      <c r="I1196" s="8"/>
      <c r="J1196" s="8"/>
      <c r="K1196" s="10" t="str">
        <f aca="false">IF(A1196="","",IF(ABS(SUMIFS($E$9:$E$2008,$A$9:$A$2008,A1196)-SUMIFS($F$9:$F$2008,$A$9:$A$2008,A1196))&lt;0.5,"Yes","No"))</f>
        <v/>
      </c>
      <c r="L1196" s="10" t="str">
        <f aca="false">IF(A1196="","",IF(IF(K1196="No","Does not balance | ","")&amp;IF(I1196="","Not approved | ",IF(UPPER(TRIM(H1196))=UPPER(TRIM(I1196)),"Self-approved | ",""))&amp;IF(J1196="","No support | ","")&amp;IF(WEEKDAY(B1196,2)&gt;5,"Weekend posting | ","")&amp;IF(COUNTIF(Settings!$A$14:$A$43,B1196)&gt;0,"Holiday posting | ","")&amp;IF(B1196&gt;Settings!$C$8,"Posted after close | ","")&amp;IF(OR(B1196&lt;Settings!$C$6,B1196&gt;Settings!$C$7),"Outside period | ","")&amp;IF(COUNTIF(Settings!$E$14:$E$43,C1196&amp;"")&gt;0,"Sensitive account | ","")&amp;IF(AND(MAX(N(E1196),N(F1196))&gt;=Settings!$C$9,MOD(MAX(N(E1196),N(F1196)),Settings!$C$10)=0),"Round amount | ","")="","",LEFT(IF(K1196="No","Does not balance | ","")&amp;IF(I1196="","Not approved | ",IF(UPPER(TRIM(H1196))=UPPER(TRIM(I1196)),"Self-approved | ",""))&amp;IF(J1196="","No support | ","")&amp;IF(WEEKDAY(B1196,2)&gt;5,"Weekend posting | ","")&amp;IF(COUNTIF(Settings!$A$14:$A$43,B1196)&gt;0,"Holiday posting | ","")&amp;IF(B1196&gt;Settings!$C$8,"Posted after close | ","")&amp;IF(OR(B1196&lt;Settings!$C$6,B1196&gt;Settings!$C$7),"Outside period | ","")&amp;IF(COUNTIF(Settings!$E$14:$E$43,C1196&amp;"")&gt;0,"Sensitive account | ","")&amp;IF(AND(MAX(N(E1196),N(F1196))&gt;=Settings!$C$9,MOD(MAX(N(E1196),N(F1196)),Settings!$C$10)=0),"Round amount | ",""),LEN(IF(K1196="No","Does not balance | ","")&amp;IF(I1196="","Not approved | ",IF(UPPER(TRIM(H1196))=UPPER(TRIM(I1196)),"Self-approved | ",""))&amp;IF(J1196="","No support | ","")&amp;IF(WEEKDAY(B1196,2)&gt;5,"Weekend posting | ","")&amp;IF(COUNTIF(Settings!$A$14:$A$43,B1196)&gt;0,"Holiday posting | ","")&amp;IF(B1196&gt;Settings!$C$8,"Posted after close | ","")&amp;IF(OR(B1196&lt;Settings!$C$6,B1196&gt;Settings!$C$7),"Outside period | ","")&amp;IF(COUNTIF(Settings!$E$14:$E$43,C1196&amp;"")&gt;0,"Sensitive account | ","")&amp;IF(AND(MAX(N(E1196),N(F1196))&gt;=Settings!$C$9,MOD(MAX(N(E1196),N(F1196)),Settings!$C$10)=0),"Round amount | ",""))-3)))</f>
        <v/>
      </c>
      <c r="M1196" s="21" t="str">
        <f aca="false">IF(A1196="","",IF(COUNTIF($A$9:A1196,A1196)=1,MAX($M$8:M1195)+1,""))</f>
        <v/>
      </c>
    </row>
    <row r="1197" customFormat="false" ht="15" hidden="false" customHeight="false" outlineLevel="0" collapsed="false">
      <c r="A1197" s="8"/>
      <c r="B1197" s="17"/>
      <c r="C1197" s="19"/>
      <c r="D1197" s="8"/>
      <c r="E1197" s="18"/>
      <c r="F1197" s="18"/>
      <c r="G1197" s="8"/>
      <c r="H1197" s="8"/>
      <c r="I1197" s="8"/>
      <c r="J1197" s="8"/>
      <c r="K1197" s="10" t="str">
        <f aca="false">IF(A1197="","",IF(ABS(SUMIFS($E$9:$E$2008,$A$9:$A$2008,A1197)-SUMIFS($F$9:$F$2008,$A$9:$A$2008,A1197))&lt;0.5,"Yes","No"))</f>
        <v/>
      </c>
      <c r="L1197" s="10" t="str">
        <f aca="false">IF(A1197="","",IF(IF(K1197="No","Does not balance | ","")&amp;IF(I1197="","Not approved | ",IF(UPPER(TRIM(H1197))=UPPER(TRIM(I1197)),"Self-approved | ",""))&amp;IF(J1197="","No support | ","")&amp;IF(WEEKDAY(B1197,2)&gt;5,"Weekend posting | ","")&amp;IF(COUNTIF(Settings!$A$14:$A$43,B1197)&gt;0,"Holiday posting | ","")&amp;IF(B1197&gt;Settings!$C$8,"Posted after close | ","")&amp;IF(OR(B1197&lt;Settings!$C$6,B1197&gt;Settings!$C$7),"Outside period | ","")&amp;IF(COUNTIF(Settings!$E$14:$E$43,C1197&amp;"")&gt;0,"Sensitive account | ","")&amp;IF(AND(MAX(N(E1197),N(F1197))&gt;=Settings!$C$9,MOD(MAX(N(E1197),N(F1197)),Settings!$C$10)=0),"Round amount | ","")="","",LEFT(IF(K1197="No","Does not balance | ","")&amp;IF(I1197="","Not approved | ",IF(UPPER(TRIM(H1197))=UPPER(TRIM(I1197)),"Self-approved | ",""))&amp;IF(J1197="","No support | ","")&amp;IF(WEEKDAY(B1197,2)&gt;5,"Weekend posting | ","")&amp;IF(COUNTIF(Settings!$A$14:$A$43,B1197)&gt;0,"Holiday posting | ","")&amp;IF(B1197&gt;Settings!$C$8,"Posted after close | ","")&amp;IF(OR(B1197&lt;Settings!$C$6,B1197&gt;Settings!$C$7),"Outside period | ","")&amp;IF(COUNTIF(Settings!$E$14:$E$43,C1197&amp;"")&gt;0,"Sensitive account | ","")&amp;IF(AND(MAX(N(E1197),N(F1197))&gt;=Settings!$C$9,MOD(MAX(N(E1197),N(F1197)),Settings!$C$10)=0),"Round amount | ",""),LEN(IF(K1197="No","Does not balance | ","")&amp;IF(I1197="","Not approved | ",IF(UPPER(TRIM(H1197))=UPPER(TRIM(I1197)),"Self-approved | ",""))&amp;IF(J1197="","No support | ","")&amp;IF(WEEKDAY(B1197,2)&gt;5,"Weekend posting | ","")&amp;IF(COUNTIF(Settings!$A$14:$A$43,B1197)&gt;0,"Holiday posting | ","")&amp;IF(B1197&gt;Settings!$C$8,"Posted after close | ","")&amp;IF(OR(B1197&lt;Settings!$C$6,B1197&gt;Settings!$C$7),"Outside period | ","")&amp;IF(COUNTIF(Settings!$E$14:$E$43,C1197&amp;"")&gt;0,"Sensitive account | ","")&amp;IF(AND(MAX(N(E1197),N(F1197))&gt;=Settings!$C$9,MOD(MAX(N(E1197),N(F1197)),Settings!$C$10)=0),"Round amount | ",""))-3)))</f>
        <v/>
      </c>
      <c r="M1197" s="21" t="str">
        <f aca="false">IF(A1197="","",IF(COUNTIF($A$9:A1197,A1197)=1,MAX($M$8:M1196)+1,""))</f>
        <v/>
      </c>
    </row>
    <row r="1198" customFormat="false" ht="15" hidden="false" customHeight="false" outlineLevel="0" collapsed="false">
      <c r="A1198" s="8"/>
      <c r="B1198" s="17"/>
      <c r="C1198" s="19"/>
      <c r="D1198" s="8"/>
      <c r="E1198" s="18"/>
      <c r="F1198" s="18"/>
      <c r="G1198" s="8"/>
      <c r="H1198" s="8"/>
      <c r="I1198" s="8"/>
      <c r="J1198" s="8"/>
      <c r="K1198" s="10" t="str">
        <f aca="false">IF(A1198="","",IF(ABS(SUMIFS($E$9:$E$2008,$A$9:$A$2008,A1198)-SUMIFS($F$9:$F$2008,$A$9:$A$2008,A1198))&lt;0.5,"Yes","No"))</f>
        <v/>
      </c>
      <c r="L1198" s="10" t="str">
        <f aca="false">IF(A1198="","",IF(IF(K1198="No","Does not balance | ","")&amp;IF(I1198="","Not approved | ",IF(UPPER(TRIM(H1198))=UPPER(TRIM(I1198)),"Self-approved | ",""))&amp;IF(J1198="","No support | ","")&amp;IF(WEEKDAY(B1198,2)&gt;5,"Weekend posting | ","")&amp;IF(COUNTIF(Settings!$A$14:$A$43,B1198)&gt;0,"Holiday posting | ","")&amp;IF(B1198&gt;Settings!$C$8,"Posted after close | ","")&amp;IF(OR(B1198&lt;Settings!$C$6,B1198&gt;Settings!$C$7),"Outside period | ","")&amp;IF(COUNTIF(Settings!$E$14:$E$43,C1198&amp;"")&gt;0,"Sensitive account | ","")&amp;IF(AND(MAX(N(E1198),N(F1198))&gt;=Settings!$C$9,MOD(MAX(N(E1198),N(F1198)),Settings!$C$10)=0),"Round amount | ","")="","",LEFT(IF(K1198="No","Does not balance | ","")&amp;IF(I1198="","Not approved | ",IF(UPPER(TRIM(H1198))=UPPER(TRIM(I1198)),"Self-approved | ",""))&amp;IF(J1198="","No support | ","")&amp;IF(WEEKDAY(B1198,2)&gt;5,"Weekend posting | ","")&amp;IF(COUNTIF(Settings!$A$14:$A$43,B1198)&gt;0,"Holiday posting | ","")&amp;IF(B1198&gt;Settings!$C$8,"Posted after close | ","")&amp;IF(OR(B1198&lt;Settings!$C$6,B1198&gt;Settings!$C$7),"Outside period | ","")&amp;IF(COUNTIF(Settings!$E$14:$E$43,C1198&amp;"")&gt;0,"Sensitive account | ","")&amp;IF(AND(MAX(N(E1198),N(F1198))&gt;=Settings!$C$9,MOD(MAX(N(E1198),N(F1198)),Settings!$C$10)=0),"Round amount | ",""),LEN(IF(K1198="No","Does not balance | ","")&amp;IF(I1198="","Not approved | ",IF(UPPER(TRIM(H1198))=UPPER(TRIM(I1198)),"Self-approved | ",""))&amp;IF(J1198="","No support | ","")&amp;IF(WEEKDAY(B1198,2)&gt;5,"Weekend posting | ","")&amp;IF(COUNTIF(Settings!$A$14:$A$43,B1198)&gt;0,"Holiday posting | ","")&amp;IF(B1198&gt;Settings!$C$8,"Posted after close | ","")&amp;IF(OR(B1198&lt;Settings!$C$6,B1198&gt;Settings!$C$7),"Outside period | ","")&amp;IF(COUNTIF(Settings!$E$14:$E$43,C1198&amp;"")&gt;0,"Sensitive account | ","")&amp;IF(AND(MAX(N(E1198),N(F1198))&gt;=Settings!$C$9,MOD(MAX(N(E1198),N(F1198)),Settings!$C$10)=0),"Round amount | ",""))-3)))</f>
        <v/>
      </c>
      <c r="M1198" s="21" t="str">
        <f aca="false">IF(A1198="","",IF(COUNTIF($A$9:A1198,A1198)=1,MAX($M$8:M1197)+1,""))</f>
        <v/>
      </c>
    </row>
    <row r="1199" customFormat="false" ht="15" hidden="false" customHeight="false" outlineLevel="0" collapsed="false">
      <c r="A1199" s="8"/>
      <c r="B1199" s="17"/>
      <c r="C1199" s="19"/>
      <c r="D1199" s="8"/>
      <c r="E1199" s="18"/>
      <c r="F1199" s="18"/>
      <c r="G1199" s="8"/>
      <c r="H1199" s="8"/>
      <c r="I1199" s="8"/>
      <c r="J1199" s="8"/>
      <c r="K1199" s="10" t="str">
        <f aca="false">IF(A1199="","",IF(ABS(SUMIFS($E$9:$E$2008,$A$9:$A$2008,A1199)-SUMIFS($F$9:$F$2008,$A$9:$A$2008,A1199))&lt;0.5,"Yes","No"))</f>
        <v/>
      </c>
      <c r="L1199" s="10" t="str">
        <f aca="false">IF(A1199="","",IF(IF(K1199="No","Does not balance | ","")&amp;IF(I1199="","Not approved | ",IF(UPPER(TRIM(H1199))=UPPER(TRIM(I1199)),"Self-approved | ",""))&amp;IF(J1199="","No support | ","")&amp;IF(WEEKDAY(B1199,2)&gt;5,"Weekend posting | ","")&amp;IF(COUNTIF(Settings!$A$14:$A$43,B1199)&gt;0,"Holiday posting | ","")&amp;IF(B1199&gt;Settings!$C$8,"Posted after close | ","")&amp;IF(OR(B1199&lt;Settings!$C$6,B1199&gt;Settings!$C$7),"Outside period | ","")&amp;IF(COUNTIF(Settings!$E$14:$E$43,C1199&amp;"")&gt;0,"Sensitive account | ","")&amp;IF(AND(MAX(N(E1199),N(F1199))&gt;=Settings!$C$9,MOD(MAX(N(E1199),N(F1199)),Settings!$C$10)=0),"Round amount | ","")="","",LEFT(IF(K1199="No","Does not balance | ","")&amp;IF(I1199="","Not approved | ",IF(UPPER(TRIM(H1199))=UPPER(TRIM(I1199)),"Self-approved | ",""))&amp;IF(J1199="","No support | ","")&amp;IF(WEEKDAY(B1199,2)&gt;5,"Weekend posting | ","")&amp;IF(COUNTIF(Settings!$A$14:$A$43,B1199)&gt;0,"Holiday posting | ","")&amp;IF(B1199&gt;Settings!$C$8,"Posted after close | ","")&amp;IF(OR(B1199&lt;Settings!$C$6,B1199&gt;Settings!$C$7),"Outside period | ","")&amp;IF(COUNTIF(Settings!$E$14:$E$43,C1199&amp;"")&gt;0,"Sensitive account | ","")&amp;IF(AND(MAX(N(E1199),N(F1199))&gt;=Settings!$C$9,MOD(MAX(N(E1199),N(F1199)),Settings!$C$10)=0),"Round amount | ",""),LEN(IF(K1199="No","Does not balance | ","")&amp;IF(I1199="","Not approved | ",IF(UPPER(TRIM(H1199))=UPPER(TRIM(I1199)),"Self-approved | ",""))&amp;IF(J1199="","No support | ","")&amp;IF(WEEKDAY(B1199,2)&gt;5,"Weekend posting | ","")&amp;IF(COUNTIF(Settings!$A$14:$A$43,B1199)&gt;0,"Holiday posting | ","")&amp;IF(B1199&gt;Settings!$C$8,"Posted after close | ","")&amp;IF(OR(B1199&lt;Settings!$C$6,B1199&gt;Settings!$C$7),"Outside period | ","")&amp;IF(COUNTIF(Settings!$E$14:$E$43,C1199&amp;"")&gt;0,"Sensitive account | ","")&amp;IF(AND(MAX(N(E1199),N(F1199))&gt;=Settings!$C$9,MOD(MAX(N(E1199),N(F1199)),Settings!$C$10)=0),"Round amount | ",""))-3)))</f>
        <v/>
      </c>
      <c r="M1199" s="21" t="str">
        <f aca="false">IF(A1199="","",IF(COUNTIF($A$9:A1199,A1199)=1,MAX($M$8:M1198)+1,""))</f>
        <v/>
      </c>
    </row>
    <row r="1200" customFormat="false" ht="15" hidden="false" customHeight="false" outlineLevel="0" collapsed="false">
      <c r="A1200" s="8"/>
      <c r="B1200" s="17"/>
      <c r="C1200" s="19"/>
      <c r="D1200" s="8"/>
      <c r="E1200" s="18"/>
      <c r="F1200" s="18"/>
      <c r="G1200" s="8"/>
      <c r="H1200" s="8"/>
      <c r="I1200" s="8"/>
      <c r="J1200" s="8"/>
      <c r="K1200" s="10" t="str">
        <f aca="false">IF(A1200="","",IF(ABS(SUMIFS($E$9:$E$2008,$A$9:$A$2008,A1200)-SUMIFS($F$9:$F$2008,$A$9:$A$2008,A1200))&lt;0.5,"Yes","No"))</f>
        <v/>
      </c>
      <c r="L1200" s="10" t="str">
        <f aca="false">IF(A1200="","",IF(IF(K1200="No","Does not balance | ","")&amp;IF(I1200="","Not approved | ",IF(UPPER(TRIM(H1200))=UPPER(TRIM(I1200)),"Self-approved | ",""))&amp;IF(J1200="","No support | ","")&amp;IF(WEEKDAY(B1200,2)&gt;5,"Weekend posting | ","")&amp;IF(COUNTIF(Settings!$A$14:$A$43,B1200)&gt;0,"Holiday posting | ","")&amp;IF(B1200&gt;Settings!$C$8,"Posted after close | ","")&amp;IF(OR(B1200&lt;Settings!$C$6,B1200&gt;Settings!$C$7),"Outside period | ","")&amp;IF(COUNTIF(Settings!$E$14:$E$43,C1200&amp;"")&gt;0,"Sensitive account | ","")&amp;IF(AND(MAX(N(E1200),N(F1200))&gt;=Settings!$C$9,MOD(MAX(N(E1200),N(F1200)),Settings!$C$10)=0),"Round amount | ","")="","",LEFT(IF(K1200="No","Does not balance | ","")&amp;IF(I1200="","Not approved | ",IF(UPPER(TRIM(H1200))=UPPER(TRIM(I1200)),"Self-approved | ",""))&amp;IF(J1200="","No support | ","")&amp;IF(WEEKDAY(B1200,2)&gt;5,"Weekend posting | ","")&amp;IF(COUNTIF(Settings!$A$14:$A$43,B1200)&gt;0,"Holiday posting | ","")&amp;IF(B1200&gt;Settings!$C$8,"Posted after close | ","")&amp;IF(OR(B1200&lt;Settings!$C$6,B1200&gt;Settings!$C$7),"Outside period | ","")&amp;IF(COUNTIF(Settings!$E$14:$E$43,C1200&amp;"")&gt;0,"Sensitive account | ","")&amp;IF(AND(MAX(N(E1200),N(F1200))&gt;=Settings!$C$9,MOD(MAX(N(E1200),N(F1200)),Settings!$C$10)=0),"Round amount | ",""),LEN(IF(K1200="No","Does not balance | ","")&amp;IF(I1200="","Not approved | ",IF(UPPER(TRIM(H1200))=UPPER(TRIM(I1200)),"Self-approved | ",""))&amp;IF(J1200="","No support | ","")&amp;IF(WEEKDAY(B1200,2)&gt;5,"Weekend posting | ","")&amp;IF(COUNTIF(Settings!$A$14:$A$43,B1200)&gt;0,"Holiday posting | ","")&amp;IF(B1200&gt;Settings!$C$8,"Posted after close | ","")&amp;IF(OR(B1200&lt;Settings!$C$6,B1200&gt;Settings!$C$7),"Outside period | ","")&amp;IF(COUNTIF(Settings!$E$14:$E$43,C1200&amp;"")&gt;0,"Sensitive account | ","")&amp;IF(AND(MAX(N(E1200),N(F1200))&gt;=Settings!$C$9,MOD(MAX(N(E1200),N(F1200)),Settings!$C$10)=0),"Round amount | ",""))-3)))</f>
        <v/>
      </c>
      <c r="M1200" s="21" t="str">
        <f aca="false">IF(A1200="","",IF(COUNTIF($A$9:A1200,A1200)=1,MAX($M$8:M1199)+1,""))</f>
        <v/>
      </c>
    </row>
    <row r="1201" customFormat="false" ht="15" hidden="false" customHeight="false" outlineLevel="0" collapsed="false">
      <c r="A1201" s="8"/>
      <c r="B1201" s="17"/>
      <c r="C1201" s="19"/>
      <c r="D1201" s="8"/>
      <c r="E1201" s="18"/>
      <c r="F1201" s="18"/>
      <c r="G1201" s="8"/>
      <c r="H1201" s="8"/>
      <c r="I1201" s="8"/>
      <c r="J1201" s="8"/>
      <c r="K1201" s="10" t="str">
        <f aca="false">IF(A1201="","",IF(ABS(SUMIFS($E$9:$E$2008,$A$9:$A$2008,A1201)-SUMIFS($F$9:$F$2008,$A$9:$A$2008,A1201))&lt;0.5,"Yes","No"))</f>
        <v/>
      </c>
      <c r="L1201" s="10" t="str">
        <f aca="false">IF(A1201="","",IF(IF(K1201="No","Does not balance | ","")&amp;IF(I1201="","Not approved | ",IF(UPPER(TRIM(H1201))=UPPER(TRIM(I1201)),"Self-approved | ",""))&amp;IF(J1201="","No support | ","")&amp;IF(WEEKDAY(B1201,2)&gt;5,"Weekend posting | ","")&amp;IF(COUNTIF(Settings!$A$14:$A$43,B1201)&gt;0,"Holiday posting | ","")&amp;IF(B1201&gt;Settings!$C$8,"Posted after close | ","")&amp;IF(OR(B1201&lt;Settings!$C$6,B1201&gt;Settings!$C$7),"Outside period | ","")&amp;IF(COUNTIF(Settings!$E$14:$E$43,C1201&amp;"")&gt;0,"Sensitive account | ","")&amp;IF(AND(MAX(N(E1201),N(F1201))&gt;=Settings!$C$9,MOD(MAX(N(E1201),N(F1201)),Settings!$C$10)=0),"Round amount | ","")="","",LEFT(IF(K1201="No","Does not balance | ","")&amp;IF(I1201="","Not approved | ",IF(UPPER(TRIM(H1201))=UPPER(TRIM(I1201)),"Self-approved | ",""))&amp;IF(J1201="","No support | ","")&amp;IF(WEEKDAY(B1201,2)&gt;5,"Weekend posting | ","")&amp;IF(COUNTIF(Settings!$A$14:$A$43,B1201)&gt;0,"Holiday posting | ","")&amp;IF(B1201&gt;Settings!$C$8,"Posted after close | ","")&amp;IF(OR(B1201&lt;Settings!$C$6,B1201&gt;Settings!$C$7),"Outside period | ","")&amp;IF(COUNTIF(Settings!$E$14:$E$43,C1201&amp;"")&gt;0,"Sensitive account | ","")&amp;IF(AND(MAX(N(E1201),N(F1201))&gt;=Settings!$C$9,MOD(MAX(N(E1201),N(F1201)),Settings!$C$10)=0),"Round amount | ",""),LEN(IF(K1201="No","Does not balance | ","")&amp;IF(I1201="","Not approved | ",IF(UPPER(TRIM(H1201))=UPPER(TRIM(I1201)),"Self-approved | ",""))&amp;IF(J1201="","No support | ","")&amp;IF(WEEKDAY(B1201,2)&gt;5,"Weekend posting | ","")&amp;IF(COUNTIF(Settings!$A$14:$A$43,B1201)&gt;0,"Holiday posting | ","")&amp;IF(B1201&gt;Settings!$C$8,"Posted after close | ","")&amp;IF(OR(B1201&lt;Settings!$C$6,B1201&gt;Settings!$C$7),"Outside period | ","")&amp;IF(COUNTIF(Settings!$E$14:$E$43,C1201&amp;"")&gt;0,"Sensitive account | ","")&amp;IF(AND(MAX(N(E1201),N(F1201))&gt;=Settings!$C$9,MOD(MAX(N(E1201),N(F1201)),Settings!$C$10)=0),"Round amount | ",""))-3)))</f>
        <v/>
      </c>
      <c r="M1201" s="21" t="str">
        <f aca="false">IF(A1201="","",IF(COUNTIF($A$9:A1201,A1201)=1,MAX($M$8:M1200)+1,""))</f>
        <v/>
      </c>
    </row>
    <row r="1202" customFormat="false" ht="15" hidden="false" customHeight="false" outlineLevel="0" collapsed="false">
      <c r="A1202" s="8"/>
      <c r="B1202" s="17"/>
      <c r="C1202" s="19"/>
      <c r="D1202" s="8"/>
      <c r="E1202" s="18"/>
      <c r="F1202" s="18"/>
      <c r="G1202" s="8"/>
      <c r="H1202" s="8"/>
      <c r="I1202" s="8"/>
      <c r="J1202" s="8"/>
      <c r="K1202" s="10" t="str">
        <f aca="false">IF(A1202="","",IF(ABS(SUMIFS($E$9:$E$2008,$A$9:$A$2008,A1202)-SUMIFS($F$9:$F$2008,$A$9:$A$2008,A1202))&lt;0.5,"Yes","No"))</f>
        <v/>
      </c>
      <c r="L1202" s="10" t="str">
        <f aca="false">IF(A1202="","",IF(IF(K1202="No","Does not balance | ","")&amp;IF(I1202="","Not approved | ",IF(UPPER(TRIM(H1202))=UPPER(TRIM(I1202)),"Self-approved | ",""))&amp;IF(J1202="","No support | ","")&amp;IF(WEEKDAY(B1202,2)&gt;5,"Weekend posting | ","")&amp;IF(COUNTIF(Settings!$A$14:$A$43,B1202)&gt;0,"Holiday posting | ","")&amp;IF(B1202&gt;Settings!$C$8,"Posted after close | ","")&amp;IF(OR(B1202&lt;Settings!$C$6,B1202&gt;Settings!$C$7),"Outside period | ","")&amp;IF(COUNTIF(Settings!$E$14:$E$43,C1202&amp;"")&gt;0,"Sensitive account | ","")&amp;IF(AND(MAX(N(E1202),N(F1202))&gt;=Settings!$C$9,MOD(MAX(N(E1202),N(F1202)),Settings!$C$10)=0),"Round amount | ","")="","",LEFT(IF(K1202="No","Does not balance | ","")&amp;IF(I1202="","Not approved | ",IF(UPPER(TRIM(H1202))=UPPER(TRIM(I1202)),"Self-approved | ",""))&amp;IF(J1202="","No support | ","")&amp;IF(WEEKDAY(B1202,2)&gt;5,"Weekend posting | ","")&amp;IF(COUNTIF(Settings!$A$14:$A$43,B1202)&gt;0,"Holiday posting | ","")&amp;IF(B1202&gt;Settings!$C$8,"Posted after close | ","")&amp;IF(OR(B1202&lt;Settings!$C$6,B1202&gt;Settings!$C$7),"Outside period | ","")&amp;IF(COUNTIF(Settings!$E$14:$E$43,C1202&amp;"")&gt;0,"Sensitive account | ","")&amp;IF(AND(MAX(N(E1202),N(F1202))&gt;=Settings!$C$9,MOD(MAX(N(E1202),N(F1202)),Settings!$C$10)=0),"Round amount | ",""),LEN(IF(K1202="No","Does not balance | ","")&amp;IF(I1202="","Not approved | ",IF(UPPER(TRIM(H1202))=UPPER(TRIM(I1202)),"Self-approved | ",""))&amp;IF(J1202="","No support | ","")&amp;IF(WEEKDAY(B1202,2)&gt;5,"Weekend posting | ","")&amp;IF(COUNTIF(Settings!$A$14:$A$43,B1202)&gt;0,"Holiday posting | ","")&amp;IF(B1202&gt;Settings!$C$8,"Posted after close | ","")&amp;IF(OR(B1202&lt;Settings!$C$6,B1202&gt;Settings!$C$7),"Outside period | ","")&amp;IF(COUNTIF(Settings!$E$14:$E$43,C1202&amp;"")&gt;0,"Sensitive account | ","")&amp;IF(AND(MAX(N(E1202),N(F1202))&gt;=Settings!$C$9,MOD(MAX(N(E1202),N(F1202)),Settings!$C$10)=0),"Round amount | ",""))-3)))</f>
        <v/>
      </c>
      <c r="M1202" s="21" t="str">
        <f aca="false">IF(A1202="","",IF(COUNTIF($A$9:A1202,A1202)=1,MAX($M$8:M1201)+1,""))</f>
        <v/>
      </c>
    </row>
    <row r="1203" customFormat="false" ht="15" hidden="false" customHeight="false" outlineLevel="0" collapsed="false">
      <c r="A1203" s="8"/>
      <c r="B1203" s="17"/>
      <c r="C1203" s="19"/>
      <c r="D1203" s="8"/>
      <c r="E1203" s="18"/>
      <c r="F1203" s="18"/>
      <c r="G1203" s="8"/>
      <c r="H1203" s="8"/>
      <c r="I1203" s="8"/>
      <c r="J1203" s="8"/>
      <c r="K1203" s="10" t="str">
        <f aca="false">IF(A1203="","",IF(ABS(SUMIFS($E$9:$E$2008,$A$9:$A$2008,A1203)-SUMIFS($F$9:$F$2008,$A$9:$A$2008,A1203))&lt;0.5,"Yes","No"))</f>
        <v/>
      </c>
      <c r="L1203" s="10" t="str">
        <f aca="false">IF(A1203="","",IF(IF(K1203="No","Does not balance | ","")&amp;IF(I1203="","Not approved | ",IF(UPPER(TRIM(H1203))=UPPER(TRIM(I1203)),"Self-approved | ",""))&amp;IF(J1203="","No support | ","")&amp;IF(WEEKDAY(B1203,2)&gt;5,"Weekend posting | ","")&amp;IF(COUNTIF(Settings!$A$14:$A$43,B1203)&gt;0,"Holiday posting | ","")&amp;IF(B1203&gt;Settings!$C$8,"Posted after close | ","")&amp;IF(OR(B1203&lt;Settings!$C$6,B1203&gt;Settings!$C$7),"Outside period | ","")&amp;IF(COUNTIF(Settings!$E$14:$E$43,C1203&amp;"")&gt;0,"Sensitive account | ","")&amp;IF(AND(MAX(N(E1203),N(F1203))&gt;=Settings!$C$9,MOD(MAX(N(E1203),N(F1203)),Settings!$C$10)=0),"Round amount | ","")="","",LEFT(IF(K1203="No","Does not balance | ","")&amp;IF(I1203="","Not approved | ",IF(UPPER(TRIM(H1203))=UPPER(TRIM(I1203)),"Self-approved | ",""))&amp;IF(J1203="","No support | ","")&amp;IF(WEEKDAY(B1203,2)&gt;5,"Weekend posting | ","")&amp;IF(COUNTIF(Settings!$A$14:$A$43,B1203)&gt;0,"Holiday posting | ","")&amp;IF(B1203&gt;Settings!$C$8,"Posted after close | ","")&amp;IF(OR(B1203&lt;Settings!$C$6,B1203&gt;Settings!$C$7),"Outside period | ","")&amp;IF(COUNTIF(Settings!$E$14:$E$43,C1203&amp;"")&gt;0,"Sensitive account | ","")&amp;IF(AND(MAX(N(E1203),N(F1203))&gt;=Settings!$C$9,MOD(MAX(N(E1203),N(F1203)),Settings!$C$10)=0),"Round amount | ",""),LEN(IF(K1203="No","Does not balance | ","")&amp;IF(I1203="","Not approved | ",IF(UPPER(TRIM(H1203))=UPPER(TRIM(I1203)),"Self-approved | ",""))&amp;IF(J1203="","No support | ","")&amp;IF(WEEKDAY(B1203,2)&gt;5,"Weekend posting | ","")&amp;IF(COUNTIF(Settings!$A$14:$A$43,B1203)&gt;0,"Holiday posting | ","")&amp;IF(B1203&gt;Settings!$C$8,"Posted after close | ","")&amp;IF(OR(B1203&lt;Settings!$C$6,B1203&gt;Settings!$C$7),"Outside period | ","")&amp;IF(COUNTIF(Settings!$E$14:$E$43,C1203&amp;"")&gt;0,"Sensitive account | ","")&amp;IF(AND(MAX(N(E1203),N(F1203))&gt;=Settings!$C$9,MOD(MAX(N(E1203),N(F1203)),Settings!$C$10)=0),"Round amount | ",""))-3)))</f>
        <v/>
      </c>
      <c r="M1203" s="21" t="str">
        <f aca="false">IF(A1203="","",IF(COUNTIF($A$9:A1203,A1203)=1,MAX($M$8:M1202)+1,""))</f>
        <v/>
      </c>
    </row>
    <row r="1204" customFormat="false" ht="15" hidden="false" customHeight="false" outlineLevel="0" collapsed="false">
      <c r="A1204" s="8"/>
      <c r="B1204" s="17"/>
      <c r="C1204" s="19"/>
      <c r="D1204" s="8"/>
      <c r="E1204" s="18"/>
      <c r="F1204" s="18"/>
      <c r="G1204" s="8"/>
      <c r="H1204" s="8"/>
      <c r="I1204" s="8"/>
      <c r="J1204" s="8"/>
      <c r="K1204" s="10" t="str">
        <f aca="false">IF(A1204="","",IF(ABS(SUMIFS($E$9:$E$2008,$A$9:$A$2008,A1204)-SUMIFS($F$9:$F$2008,$A$9:$A$2008,A1204))&lt;0.5,"Yes","No"))</f>
        <v/>
      </c>
      <c r="L1204" s="10" t="str">
        <f aca="false">IF(A1204="","",IF(IF(K1204="No","Does not balance | ","")&amp;IF(I1204="","Not approved | ",IF(UPPER(TRIM(H1204))=UPPER(TRIM(I1204)),"Self-approved | ",""))&amp;IF(J1204="","No support | ","")&amp;IF(WEEKDAY(B1204,2)&gt;5,"Weekend posting | ","")&amp;IF(COUNTIF(Settings!$A$14:$A$43,B1204)&gt;0,"Holiday posting | ","")&amp;IF(B1204&gt;Settings!$C$8,"Posted after close | ","")&amp;IF(OR(B1204&lt;Settings!$C$6,B1204&gt;Settings!$C$7),"Outside period | ","")&amp;IF(COUNTIF(Settings!$E$14:$E$43,C1204&amp;"")&gt;0,"Sensitive account | ","")&amp;IF(AND(MAX(N(E1204),N(F1204))&gt;=Settings!$C$9,MOD(MAX(N(E1204),N(F1204)),Settings!$C$10)=0),"Round amount | ","")="","",LEFT(IF(K1204="No","Does not balance | ","")&amp;IF(I1204="","Not approved | ",IF(UPPER(TRIM(H1204))=UPPER(TRIM(I1204)),"Self-approved | ",""))&amp;IF(J1204="","No support | ","")&amp;IF(WEEKDAY(B1204,2)&gt;5,"Weekend posting | ","")&amp;IF(COUNTIF(Settings!$A$14:$A$43,B1204)&gt;0,"Holiday posting | ","")&amp;IF(B1204&gt;Settings!$C$8,"Posted after close | ","")&amp;IF(OR(B1204&lt;Settings!$C$6,B1204&gt;Settings!$C$7),"Outside period | ","")&amp;IF(COUNTIF(Settings!$E$14:$E$43,C1204&amp;"")&gt;0,"Sensitive account | ","")&amp;IF(AND(MAX(N(E1204),N(F1204))&gt;=Settings!$C$9,MOD(MAX(N(E1204),N(F1204)),Settings!$C$10)=0),"Round amount | ",""),LEN(IF(K1204="No","Does not balance | ","")&amp;IF(I1204="","Not approved | ",IF(UPPER(TRIM(H1204))=UPPER(TRIM(I1204)),"Self-approved | ",""))&amp;IF(J1204="","No support | ","")&amp;IF(WEEKDAY(B1204,2)&gt;5,"Weekend posting | ","")&amp;IF(COUNTIF(Settings!$A$14:$A$43,B1204)&gt;0,"Holiday posting | ","")&amp;IF(B1204&gt;Settings!$C$8,"Posted after close | ","")&amp;IF(OR(B1204&lt;Settings!$C$6,B1204&gt;Settings!$C$7),"Outside period | ","")&amp;IF(COUNTIF(Settings!$E$14:$E$43,C1204&amp;"")&gt;0,"Sensitive account | ","")&amp;IF(AND(MAX(N(E1204),N(F1204))&gt;=Settings!$C$9,MOD(MAX(N(E1204),N(F1204)),Settings!$C$10)=0),"Round amount | ",""))-3)))</f>
        <v/>
      </c>
      <c r="M1204" s="21" t="str">
        <f aca="false">IF(A1204="","",IF(COUNTIF($A$9:A1204,A1204)=1,MAX($M$8:M1203)+1,""))</f>
        <v/>
      </c>
    </row>
    <row r="1205" customFormat="false" ht="15" hidden="false" customHeight="false" outlineLevel="0" collapsed="false">
      <c r="A1205" s="8"/>
      <c r="B1205" s="17"/>
      <c r="C1205" s="19"/>
      <c r="D1205" s="8"/>
      <c r="E1205" s="18"/>
      <c r="F1205" s="18"/>
      <c r="G1205" s="8"/>
      <c r="H1205" s="8"/>
      <c r="I1205" s="8"/>
      <c r="J1205" s="8"/>
      <c r="K1205" s="10" t="str">
        <f aca="false">IF(A1205="","",IF(ABS(SUMIFS($E$9:$E$2008,$A$9:$A$2008,A1205)-SUMIFS($F$9:$F$2008,$A$9:$A$2008,A1205))&lt;0.5,"Yes","No"))</f>
        <v/>
      </c>
      <c r="L1205" s="10" t="str">
        <f aca="false">IF(A1205="","",IF(IF(K1205="No","Does not balance | ","")&amp;IF(I1205="","Not approved | ",IF(UPPER(TRIM(H1205))=UPPER(TRIM(I1205)),"Self-approved | ",""))&amp;IF(J1205="","No support | ","")&amp;IF(WEEKDAY(B1205,2)&gt;5,"Weekend posting | ","")&amp;IF(COUNTIF(Settings!$A$14:$A$43,B1205)&gt;0,"Holiday posting | ","")&amp;IF(B1205&gt;Settings!$C$8,"Posted after close | ","")&amp;IF(OR(B1205&lt;Settings!$C$6,B1205&gt;Settings!$C$7),"Outside period | ","")&amp;IF(COUNTIF(Settings!$E$14:$E$43,C1205&amp;"")&gt;0,"Sensitive account | ","")&amp;IF(AND(MAX(N(E1205),N(F1205))&gt;=Settings!$C$9,MOD(MAX(N(E1205),N(F1205)),Settings!$C$10)=0),"Round amount | ","")="","",LEFT(IF(K1205="No","Does not balance | ","")&amp;IF(I1205="","Not approved | ",IF(UPPER(TRIM(H1205))=UPPER(TRIM(I1205)),"Self-approved | ",""))&amp;IF(J1205="","No support | ","")&amp;IF(WEEKDAY(B1205,2)&gt;5,"Weekend posting | ","")&amp;IF(COUNTIF(Settings!$A$14:$A$43,B1205)&gt;0,"Holiday posting | ","")&amp;IF(B1205&gt;Settings!$C$8,"Posted after close | ","")&amp;IF(OR(B1205&lt;Settings!$C$6,B1205&gt;Settings!$C$7),"Outside period | ","")&amp;IF(COUNTIF(Settings!$E$14:$E$43,C1205&amp;"")&gt;0,"Sensitive account | ","")&amp;IF(AND(MAX(N(E1205),N(F1205))&gt;=Settings!$C$9,MOD(MAX(N(E1205),N(F1205)),Settings!$C$10)=0),"Round amount | ",""),LEN(IF(K1205="No","Does not balance | ","")&amp;IF(I1205="","Not approved | ",IF(UPPER(TRIM(H1205))=UPPER(TRIM(I1205)),"Self-approved | ",""))&amp;IF(J1205="","No support | ","")&amp;IF(WEEKDAY(B1205,2)&gt;5,"Weekend posting | ","")&amp;IF(COUNTIF(Settings!$A$14:$A$43,B1205)&gt;0,"Holiday posting | ","")&amp;IF(B1205&gt;Settings!$C$8,"Posted after close | ","")&amp;IF(OR(B1205&lt;Settings!$C$6,B1205&gt;Settings!$C$7),"Outside period | ","")&amp;IF(COUNTIF(Settings!$E$14:$E$43,C1205&amp;"")&gt;0,"Sensitive account | ","")&amp;IF(AND(MAX(N(E1205),N(F1205))&gt;=Settings!$C$9,MOD(MAX(N(E1205),N(F1205)),Settings!$C$10)=0),"Round amount | ",""))-3)))</f>
        <v/>
      </c>
      <c r="M1205" s="21" t="str">
        <f aca="false">IF(A1205="","",IF(COUNTIF($A$9:A1205,A1205)=1,MAX($M$8:M1204)+1,""))</f>
        <v/>
      </c>
    </row>
    <row r="1206" customFormat="false" ht="15" hidden="false" customHeight="false" outlineLevel="0" collapsed="false">
      <c r="A1206" s="8"/>
      <c r="B1206" s="17"/>
      <c r="C1206" s="19"/>
      <c r="D1206" s="8"/>
      <c r="E1206" s="18"/>
      <c r="F1206" s="18"/>
      <c r="G1206" s="8"/>
      <c r="H1206" s="8"/>
      <c r="I1206" s="8"/>
      <c r="J1206" s="8"/>
      <c r="K1206" s="10" t="str">
        <f aca="false">IF(A1206="","",IF(ABS(SUMIFS($E$9:$E$2008,$A$9:$A$2008,A1206)-SUMIFS($F$9:$F$2008,$A$9:$A$2008,A1206))&lt;0.5,"Yes","No"))</f>
        <v/>
      </c>
      <c r="L1206" s="10" t="str">
        <f aca="false">IF(A1206="","",IF(IF(K1206="No","Does not balance | ","")&amp;IF(I1206="","Not approved | ",IF(UPPER(TRIM(H1206))=UPPER(TRIM(I1206)),"Self-approved | ",""))&amp;IF(J1206="","No support | ","")&amp;IF(WEEKDAY(B1206,2)&gt;5,"Weekend posting | ","")&amp;IF(COUNTIF(Settings!$A$14:$A$43,B1206)&gt;0,"Holiday posting | ","")&amp;IF(B1206&gt;Settings!$C$8,"Posted after close | ","")&amp;IF(OR(B1206&lt;Settings!$C$6,B1206&gt;Settings!$C$7),"Outside period | ","")&amp;IF(COUNTIF(Settings!$E$14:$E$43,C1206&amp;"")&gt;0,"Sensitive account | ","")&amp;IF(AND(MAX(N(E1206),N(F1206))&gt;=Settings!$C$9,MOD(MAX(N(E1206),N(F1206)),Settings!$C$10)=0),"Round amount | ","")="","",LEFT(IF(K1206="No","Does not balance | ","")&amp;IF(I1206="","Not approved | ",IF(UPPER(TRIM(H1206))=UPPER(TRIM(I1206)),"Self-approved | ",""))&amp;IF(J1206="","No support | ","")&amp;IF(WEEKDAY(B1206,2)&gt;5,"Weekend posting | ","")&amp;IF(COUNTIF(Settings!$A$14:$A$43,B1206)&gt;0,"Holiday posting | ","")&amp;IF(B1206&gt;Settings!$C$8,"Posted after close | ","")&amp;IF(OR(B1206&lt;Settings!$C$6,B1206&gt;Settings!$C$7),"Outside period | ","")&amp;IF(COUNTIF(Settings!$E$14:$E$43,C1206&amp;"")&gt;0,"Sensitive account | ","")&amp;IF(AND(MAX(N(E1206),N(F1206))&gt;=Settings!$C$9,MOD(MAX(N(E1206),N(F1206)),Settings!$C$10)=0),"Round amount | ",""),LEN(IF(K1206="No","Does not balance | ","")&amp;IF(I1206="","Not approved | ",IF(UPPER(TRIM(H1206))=UPPER(TRIM(I1206)),"Self-approved | ",""))&amp;IF(J1206="","No support | ","")&amp;IF(WEEKDAY(B1206,2)&gt;5,"Weekend posting | ","")&amp;IF(COUNTIF(Settings!$A$14:$A$43,B1206)&gt;0,"Holiday posting | ","")&amp;IF(B1206&gt;Settings!$C$8,"Posted after close | ","")&amp;IF(OR(B1206&lt;Settings!$C$6,B1206&gt;Settings!$C$7),"Outside period | ","")&amp;IF(COUNTIF(Settings!$E$14:$E$43,C1206&amp;"")&gt;0,"Sensitive account | ","")&amp;IF(AND(MAX(N(E1206),N(F1206))&gt;=Settings!$C$9,MOD(MAX(N(E1206),N(F1206)),Settings!$C$10)=0),"Round amount | ",""))-3)))</f>
        <v/>
      </c>
      <c r="M1206" s="21" t="str">
        <f aca="false">IF(A1206="","",IF(COUNTIF($A$9:A1206,A1206)=1,MAX($M$8:M1205)+1,""))</f>
        <v/>
      </c>
    </row>
    <row r="1207" customFormat="false" ht="15" hidden="false" customHeight="false" outlineLevel="0" collapsed="false">
      <c r="A1207" s="8"/>
      <c r="B1207" s="17"/>
      <c r="C1207" s="19"/>
      <c r="D1207" s="8"/>
      <c r="E1207" s="18"/>
      <c r="F1207" s="18"/>
      <c r="G1207" s="8"/>
      <c r="H1207" s="8"/>
      <c r="I1207" s="8"/>
      <c r="J1207" s="8"/>
      <c r="K1207" s="10" t="str">
        <f aca="false">IF(A1207="","",IF(ABS(SUMIFS($E$9:$E$2008,$A$9:$A$2008,A1207)-SUMIFS($F$9:$F$2008,$A$9:$A$2008,A1207))&lt;0.5,"Yes","No"))</f>
        <v/>
      </c>
      <c r="L1207" s="10" t="str">
        <f aca="false">IF(A1207="","",IF(IF(K1207="No","Does not balance | ","")&amp;IF(I1207="","Not approved | ",IF(UPPER(TRIM(H1207))=UPPER(TRIM(I1207)),"Self-approved | ",""))&amp;IF(J1207="","No support | ","")&amp;IF(WEEKDAY(B1207,2)&gt;5,"Weekend posting | ","")&amp;IF(COUNTIF(Settings!$A$14:$A$43,B1207)&gt;0,"Holiday posting | ","")&amp;IF(B1207&gt;Settings!$C$8,"Posted after close | ","")&amp;IF(OR(B1207&lt;Settings!$C$6,B1207&gt;Settings!$C$7),"Outside period | ","")&amp;IF(COUNTIF(Settings!$E$14:$E$43,C1207&amp;"")&gt;0,"Sensitive account | ","")&amp;IF(AND(MAX(N(E1207),N(F1207))&gt;=Settings!$C$9,MOD(MAX(N(E1207),N(F1207)),Settings!$C$10)=0),"Round amount | ","")="","",LEFT(IF(K1207="No","Does not balance | ","")&amp;IF(I1207="","Not approved | ",IF(UPPER(TRIM(H1207))=UPPER(TRIM(I1207)),"Self-approved | ",""))&amp;IF(J1207="","No support | ","")&amp;IF(WEEKDAY(B1207,2)&gt;5,"Weekend posting | ","")&amp;IF(COUNTIF(Settings!$A$14:$A$43,B1207)&gt;0,"Holiday posting | ","")&amp;IF(B1207&gt;Settings!$C$8,"Posted after close | ","")&amp;IF(OR(B1207&lt;Settings!$C$6,B1207&gt;Settings!$C$7),"Outside period | ","")&amp;IF(COUNTIF(Settings!$E$14:$E$43,C1207&amp;"")&gt;0,"Sensitive account | ","")&amp;IF(AND(MAX(N(E1207),N(F1207))&gt;=Settings!$C$9,MOD(MAX(N(E1207),N(F1207)),Settings!$C$10)=0),"Round amount | ",""),LEN(IF(K1207="No","Does not balance | ","")&amp;IF(I1207="","Not approved | ",IF(UPPER(TRIM(H1207))=UPPER(TRIM(I1207)),"Self-approved | ",""))&amp;IF(J1207="","No support | ","")&amp;IF(WEEKDAY(B1207,2)&gt;5,"Weekend posting | ","")&amp;IF(COUNTIF(Settings!$A$14:$A$43,B1207)&gt;0,"Holiday posting | ","")&amp;IF(B1207&gt;Settings!$C$8,"Posted after close | ","")&amp;IF(OR(B1207&lt;Settings!$C$6,B1207&gt;Settings!$C$7),"Outside period | ","")&amp;IF(COUNTIF(Settings!$E$14:$E$43,C1207&amp;"")&gt;0,"Sensitive account | ","")&amp;IF(AND(MAX(N(E1207),N(F1207))&gt;=Settings!$C$9,MOD(MAX(N(E1207),N(F1207)),Settings!$C$10)=0),"Round amount | ",""))-3)))</f>
        <v/>
      </c>
      <c r="M1207" s="21" t="str">
        <f aca="false">IF(A1207="","",IF(COUNTIF($A$9:A1207,A1207)=1,MAX($M$8:M1206)+1,""))</f>
        <v/>
      </c>
    </row>
    <row r="1208" customFormat="false" ht="15" hidden="false" customHeight="false" outlineLevel="0" collapsed="false">
      <c r="A1208" s="8"/>
      <c r="B1208" s="17"/>
      <c r="C1208" s="19"/>
      <c r="D1208" s="8"/>
      <c r="E1208" s="18"/>
      <c r="F1208" s="18"/>
      <c r="G1208" s="8"/>
      <c r="H1208" s="8"/>
      <c r="I1208" s="8"/>
      <c r="J1208" s="8"/>
      <c r="K1208" s="10" t="str">
        <f aca="false">IF(A1208="","",IF(ABS(SUMIFS($E$9:$E$2008,$A$9:$A$2008,A1208)-SUMIFS($F$9:$F$2008,$A$9:$A$2008,A1208))&lt;0.5,"Yes","No"))</f>
        <v/>
      </c>
      <c r="L1208" s="10" t="str">
        <f aca="false">IF(A1208="","",IF(IF(K1208="No","Does not balance | ","")&amp;IF(I1208="","Not approved | ",IF(UPPER(TRIM(H1208))=UPPER(TRIM(I1208)),"Self-approved | ",""))&amp;IF(J1208="","No support | ","")&amp;IF(WEEKDAY(B1208,2)&gt;5,"Weekend posting | ","")&amp;IF(COUNTIF(Settings!$A$14:$A$43,B1208)&gt;0,"Holiday posting | ","")&amp;IF(B1208&gt;Settings!$C$8,"Posted after close | ","")&amp;IF(OR(B1208&lt;Settings!$C$6,B1208&gt;Settings!$C$7),"Outside period | ","")&amp;IF(COUNTIF(Settings!$E$14:$E$43,C1208&amp;"")&gt;0,"Sensitive account | ","")&amp;IF(AND(MAX(N(E1208),N(F1208))&gt;=Settings!$C$9,MOD(MAX(N(E1208),N(F1208)),Settings!$C$10)=0),"Round amount | ","")="","",LEFT(IF(K1208="No","Does not balance | ","")&amp;IF(I1208="","Not approved | ",IF(UPPER(TRIM(H1208))=UPPER(TRIM(I1208)),"Self-approved | ",""))&amp;IF(J1208="","No support | ","")&amp;IF(WEEKDAY(B1208,2)&gt;5,"Weekend posting | ","")&amp;IF(COUNTIF(Settings!$A$14:$A$43,B1208)&gt;0,"Holiday posting | ","")&amp;IF(B1208&gt;Settings!$C$8,"Posted after close | ","")&amp;IF(OR(B1208&lt;Settings!$C$6,B1208&gt;Settings!$C$7),"Outside period | ","")&amp;IF(COUNTIF(Settings!$E$14:$E$43,C1208&amp;"")&gt;0,"Sensitive account | ","")&amp;IF(AND(MAX(N(E1208),N(F1208))&gt;=Settings!$C$9,MOD(MAX(N(E1208),N(F1208)),Settings!$C$10)=0),"Round amount | ",""),LEN(IF(K1208="No","Does not balance | ","")&amp;IF(I1208="","Not approved | ",IF(UPPER(TRIM(H1208))=UPPER(TRIM(I1208)),"Self-approved | ",""))&amp;IF(J1208="","No support | ","")&amp;IF(WEEKDAY(B1208,2)&gt;5,"Weekend posting | ","")&amp;IF(COUNTIF(Settings!$A$14:$A$43,B1208)&gt;0,"Holiday posting | ","")&amp;IF(B1208&gt;Settings!$C$8,"Posted after close | ","")&amp;IF(OR(B1208&lt;Settings!$C$6,B1208&gt;Settings!$C$7),"Outside period | ","")&amp;IF(COUNTIF(Settings!$E$14:$E$43,C1208&amp;"")&gt;0,"Sensitive account | ","")&amp;IF(AND(MAX(N(E1208),N(F1208))&gt;=Settings!$C$9,MOD(MAX(N(E1208),N(F1208)),Settings!$C$10)=0),"Round amount | ",""))-3)))</f>
        <v/>
      </c>
      <c r="M1208" s="21" t="str">
        <f aca="false">IF(A1208="","",IF(COUNTIF($A$9:A1208,A1208)=1,MAX($M$8:M1207)+1,""))</f>
        <v/>
      </c>
    </row>
    <row r="1209" customFormat="false" ht="15" hidden="false" customHeight="false" outlineLevel="0" collapsed="false">
      <c r="A1209" s="8"/>
      <c r="B1209" s="17"/>
      <c r="C1209" s="19"/>
      <c r="D1209" s="8"/>
      <c r="E1209" s="18"/>
      <c r="F1209" s="18"/>
      <c r="G1209" s="8"/>
      <c r="H1209" s="8"/>
      <c r="I1209" s="8"/>
      <c r="J1209" s="8"/>
      <c r="K1209" s="10" t="str">
        <f aca="false">IF(A1209="","",IF(ABS(SUMIFS($E$9:$E$2008,$A$9:$A$2008,A1209)-SUMIFS($F$9:$F$2008,$A$9:$A$2008,A1209))&lt;0.5,"Yes","No"))</f>
        <v/>
      </c>
      <c r="L1209" s="10" t="str">
        <f aca="false">IF(A1209="","",IF(IF(K1209="No","Does not balance | ","")&amp;IF(I1209="","Not approved | ",IF(UPPER(TRIM(H1209))=UPPER(TRIM(I1209)),"Self-approved | ",""))&amp;IF(J1209="","No support | ","")&amp;IF(WEEKDAY(B1209,2)&gt;5,"Weekend posting | ","")&amp;IF(COUNTIF(Settings!$A$14:$A$43,B1209)&gt;0,"Holiday posting | ","")&amp;IF(B1209&gt;Settings!$C$8,"Posted after close | ","")&amp;IF(OR(B1209&lt;Settings!$C$6,B1209&gt;Settings!$C$7),"Outside period | ","")&amp;IF(COUNTIF(Settings!$E$14:$E$43,C1209&amp;"")&gt;0,"Sensitive account | ","")&amp;IF(AND(MAX(N(E1209),N(F1209))&gt;=Settings!$C$9,MOD(MAX(N(E1209),N(F1209)),Settings!$C$10)=0),"Round amount | ","")="","",LEFT(IF(K1209="No","Does not balance | ","")&amp;IF(I1209="","Not approved | ",IF(UPPER(TRIM(H1209))=UPPER(TRIM(I1209)),"Self-approved | ",""))&amp;IF(J1209="","No support | ","")&amp;IF(WEEKDAY(B1209,2)&gt;5,"Weekend posting | ","")&amp;IF(COUNTIF(Settings!$A$14:$A$43,B1209)&gt;0,"Holiday posting | ","")&amp;IF(B1209&gt;Settings!$C$8,"Posted after close | ","")&amp;IF(OR(B1209&lt;Settings!$C$6,B1209&gt;Settings!$C$7),"Outside period | ","")&amp;IF(COUNTIF(Settings!$E$14:$E$43,C1209&amp;"")&gt;0,"Sensitive account | ","")&amp;IF(AND(MAX(N(E1209),N(F1209))&gt;=Settings!$C$9,MOD(MAX(N(E1209),N(F1209)),Settings!$C$10)=0),"Round amount | ",""),LEN(IF(K1209="No","Does not balance | ","")&amp;IF(I1209="","Not approved | ",IF(UPPER(TRIM(H1209))=UPPER(TRIM(I1209)),"Self-approved | ",""))&amp;IF(J1209="","No support | ","")&amp;IF(WEEKDAY(B1209,2)&gt;5,"Weekend posting | ","")&amp;IF(COUNTIF(Settings!$A$14:$A$43,B1209)&gt;0,"Holiday posting | ","")&amp;IF(B1209&gt;Settings!$C$8,"Posted after close | ","")&amp;IF(OR(B1209&lt;Settings!$C$6,B1209&gt;Settings!$C$7),"Outside period | ","")&amp;IF(COUNTIF(Settings!$E$14:$E$43,C1209&amp;"")&gt;0,"Sensitive account | ","")&amp;IF(AND(MAX(N(E1209),N(F1209))&gt;=Settings!$C$9,MOD(MAX(N(E1209),N(F1209)),Settings!$C$10)=0),"Round amount | ",""))-3)))</f>
        <v/>
      </c>
      <c r="M1209" s="21" t="str">
        <f aca="false">IF(A1209="","",IF(COUNTIF($A$9:A1209,A1209)=1,MAX($M$8:M1208)+1,""))</f>
        <v/>
      </c>
    </row>
    <row r="1210" customFormat="false" ht="15" hidden="false" customHeight="false" outlineLevel="0" collapsed="false">
      <c r="A1210" s="8"/>
      <c r="B1210" s="17"/>
      <c r="C1210" s="19"/>
      <c r="D1210" s="8"/>
      <c r="E1210" s="18"/>
      <c r="F1210" s="18"/>
      <c r="G1210" s="8"/>
      <c r="H1210" s="8"/>
      <c r="I1210" s="8"/>
      <c r="J1210" s="8"/>
      <c r="K1210" s="10" t="str">
        <f aca="false">IF(A1210="","",IF(ABS(SUMIFS($E$9:$E$2008,$A$9:$A$2008,A1210)-SUMIFS($F$9:$F$2008,$A$9:$A$2008,A1210))&lt;0.5,"Yes","No"))</f>
        <v/>
      </c>
      <c r="L1210" s="10" t="str">
        <f aca="false">IF(A1210="","",IF(IF(K1210="No","Does not balance | ","")&amp;IF(I1210="","Not approved | ",IF(UPPER(TRIM(H1210))=UPPER(TRIM(I1210)),"Self-approved | ",""))&amp;IF(J1210="","No support | ","")&amp;IF(WEEKDAY(B1210,2)&gt;5,"Weekend posting | ","")&amp;IF(COUNTIF(Settings!$A$14:$A$43,B1210)&gt;0,"Holiday posting | ","")&amp;IF(B1210&gt;Settings!$C$8,"Posted after close | ","")&amp;IF(OR(B1210&lt;Settings!$C$6,B1210&gt;Settings!$C$7),"Outside period | ","")&amp;IF(COUNTIF(Settings!$E$14:$E$43,C1210&amp;"")&gt;0,"Sensitive account | ","")&amp;IF(AND(MAX(N(E1210),N(F1210))&gt;=Settings!$C$9,MOD(MAX(N(E1210),N(F1210)),Settings!$C$10)=0),"Round amount | ","")="","",LEFT(IF(K1210="No","Does not balance | ","")&amp;IF(I1210="","Not approved | ",IF(UPPER(TRIM(H1210))=UPPER(TRIM(I1210)),"Self-approved | ",""))&amp;IF(J1210="","No support | ","")&amp;IF(WEEKDAY(B1210,2)&gt;5,"Weekend posting | ","")&amp;IF(COUNTIF(Settings!$A$14:$A$43,B1210)&gt;0,"Holiday posting | ","")&amp;IF(B1210&gt;Settings!$C$8,"Posted after close | ","")&amp;IF(OR(B1210&lt;Settings!$C$6,B1210&gt;Settings!$C$7),"Outside period | ","")&amp;IF(COUNTIF(Settings!$E$14:$E$43,C1210&amp;"")&gt;0,"Sensitive account | ","")&amp;IF(AND(MAX(N(E1210),N(F1210))&gt;=Settings!$C$9,MOD(MAX(N(E1210),N(F1210)),Settings!$C$10)=0),"Round amount | ",""),LEN(IF(K1210="No","Does not balance | ","")&amp;IF(I1210="","Not approved | ",IF(UPPER(TRIM(H1210))=UPPER(TRIM(I1210)),"Self-approved | ",""))&amp;IF(J1210="","No support | ","")&amp;IF(WEEKDAY(B1210,2)&gt;5,"Weekend posting | ","")&amp;IF(COUNTIF(Settings!$A$14:$A$43,B1210)&gt;0,"Holiday posting | ","")&amp;IF(B1210&gt;Settings!$C$8,"Posted after close | ","")&amp;IF(OR(B1210&lt;Settings!$C$6,B1210&gt;Settings!$C$7),"Outside period | ","")&amp;IF(COUNTIF(Settings!$E$14:$E$43,C1210&amp;"")&gt;0,"Sensitive account | ","")&amp;IF(AND(MAX(N(E1210),N(F1210))&gt;=Settings!$C$9,MOD(MAX(N(E1210),N(F1210)),Settings!$C$10)=0),"Round amount | ",""))-3)))</f>
        <v/>
      </c>
      <c r="M1210" s="21" t="str">
        <f aca="false">IF(A1210="","",IF(COUNTIF($A$9:A1210,A1210)=1,MAX($M$8:M1209)+1,""))</f>
        <v/>
      </c>
    </row>
    <row r="1211" customFormat="false" ht="15" hidden="false" customHeight="false" outlineLevel="0" collapsed="false">
      <c r="A1211" s="8"/>
      <c r="B1211" s="17"/>
      <c r="C1211" s="19"/>
      <c r="D1211" s="8"/>
      <c r="E1211" s="18"/>
      <c r="F1211" s="18"/>
      <c r="G1211" s="8"/>
      <c r="H1211" s="8"/>
      <c r="I1211" s="8"/>
      <c r="J1211" s="8"/>
      <c r="K1211" s="10" t="str">
        <f aca="false">IF(A1211="","",IF(ABS(SUMIFS($E$9:$E$2008,$A$9:$A$2008,A1211)-SUMIFS($F$9:$F$2008,$A$9:$A$2008,A1211))&lt;0.5,"Yes","No"))</f>
        <v/>
      </c>
      <c r="L1211" s="10" t="str">
        <f aca="false">IF(A1211="","",IF(IF(K1211="No","Does not balance | ","")&amp;IF(I1211="","Not approved | ",IF(UPPER(TRIM(H1211))=UPPER(TRIM(I1211)),"Self-approved | ",""))&amp;IF(J1211="","No support | ","")&amp;IF(WEEKDAY(B1211,2)&gt;5,"Weekend posting | ","")&amp;IF(COUNTIF(Settings!$A$14:$A$43,B1211)&gt;0,"Holiday posting | ","")&amp;IF(B1211&gt;Settings!$C$8,"Posted after close | ","")&amp;IF(OR(B1211&lt;Settings!$C$6,B1211&gt;Settings!$C$7),"Outside period | ","")&amp;IF(COUNTIF(Settings!$E$14:$E$43,C1211&amp;"")&gt;0,"Sensitive account | ","")&amp;IF(AND(MAX(N(E1211),N(F1211))&gt;=Settings!$C$9,MOD(MAX(N(E1211),N(F1211)),Settings!$C$10)=0),"Round amount | ","")="","",LEFT(IF(K1211="No","Does not balance | ","")&amp;IF(I1211="","Not approved | ",IF(UPPER(TRIM(H1211))=UPPER(TRIM(I1211)),"Self-approved | ",""))&amp;IF(J1211="","No support | ","")&amp;IF(WEEKDAY(B1211,2)&gt;5,"Weekend posting | ","")&amp;IF(COUNTIF(Settings!$A$14:$A$43,B1211)&gt;0,"Holiday posting | ","")&amp;IF(B1211&gt;Settings!$C$8,"Posted after close | ","")&amp;IF(OR(B1211&lt;Settings!$C$6,B1211&gt;Settings!$C$7),"Outside period | ","")&amp;IF(COUNTIF(Settings!$E$14:$E$43,C1211&amp;"")&gt;0,"Sensitive account | ","")&amp;IF(AND(MAX(N(E1211),N(F1211))&gt;=Settings!$C$9,MOD(MAX(N(E1211),N(F1211)),Settings!$C$10)=0),"Round amount | ",""),LEN(IF(K1211="No","Does not balance | ","")&amp;IF(I1211="","Not approved | ",IF(UPPER(TRIM(H1211))=UPPER(TRIM(I1211)),"Self-approved | ",""))&amp;IF(J1211="","No support | ","")&amp;IF(WEEKDAY(B1211,2)&gt;5,"Weekend posting | ","")&amp;IF(COUNTIF(Settings!$A$14:$A$43,B1211)&gt;0,"Holiday posting | ","")&amp;IF(B1211&gt;Settings!$C$8,"Posted after close | ","")&amp;IF(OR(B1211&lt;Settings!$C$6,B1211&gt;Settings!$C$7),"Outside period | ","")&amp;IF(COUNTIF(Settings!$E$14:$E$43,C1211&amp;"")&gt;0,"Sensitive account | ","")&amp;IF(AND(MAX(N(E1211),N(F1211))&gt;=Settings!$C$9,MOD(MAX(N(E1211),N(F1211)),Settings!$C$10)=0),"Round amount | ",""))-3)))</f>
        <v/>
      </c>
      <c r="M1211" s="21" t="str">
        <f aca="false">IF(A1211="","",IF(COUNTIF($A$9:A1211,A1211)=1,MAX($M$8:M1210)+1,""))</f>
        <v/>
      </c>
    </row>
    <row r="1212" customFormat="false" ht="15" hidden="false" customHeight="false" outlineLevel="0" collapsed="false">
      <c r="A1212" s="8"/>
      <c r="B1212" s="17"/>
      <c r="C1212" s="19"/>
      <c r="D1212" s="8"/>
      <c r="E1212" s="18"/>
      <c r="F1212" s="18"/>
      <c r="G1212" s="8"/>
      <c r="H1212" s="8"/>
      <c r="I1212" s="8"/>
      <c r="J1212" s="8"/>
      <c r="K1212" s="10" t="str">
        <f aca="false">IF(A1212="","",IF(ABS(SUMIFS($E$9:$E$2008,$A$9:$A$2008,A1212)-SUMIFS($F$9:$F$2008,$A$9:$A$2008,A1212))&lt;0.5,"Yes","No"))</f>
        <v/>
      </c>
      <c r="L1212" s="10" t="str">
        <f aca="false">IF(A1212="","",IF(IF(K1212="No","Does not balance | ","")&amp;IF(I1212="","Not approved | ",IF(UPPER(TRIM(H1212))=UPPER(TRIM(I1212)),"Self-approved | ",""))&amp;IF(J1212="","No support | ","")&amp;IF(WEEKDAY(B1212,2)&gt;5,"Weekend posting | ","")&amp;IF(COUNTIF(Settings!$A$14:$A$43,B1212)&gt;0,"Holiday posting | ","")&amp;IF(B1212&gt;Settings!$C$8,"Posted after close | ","")&amp;IF(OR(B1212&lt;Settings!$C$6,B1212&gt;Settings!$C$7),"Outside period | ","")&amp;IF(COUNTIF(Settings!$E$14:$E$43,C1212&amp;"")&gt;0,"Sensitive account | ","")&amp;IF(AND(MAX(N(E1212),N(F1212))&gt;=Settings!$C$9,MOD(MAX(N(E1212),N(F1212)),Settings!$C$10)=0),"Round amount | ","")="","",LEFT(IF(K1212="No","Does not balance | ","")&amp;IF(I1212="","Not approved | ",IF(UPPER(TRIM(H1212))=UPPER(TRIM(I1212)),"Self-approved | ",""))&amp;IF(J1212="","No support | ","")&amp;IF(WEEKDAY(B1212,2)&gt;5,"Weekend posting | ","")&amp;IF(COUNTIF(Settings!$A$14:$A$43,B1212)&gt;0,"Holiday posting | ","")&amp;IF(B1212&gt;Settings!$C$8,"Posted after close | ","")&amp;IF(OR(B1212&lt;Settings!$C$6,B1212&gt;Settings!$C$7),"Outside period | ","")&amp;IF(COUNTIF(Settings!$E$14:$E$43,C1212&amp;"")&gt;0,"Sensitive account | ","")&amp;IF(AND(MAX(N(E1212),N(F1212))&gt;=Settings!$C$9,MOD(MAX(N(E1212),N(F1212)),Settings!$C$10)=0),"Round amount | ",""),LEN(IF(K1212="No","Does not balance | ","")&amp;IF(I1212="","Not approved | ",IF(UPPER(TRIM(H1212))=UPPER(TRIM(I1212)),"Self-approved | ",""))&amp;IF(J1212="","No support | ","")&amp;IF(WEEKDAY(B1212,2)&gt;5,"Weekend posting | ","")&amp;IF(COUNTIF(Settings!$A$14:$A$43,B1212)&gt;0,"Holiday posting | ","")&amp;IF(B1212&gt;Settings!$C$8,"Posted after close | ","")&amp;IF(OR(B1212&lt;Settings!$C$6,B1212&gt;Settings!$C$7),"Outside period | ","")&amp;IF(COUNTIF(Settings!$E$14:$E$43,C1212&amp;"")&gt;0,"Sensitive account | ","")&amp;IF(AND(MAX(N(E1212),N(F1212))&gt;=Settings!$C$9,MOD(MAX(N(E1212),N(F1212)),Settings!$C$10)=0),"Round amount | ",""))-3)))</f>
        <v/>
      </c>
      <c r="M1212" s="21" t="str">
        <f aca="false">IF(A1212="","",IF(COUNTIF($A$9:A1212,A1212)=1,MAX($M$8:M1211)+1,""))</f>
        <v/>
      </c>
    </row>
    <row r="1213" customFormat="false" ht="15" hidden="false" customHeight="false" outlineLevel="0" collapsed="false">
      <c r="A1213" s="8"/>
      <c r="B1213" s="17"/>
      <c r="C1213" s="19"/>
      <c r="D1213" s="8"/>
      <c r="E1213" s="18"/>
      <c r="F1213" s="18"/>
      <c r="G1213" s="8"/>
      <c r="H1213" s="8"/>
      <c r="I1213" s="8"/>
      <c r="J1213" s="8"/>
      <c r="K1213" s="10" t="str">
        <f aca="false">IF(A1213="","",IF(ABS(SUMIFS($E$9:$E$2008,$A$9:$A$2008,A1213)-SUMIFS($F$9:$F$2008,$A$9:$A$2008,A1213))&lt;0.5,"Yes","No"))</f>
        <v/>
      </c>
      <c r="L1213" s="10" t="str">
        <f aca="false">IF(A1213="","",IF(IF(K1213="No","Does not balance | ","")&amp;IF(I1213="","Not approved | ",IF(UPPER(TRIM(H1213))=UPPER(TRIM(I1213)),"Self-approved | ",""))&amp;IF(J1213="","No support | ","")&amp;IF(WEEKDAY(B1213,2)&gt;5,"Weekend posting | ","")&amp;IF(COUNTIF(Settings!$A$14:$A$43,B1213)&gt;0,"Holiday posting | ","")&amp;IF(B1213&gt;Settings!$C$8,"Posted after close | ","")&amp;IF(OR(B1213&lt;Settings!$C$6,B1213&gt;Settings!$C$7),"Outside period | ","")&amp;IF(COUNTIF(Settings!$E$14:$E$43,C1213&amp;"")&gt;0,"Sensitive account | ","")&amp;IF(AND(MAX(N(E1213),N(F1213))&gt;=Settings!$C$9,MOD(MAX(N(E1213),N(F1213)),Settings!$C$10)=0),"Round amount | ","")="","",LEFT(IF(K1213="No","Does not balance | ","")&amp;IF(I1213="","Not approved | ",IF(UPPER(TRIM(H1213))=UPPER(TRIM(I1213)),"Self-approved | ",""))&amp;IF(J1213="","No support | ","")&amp;IF(WEEKDAY(B1213,2)&gt;5,"Weekend posting | ","")&amp;IF(COUNTIF(Settings!$A$14:$A$43,B1213)&gt;0,"Holiday posting | ","")&amp;IF(B1213&gt;Settings!$C$8,"Posted after close | ","")&amp;IF(OR(B1213&lt;Settings!$C$6,B1213&gt;Settings!$C$7),"Outside period | ","")&amp;IF(COUNTIF(Settings!$E$14:$E$43,C1213&amp;"")&gt;0,"Sensitive account | ","")&amp;IF(AND(MAX(N(E1213),N(F1213))&gt;=Settings!$C$9,MOD(MAX(N(E1213),N(F1213)),Settings!$C$10)=0),"Round amount | ",""),LEN(IF(K1213="No","Does not balance | ","")&amp;IF(I1213="","Not approved | ",IF(UPPER(TRIM(H1213))=UPPER(TRIM(I1213)),"Self-approved | ",""))&amp;IF(J1213="","No support | ","")&amp;IF(WEEKDAY(B1213,2)&gt;5,"Weekend posting | ","")&amp;IF(COUNTIF(Settings!$A$14:$A$43,B1213)&gt;0,"Holiday posting | ","")&amp;IF(B1213&gt;Settings!$C$8,"Posted after close | ","")&amp;IF(OR(B1213&lt;Settings!$C$6,B1213&gt;Settings!$C$7),"Outside period | ","")&amp;IF(COUNTIF(Settings!$E$14:$E$43,C1213&amp;"")&gt;0,"Sensitive account | ","")&amp;IF(AND(MAX(N(E1213),N(F1213))&gt;=Settings!$C$9,MOD(MAX(N(E1213),N(F1213)),Settings!$C$10)=0),"Round amount | ",""))-3)))</f>
        <v/>
      </c>
      <c r="M1213" s="21" t="str">
        <f aca="false">IF(A1213="","",IF(COUNTIF($A$9:A1213,A1213)=1,MAX($M$8:M1212)+1,""))</f>
        <v/>
      </c>
    </row>
    <row r="1214" customFormat="false" ht="15" hidden="false" customHeight="false" outlineLevel="0" collapsed="false">
      <c r="A1214" s="8"/>
      <c r="B1214" s="17"/>
      <c r="C1214" s="19"/>
      <c r="D1214" s="8"/>
      <c r="E1214" s="18"/>
      <c r="F1214" s="18"/>
      <c r="G1214" s="8"/>
      <c r="H1214" s="8"/>
      <c r="I1214" s="8"/>
      <c r="J1214" s="8"/>
      <c r="K1214" s="10" t="str">
        <f aca="false">IF(A1214="","",IF(ABS(SUMIFS($E$9:$E$2008,$A$9:$A$2008,A1214)-SUMIFS($F$9:$F$2008,$A$9:$A$2008,A1214))&lt;0.5,"Yes","No"))</f>
        <v/>
      </c>
      <c r="L1214" s="10" t="str">
        <f aca="false">IF(A1214="","",IF(IF(K1214="No","Does not balance | ","")&amp;IF(I1214="","Not approved | ",IF(UPPER(TRIM(H1214))=UPPER(TRIM(I1214)),"Self-approved | ",""))&amp;IF(J1214="","No support | ","")&amp;IF(WEEKDAY(B1214,2)&gt;5,"Weekend posting | ","")&amp;IF(COUNTIF(Settings!$A$14:$A$43,B1214)&gt;0,"Holiday posting | ","")&amp;IF(B1214&gt;Settings!$C$8,"Posted after close | ","")&amp;IF(OR(B1214&lt;Settings!$C$6,B1214&gt;Settings!$C$7),"Outside period | ","")&amp;IF(COUNTIF(Settings!$E$14:$E$43,C1214&amp;"")&gt;0,"Sensitive account | ","")&amp;IF(AND(MAX(N(E1214),N(F1214))&gt;=Settings!$C$9,MOD(MAX(N(E1214),N(F1214)),Settings!$C$10)=0),"Round amount | ","")="","",LEFT(IF(K1214="No","Does not balance | ","")&amp;IF(I1214="","Not approved | ",IF(UPPER(TRIM(H1214))=UPPER(TRIM(I1214)),"Self-approved | ",""))&amp;IF(J1214="","No support | ","")&amp;IF(WEEKDAY(B1214,2)&gt;5,"Weekend posting | ","")&amp;IF(COUNTIF(Settings!$A$14:$A$43,B1214)&gt;0,"Holiday posting | ","")&amp;IF(B1214&gt;Settings!$C$8,"Posted after close | ","")&amp;IF(OR(B1214&lt;Settings!$C$6,B1214&gt;Settings!$C$7),"Outside period | ","")&amp;IF(COUNTIF(Settings!$E$14:$E$43,C1214&amp;"")&gt;0,"Sensitive account | ","")&amp;IF(AND(MAX(N(E1214),N(F1214))&gt;=Settings!$C$9,MOD(MAX(N(E1214),N(F1214)),Settings!$C$10)=0),"Round amount | ",""),LEN(IF(K1214="No","Does not balance | ","")&amp;IF(I1214="","Not approved | ",IF(UPPER(TRIM(H1214))=UPPER(TRIM(I1214)),"Self-approved | ",""))&amp;IF(J1214="","No support | ","")&amp;IF(WEEKDAY(B1214,2)&gt;5,"Weekend posting | ","")&amp;IF(COUNTIF(Settings!$A$14:$A$43,B1214)&gt;0,"Holiday posting | ","")&amp;IF(B1214&gt;Settings!$C$8,"Posted after close | ","")&amp;IF(OR(B1214&lt;Settings!$C$6,B1214&gt;Settings!$C$7),"Outside period | ","")&amp;IF(COUNTIF(Settings!$E$14:$E$43,C1214&amp;"")&gt;0,"Sensitive account | ","")&amp;IF(AND(MAX(N(E1214),N(F1214))&gt;=Settings!$C$9,MOD(MAX(N(E1214),N(F1214)),Settings!$C$10)=0),"Round amount | ",""))-3)))</f>
        <v/>
      </c>
      <c r="M1214" s="21" t="str">
        <f aca="false">IF(A1214="","",IF(COUNTIF($A$9:A1214,A1214)=1,MAX($M$8:M1213)+1,""))</f>
        <v/>
      </c>
    </row>
    <row r="1215" customFormat="false" ht="15" hidden="false" customHeight="false" outlineLevel="0" collapsed="false">
      <c r="A1215" s="8"/>
      <c r="B1215" s="17"/>
      <c r="C1215" s="19"/>
      <c r="D1215" s="8"/>
      <c r="E1215" s="18"/>
      <c r="F1215" s="18"/>
      <c r="G1215" s="8"/>
      <c r="H1215" s="8"/>
      <c r="I1215" s="8"/>
      <c r="J1215" s="8"/>
      <c r="K1215" s="10" t="str">
        <f aca="false">IF(A1215="","",IF(ABS(SUMIFS($E$9:$E$2008,$A$9:$A$2008,A1215)-SUMIFS($F$9:$F$2008,$A$9:$A$2008,A1215))&lt;0.5,"Yes","No"))</f>
        <v/>
      </c>
      <c r="L1215" s="10" t="str">
        <f aca="false">IF(A1215="","",IF(IF(K1215="No","Does not balance | ","")&amp;IF(I1215="","Not approved | ",IF(UPPER(TRIM(H1215))=UPPER(TRIM(I1215)),"Self-approved | ",""))&amp;IF(J1215="","No support | ","")&amp;IF(WEEKDAY(B1215,2)&gt;5,"Weekend posting | ","")&amp;IF(COUNTIF(Settings!$A$14:$A$43,B1215)&gt;0,"Holiday posting | ","")&amp;IF(B1215&gt;Settings!$C$8,"Posted after close | ","")&amp;IF(OR(B1215&lt;Settings!$C$6,B1215&gt;Settings!$C$7),"Outside period | ","")&amp;IF(COUNTIF(Settings!$E$14:$E$43,C1215&amp;"")&gt;0,"Sensitive account | ","")&amp;IF(AND(MAX(N(E1215),N(F1215))&gt;=Settings!$C$9,MOD(MAX(N(E1215),N(F1215)),Settings!$C$10)=0),"Round amount | ","")="","",LEFT(IF(K1215="No","Does not balance | ","")&amp;IF(I1215="","Not approved | ",IF(UPPER(TRIM(H1215))=UPPER(TRIM(I1215)),"Self-approved | ",""))&amp;IF(J1215="","No support | ","")&amp;IF(WEEKDAY(B1215,2)&gt;5,"Weekend posting | ","")&amp;IF(COUNTIF(Settings!$A$14:$A$43,B1215)&gt;0,"Holiday posting | ","")&amp;IF(B1215&gt;Settings!$C$8,"Posted after close | ","")&amp;IF(OR(B1215&lt;Settings!$C$6,B1215&gt;Settings!$C$7),"Outside period | ","")&amp;IF(COUNTIF(Settings!$E$14:$E$43,C1215&amp;"")&gt;0,"Sensitive account | ","")&amp;IF(AND(MAX(N(E1215),N(F1215))&gt;=Settings!$C$9,MOD(MAX(N(E1215),N(F1215)),Settings!$C$10)=0),"Round amount | ",""),LEN(IF(K1215="No","Does not balance | ","")&amp;IF(I1215="","Not approved | ",IF(UPPER(TRIM(H1215))=UPPER(TRIM(I1215)),"Self-approved | ",""))&amp;IF(J1215="","No support | ","")&amp;IF(WEEKDAY(B1215,2)&gt;5,"Weekend posting | ","")&amp;IF(COUNTIF(Settings!$A$14:$A$43,B1215)&gt;0,"Holiday posting | ","")&amp;IF(B1215&gt;Settings!$C$8,"Posted after close | ","")&amp;IF(OR(B1215&lt;Settings!$C$6,B1215&gt;Settings!$C$7),"Outside period | ","")&amp;IF(COUNTIF(Settings!$E$14:$E$43,C1215&amp;"")&gt;0,"Sensitive account | ","")&amp;IF(AND(MAX(N(E1215),N(F1215))&gt;=Settings!$C$9,MOD(MAX(N(E1215),N(F1215)),Settings!$C$10)=0),"Round amount | ",""))-3)))</f>
        <v/>
      </c>
      <c r="M1215" s="21" t="str">
        <f aca="false">IF(A1215="","",IF(COUNTIF($A$9:A1215,A1215)=1,MAX($M$8:M1214)+1,""))</f>
        <v/>
      </c>
    </row>
    <row r="1216" customFormat="false" ht="15" hidden="false" customHeight="false" outlineLevel="0" collapsed="false">
      <c r="A1216" s="8"/>
      <c r="B1216" s="17"/>
      <c r="C1216" s="19"/>
      <c r="D1216" s="8"/>
      <c r="E1216" s="18"/>
      <c r="F1216" s="18"/>
      <c r="G1216" s="8"/>
      <c r="H1216" s="8"/>
      <c r="I1216" s="8"/>
      <c r="J1216" s="8"/>
      <c r="K1216" s="10" t="str">
        <f aca="false">IF(A1216="","",IF(ABS(SUMIFS($E$9:$E$2008,$A$9:$A$2008,A1216)-SUMIFS($F$9:$F$2008,$A$9:$A$2008,A1216))&lt;0.5,"Yes","No"))</f>
        <v/>
      </c>
      <c r="L1216" s="10" t="str">
        <f aca="false">IF(A1216="","",IF(IF(K1216="No","Does not balance | ","")&amp;IF(I1216="","Not approved | ",IF(UPPER(TRIM(H1216))=UPPER(TRIM(I1216)),"Self-approved | ",""))&amp;IF(J1216="","No support | ","")&amp;IF(WEEKDAY(B1216,2)&gt;5,"Weekend posting | ","")&amp;IF(COUNTIF(Settings!$A$14:$A$43,B1216)&gt;0,"Holiday posting | ","")&amp;IF(B1216&gt;Settings!$C$8,"Posted after close | ","")&amp;IF(OR(B1216&lt;Settings!$C$6,B1216&gt;Settings!$C$7),"Outside period | ","")&amp;IF(COUNTIF(Settings!$E$14:$E$43,C1216&amp;"")&gt;0,"Sensitive account | ","")&amp;IF(AND(MAX(N(E1216),N(F1216))&gt;=Settings!$C$9,MOD(MAX(N(E1216),N(F1216)),Settings!$C$10)=0),"Round amount | ","")="","",LEFT(IF(K1216="No","Does not balance | ","")&amp;IF(I1216="","Not approved | ",IF(UPPER(TRIM(H1216))=UPPER(TRIM(I1216)),"Self-approved | ",""))&amp;IF(J1216="","No support | ","")&amp;IF(WEEKDAY(B1216,2)&gt;5,"Weekend posting | ","")&amp;IF(COUNTIF(Settings!$A$14:$A$43,B1216)&gt;0,"Holiday posting | ","")&amp;IF(B1216&gt;Settings!$C$8,"Posted after close | ","")&amp;IF(OR(B1216&lt;Settings!$C$6,B1216&gt;Settings!$C$7),"Outside period | ","")&amp;IF(COUNTIF(Settings!$E$14:$E$43,C1216&amp;"")&gt;0,"Sensitive account | ","")&amp;IF(AND(MAX(N(E1216),N(F1216))&gt;=Settings!$C$9,MOD(MAX(N(E1216),N(F1216)),Settings!$C$10)=0),"Round amount | ",""),LEN(IF(K1216="No","Does not balance | ","")&amp;IF(I1216="","Not approved | ",IF(UPPER(TRIM(H1216))=UPPER(TRIM(I1216)),"Self-approved | ",""))&amp;IF(J1216="","No support | ","")&amp;IF(WEEKDAY(B1216,2)&gt;5,"Weekend posting | ","")&amp;IF(COUNTIF(Settings!$A$14:$A$43,B1216)&gt;0,"Holiday posting | ","")&amp;IF(B1216&gt;Settings!$C$8,"Posted after close | ","")&amp;IF(OR(B1216&lt;Settings!$C$6,B1216&gt;Settings!$C$7),"Outside period | ","")&amp;IF(COUNTIF(Settings!$E$14:$E$43,C1216&amp;"")&gt;0,"Sensitive account | ","")&amp;IF(AND(MAX(N(E1216),N(F1216))&gt;=Settings!$C$9,MOD(MAX(N(E1216),N(F1216)),Settings!$C$10)=0),"Round amount | ",""))-3)))</f>
        <v/>
      </c>
      <c r="M1216" s="21" t="str">
        <f aca="false">IF(A1216="","",IF(COUNTIF($A$9:A1216,A1216)=1,MAX($M$8:M1215)+1,""))</f>
        <v/>
      </c>
    </row>
    <row r="1217" customFormat="false" ht="15" hidden="false" customHeight="false" outlineLevel="0" collapsed="false">
      <c r="A1217" s="8"/>
      <c r="B1217" s="17"/>
      <c r="C1217" s="19"/>
      <c r="D1217" s="8"/>
      <c r="E1217" s="18"/>
      <c r="F1217" s="18"/>
      <c r="G1217" s="8"/>
      <c r="H1217" s="8"/>
      <c r="I1217" s="8"/>
      <c r="J1217" s="8"/>
      <c r="K1217" s="10" t="str">
        <f aca="false">IF(A1217="","",IF(ABS(SUMIFS($E$9:$E$2008,$A$9:$A$2008,A1217)-SUMIFS($F$9:$F$2008,$A$9:$A$2008,A1217))&lt;0.5,"Yes","No"))</f>
        <v/>
      </c>
      <c r="L1217" s="10" t="str">
        <f aca="false">IF(A1217="","",IF(IF(K1217="No","Does not balance | ","")&amp;IF(I1217="","Not approved | ",IF(UPPER(TRIM(H1217))=UPPER(TRIM(I1217)),"Self-approved | ",""))&amp;IF(J1217="","No support | ","")&amp;IF(WEEKDAY(B1217,2)&gt;5,"Weekend posting | ","")&amp;IF(COUNTIF(Settings!$A$14:$A$43,B1217)&gt;0,"Holiday posting | ","")&amp;IF(B1217&gt;Settings!$C$8,"Posted after close | ","")&amp;IF(OR(B1217&lt;Settings!$C$6,B1217&gt;Settings!$C$7),"Outside period | ","")&amp;IF(COUNTIF(Settings!$E$14:$E$43,C1217&amp;"")&gt;0,"Sensitive account | ","")&amp;IF(AND(MAX(N(E1217),N(F1217))&gt;=Settings!$C$9,MOD(MAX(N(E1217),N(F1217)),Settings!$C$10)=0),"Round amount | ","")="","",LEFT(IF(K1217="No","Does not balance | ","")&amp;IF(I1217="","Not approved | ",IF(UPPER(TRIM(H1217))=UPPER(TRIM(I1217)),"Self-approved | ",""))&amp;IF(J1217="","No support | ","")&amp;IF(WEEKDAY(B1217,2)&gt;5,"Weekend posting | ","")&amp;IF(COUNTIF(Settings!$A$14:$A$43,B1217)&gt;0,"Holiday posting | ","")&amp;IF(B1217&gt;Settings!$C$8,"Posted after close | ","")&amp;IF(OR(B1217&lt;Settings!$C$6,B1217&gt;Settings!$C$7),"Outside period | ","")&amp;IF(COUNTIF(Settings!$E$14:$E$43,C1217&amp;"")&gt;0,"Sensitive account | ","")&amp;IF(AND(MAX(N(E1217),N(F1217))&gt;=Settings!$C$9,MOD(MAX(N(E1217),N(F1217)),Settings!$C$10)=0),"Round amount | ",""),LEN(IF(K1217="No","Does not balance | ","")&amp;IF(I1217="","Not approved | ",IF(UPPER(TRIM(H1217))=UPPER(TRIM(I1217)),"Self-approved | ",""))&amp;IF(J1217="","No support | ","")&amp;IF(WEEKDAY(B1217,2)&gt;5,"Weekend posting | ","")&amp;IF(COUNTIF(Settings!$A$14:$A$43,B1217)&gt;0,"Holiday posting | ","")&amp;IF(B1217&gt;Settings!$C$8,"Posted after close | ","")&amp;IF(OR(B1217&lt;Settings!$C$6,B1217&gt;Settings!$C$7),"Outside period | ","")&amp;IF(COUNTIF(Settings!$E$14:$E$43,C1217&amp;"")&gt;0,"Sensitive account | ","")&amp;IF(AND(MAX(N(E1217),N(F1217))&gt;=Settings!$C$9,MOD(MAX(N(E1217),N(F1217)),Settings!$C$10)=0),"Round amount | ",""))-3)))</f>
        <v/>
      </c>
      <c r="M1217" s="21" t="str">
        <f aca="false">IF(A1217="","",IF(COUNTIF($A$9:A1217,A1217)=1,MAX($M$8:M1216)+1,""))</f>
        <v/>
      </c>
    </row>
    <row r="1218" customFormat="false" ht="15" hidden="false" customHeight="false" outlineLevel="0" collapsed="false">
      <c r="A1218" s="8"/>
      <c r="B1218" s="17"/>
      <c r="C1218" s="19"/>
      <c r="D1218" s="8"/>
      <c r="E1218" s="18"/>
      <c r="F1218" s="18"/>
      <c r="G1218" s="8"/>
      <c r="H1218" s="8"/>
      <c r="I1218" s="8"/>
      <c r="J1218" s="8"/>
      <c r="K1218" s="10" t="str">
        <f aca="false">IF(A1218="","",IF(ABS(SUMIFS($E$9:$E$2008,$A$9:$A$2008,A1218)-SUMIFS($F$9:$F$2008,$A$9:$A$2008,A1218))&lt;0.5,"Yes","No"))</f>
        <v/>
      </c>
      <c r="L1218" s="10" t="str">
        <f aca="false">IF(A1218="","",IF(IF(K1218="No","Does not balance | ","")&amp;IF(I1218="","Not approved | ",IF(UPPER(TRIM(H1218))=UPPER(TRIM(I1218)),"Self-approved | ",""))&amp;IF(J1218="","No support | ","")&amp;IF(WEEKDAY(B1218,2)&gt;5,"Weekend posting | ","")&amp;IF(COUNTIF(Settings!$A$14:$A$43,B1218)&gt;0,"Holiday posting | ","")&amp;IF(B1218&gt;Settings!$C$8,"Posted after close | ","")&amp;IF(OR(B1218&lt;Settings!$C$6,B1218&gt;Settings!$C$7),"Outside period | ","")&amp;IF(COUNTIF(Settings!$E$14:$E$43,C1218&amp;"")&gt;0,"Sensitive account | ","")&amp;IF(AND(MAX(N(E1218),N(F1218))&gt;=Settings!$C$9,MOD(MAX(N(E1218),N(F1218)),Settings!$C$10)=0),"Round amount | ","")="","",LEFT(IF(K1218="No","Does not balance | ","")&amp;IF(I1218="","Not approved | ",IF(UPPER(TRIM(H1218))=UPPER(TRIM(I1218)),"Self-approved | ",""))&amp;IF(J1218="","No support | ","")&amp;IF(WEEKDAY(B1218,2)&gt;5,"Weekend posting | ","")&amp;IF(COUNTIF(Settings!$A$14:$A$43,B1218)&gt;0,"Holiday posting | ","")&amp;IF(B1218&gt;Settings!$C$8,"Posted after close | ","")&amp;IF(OR(B1218&lt;Settings!$C$6,B1218&gt;Settings!$C$7),"Outside period | ","")&amp;IF(COUNTIF(Settings!$E$14:$E$43,C1218&amp;"")&gt;0,"Sensitive account | ","")&amp;IF(AND(MAX(N(E1218),N(F1218))&gt;=Settings!$C$9,MOD(MAX(N(E1218),N(F1218)),Settings!$C$10)=0),"Round amount | ",""),LEN(IF(K1218="No","Does not balance | ","")&amp;IF(I1218="","Not approved | ",IF(UPPER(TRIM(H1218))=UPPER(TRIM(I1218)),"Self-approved | ",""))&amp;IF(J1218="","No support | ","")&amp;IF(WEEKDAY(B1218,2)&gt;5,"Weekend posting | ","")&amp;IF(COUNTIF(Settings!$A$14:$A$43,B1218)&gt;0,"Holiday posting | ","")&amp;IF(B1218&gt;Settings!$C$8,"Posted after close | ","")&amp;IF(OR(B1218&lt;Settings!$C$6,B1218&gt;Settings!$C$7),"Outside period | ","")&amp;IF(COUNTIF(Settings!$E$14:$E$43,C1218&amp;"")&gt;0,"Sensitive account | ","")&amp;IF(AND(MAX(N(E1218),N(F1218))&gt;=Settings!$C$9,MOD(MAX(N(E1218),N(F1218)),Settings!$C$10)=0),"Round amount | ",""))-3)))</f>
        <v/>
      </c>
      <c r="M1218" s="21" t="str">
        <f aca="false">IF(A1218="","",IF(COUNTIF($A$9:A1218,A1218)=1,MAX($M$8:M1217)+1,""))</f>
        <v/>
      </c>
    </row>
    <row r="1219" customFormat="false" ht="15" hidden="false" customHeight="false" outlineLevel="0" collapsed="false">
      <c r="A1219" s="8"/>
      <c r="B1219" s="17"/>
      <c r="C1219" s="19"/>
      <c r="D1219" s="8"/>
      <c r="E1219" s="18"/>
      <c r="F1219" s="18"/>
      <c r="G1219" s="8"/>
      <c r="H1219" s="8"/>
      <c r="I1219" s="8"/>
      <c r="J1219" s="8"/>
      <c r="K1219" s="10" t="str">
        <f aca="false">IF(A1219="","",IF(ABS(SUMIFS($E$9:$E$2008,$A$9:$A$2008,A1219)-SUMIFS($F$9:$F$2008,$A$9:$A$2008,A1219))&lt;0.5,"Yes","No"))</f>
        <v/>
      </c>
      <c r="L1219" s="10" t="str">
        <f aca="false">IF(A1219="","",IF(IF(K1219="No","Does not balance | ","")&amp;IF(I1219="","Not approved | ",IF(UPPER(TRIM(H1219))=UPPER(TRIM(I1219)),"Self-approved | ",""))&amp;IF(J1219="","No support | ","")&amp;IF(WEEKDAY(B1219,2)&gt;5,"Weekend posting | ","")&amp;IF(COUNTIF(Settings!$A$14:$A$43,B1219)&gt;0,"Holiday posting | ","")&amp;IF(B1219&gt;Settings!$C$8,"Posted after close | ","")&amp;IF(OR(B1219&lt;Settings!$C$6,B1219&gt;Settings!$C$7),"Outside period | ","")&amp;IF(COUNTIF(Settings!$E$14:$E$43,C1219&amp;"")&gt;0,"Sensitive account | ","")&amp;IF(AND(MAX(N(E1219),N(F1219))&gt;=Settings!$C$9,MOD(MAX(N(E1219),N(F1219)),Settings!$C$10)=0),"Round amount | ","")="","",LEFT(IF(K1219="No","Does not balance | ","")&amp;IF(I1219="","Not approved | ",IF(UPPER(TRIM(H1219))=UPPER(TRIM(I1219)),"Self-approved | ",""))&amp;IF(J1219="","No support | ","")&amp;IF(WEEKDAY(B1219,2)&gt;5,"Weekend posting | ","")&amp;IF(COUNTIF(Settings!$A$14:$A$43,B1219)&gt;0,"Holiday posting | ","")&amp;IF(B1219&gt;Settings!$C$8,"Posted after close | ","")&amp;IF(OR(B1219&lt;Settings!$C$6,B1219&gt;Settings!$C$7),"Outside period | ","")&amp;IF(COUNTIF(Settings!$E$14:$E$43,C1219&amp;"")&gt;0,"Sensitive account | ","")&amp;IF(AND(MAX(N(E1219),N(F1219))&gt;=Settings!$C$9,MOD(MAX(N(E1219),N(F1219)),Settings!$C$10)=0),"Round amount | ",""),LEN(IF(K1219="No","Does not balance | ","")&amp;IF(I1219="","Not approved | ",IF(UPPER(TRIM(H1219))=UPPER(TRIM(I1219)),"Self-approved | ",""))&amp;IF(J1219="","No support | ","")&amp;IF(WEEKDAY(B1219,2)&gt;5,"Weekend posting | ","")&amp;IF(COUNTIF(Settings!$A$14:$A$43,B1219)&gt;0,"Holiday posting | ","")&amp;IF(B1219&gt;Settings!$C$8,"Posted after close | ","")&amp;IF(OR(B1219&lt;Settings!$C$6,B1219&gt;Settings!$C$7),"Outside period | ","")&amp;IF(COUNTIF(Settings!$E$14:$E$43,C1219&amp;"")&gt;0,"Sensitive account | ","")&amp;IF(AND(MAX(N(E1219),N(F1219))&gt;=Settings!$C$9,MOD(MAX(N(E1219),N(F1219)),Settings!$C$10)=0),"Round amount | ",""))-3)))</f>
        <v/>
      </c>
      <c r="M1219" s="21" t="str">
        <f aca="false">IF(A1219="","",IF(COUNTIF($A$9:A1219,A1219)=1,MAX($M$8:M1218)+1,""))</f>
        <v/>
      </c>
    </row>
    <row r="1220" customFormat="false" ht="15" hidden="false" customHeight="false" outlineLevel="0" collapsed="false">
      <c r="A1220" s="8"/>
      <c r="B1220" s="17"/>
      <c r="C1220" s="19"/>
      <c r="D1220" s="8"/>
      <c r="E1220" s="18"/>
      <c r="F1220" s="18"/>
      <c r="G1220" s="8"/>
      <c r="H1220" s="8"/>
      <c r="I1220" s="8"/>
      <c r="J1220" s="8"/>
      <c r="K1220" s="10" t="str">
        <f aca="false">IF(A1220="","",IF(ABS(SUMIFS($E$9:$E$2008,$A$9:$A$2008,A1220)-SUMIFS($F$9:$F$2008,$A$9:$A$2008,A1220))&lt;0.5,"Yes","No"))</f>
        <v/>
      </c>
      <c r="L1220" s="10" t="str">
        <f aca="false">IF(A1220="","",IF(IF(K1220="No","Does not balance | ","")&amp;IF(I1220="","Not approved | ",IF(UPPER(TRIM(H1220))=UPPER(TRIM(I1220)),"Self-approved | ",""))&amp;IF(J1220="","No support | ","")&amp;IF(WEEKDAY(B1220,2)&gt;5,"Weekend posting | ","")&amp;IF(COUNTIF(Settings!$A$14:$A$43,B1220)&gt;0,"Holiday posting | ","")&amp;IF(B1220&gt;Settings!$C$8,"Posted after close | ","")&amp;IF(OR(B1220&lt;Settings!$C$6,B1220&gt;Settings!$C$7),"Outside period | ","")&amp;IF(COUNTIF(Settings!$E$14:$E$43,C1220&amp;"")&gt;0,"Sensitive account | ","")&amp;IF(AND(MAX(N(E1220),N(F1220))&gt;=Settings!$C$9,MOD(MAX(N(E1220),N(F1220)),Settings!$C$10)=0),"Round amount | ","")="","",LEFT(IF(K1220="No","Does not balance | ","")&amp;IF(I1220="","Not approved | ",IF(UPPER(TRIM(H1220))=UPPER(TRIM(I1220)),"Self-approved | ",""))&amp;IF(J1220="","No support | ","")&amp;IF(WEEKDAY(B1220,2)&gt;5,"Weekend posting | ","")&amp;IF(COUNTIF(Settings!$A$14:$A$43,B1220)&gt;0,"Holiday posting | ","")&amp;IF(B1220&gt;Settings!$C$8,"Posted after close | ","")&amp;IF(OR(B1220&lt;Settings!$C$6,B1220&gt;Settings!$C$7),"Outside period | ","")&amp;IF(COUNTIF(Settings!$E$14:$E$43,C1220&amp;"")&gt;0,"Sensitive account | ","")&amp;IF(AND(MAX(N(E1220),N(F1220))&gt;=Settings!$C$9,MOD(MAX(N(E1220),N(F1220)),Settings!$C$10)=0),"Round amount | ",""),LEN(IF(K1220="No","Does not balance | ","")&amp;IF(I1220="","Not approved | ",IF(UPPER(TRIM(H1220))=UPPER(TRIM(I1220)),"Self-approved | ",""))&amp;IF(J1220="","No support | ","")&amp;IF(WEEKDAY(B1220,2)&gt;5,"Weekend posting | ","")&amp;IF(COUNTIF(Settings!$A$14:$A$43,B1220)&gt;0,"Holiday posting | ","")&amp;IF(B1220&gt;Settings!$C$8,"Posted after close | ","")&amp;IF(OR(B1220&lt;Settings!$C$6,B1220&gt;Settings!$C$7),"Outside period | ","")&amp;IF(COUNTIF(Settings!$E$14:$E$43,C1220&amp;"")&gt;0,"Sensitive account | ","")&amp;IF(AND(MAX(N(E1220),N(F1220))&gt;=Settings!$C$9,MOD(MAX(N(E1220),N(F1220)),Settings!$C$10)=0),"Round amount | ",""))-3)))</f>
        <v/>
      </c>
      <c r="M1220" s="21" t="str">
        <f aca="false">IF(A1220="","",IF(COUNTIF($A$9:A1220,A1220)=1,MAX($M$8:M1219)+1,""))</f>
        <v/>
      </c>
    </row>
    <row r="1221" customFormat="false" ht="15" hidden="false" customHeight="false" outlineLevel="0" collapsed="false">
      <c r="A1221" s="8"/>
      <c r="B1221" s="17"/>
      <c r="C1221" s="19"/>
      <c r="D1221" s="8"/>
      <c r="E1221" s="18"/>
      <c r="F1221" s="18"/>
      <c r="G1221" s="8"/>
      <c r="H1221" s="8"/>
      <c r="I1221" s="8"/>
      <c r="J1221" s="8"/>
      <c r="K1221" s="10" t="str">
        <f aca="false">IF(A1221="","",IF(ABS(SUMIFS($E$9:$E$2008,$A$9:$A$2008,A1221)-SUMIFS($F$9:$F$2008,$A$9:$A$2008,A1221))&lt;0.5,"Yes","No"))</f>
        <v/>
      </c>
      <c r="L1221" s="10" t="str">
        <f aca="false">IF(A1221="","",IF(IF(K1221="No","Does not balance | ","")&amp;IF(I1221="","Not approved | ",IF(UPPER(TRIM(H1221))=UPPER(TRIM(I1221)),"Self-approved | ",""))&amp;IF(J1221="","No support | ","")&amp;IF(WEEKDAY(B1221,2)&gt;5,"Weekend posting | ","")&amp;IF(COUNTIF(Settings!$A$14:$A$43,B1221)&gt;0,"Holiday posting | ","")&amp;IF(B1221&gt;Settings!$C$8,"Posted after close | ","")&amp;IF(OR(B1221&lt;Settings!$C$6,B1221&gt;Settings!$C$7),"Outside period | ","")&amp;IF(COUNTIF(Settings!$E$14:$E$43,C1221&amp;"")&gt;0,"Sensitive account | ","")&amp;IF(AND(MAX(N(E1221),N(F1221))&gt;=Settings!$C$9,MOD(MAX(N(E1221),N(F1221)),Settings!$C$10)=0),"Round amount | ","")="","",LEFT(IF(K1221="No","Does not balance | ","")&amp;IF(I1221="","Not approved | ",IF(UPPER(TRIM(H1221))=UPPER(TRIM(I1221)),"Self-approved | ",""))&amp;IF(J1221="","No support | ","")&amp;IF(WEEKDAY(B1221,2)&gt;5,"Weekend posting | ","")&amp;IF(COUNTIF(Settings!$A$14:$A$43,B1221)&gt;0,"Holiday posting | ","")&amp;IF(B1221&gt;Settings!$C$8,"Posted after close | ","")&amp;IF(OR(B1221&lt;Settings!$C$6,B1221&gt;Settings!$C$7),"Outside period | ","")&amp;IF(COUNTIF(Settings!$E$14:$E$43,C1221&amp;"")&gt;0,"Sensitive account | ","")&amp;IF(AND(MAX(N(E1221),N(F1221))&gt;=Settings!$C$9,MOD(MAX(N(E1221),N(F1221)),Settings!$C$10)=0),"Round amount | ",""),LEN(IF(K1221="No","Does not balance | ","")&amp;IF(I1221="","Not approved | ",IF(UPPER(TRIM(H1221))=UPPER(TRIM(I1221)),"Self-approved | ",""))&amp;IF(J1221="","No support | ","")&amp;IF(WEEKDAY(B1221,2)&gt;5,"Weekend posting | ","")&amp;IF(COUNTIF(Settings!$A$14:$A$43,B1221)&gt;0,"Holiday posting | ","")&amp;IF(B1221&gt;Settings!$C$8,"Posted after close | ","")&amp;IF(OR(B1221&lt;Settings!$C$6,B1221&gt;Settings!$C$7),"Outside period | ","")&amp;IF(COUNTIF(Settings!$E$14:$E$43,C1221&amp;"")&gt;0,"Sensitive account | ","")&amp;IF(AND(MAX(N(E1221),N(F1221))&gt;=Settings!$C$9,MOD(MAX(N(E1221),N(F1221)),Settings!$C$10)=0),"Round amount | ",""))-3)))</f>
        <v/>
      </c>
      <c r="M1221" s="21" t="str">
        <f aca="false">IF(A1221="","",IF(COUNTIF($A$9:A1221,A1221)=1,MAX($M$8:M1220)+1,""))</f>
        <v/>
      </c>
    </row>
    <row r="1222" customFormat="false" ht="15" hidden="false" customHeight="false" outlineLevel="0" collapsed="false">
      <c r="A1222" s="8"/>
      <c r="B1222" s="17"/>
      <c r="C1222" s="19"/>
      <c r="D1222" s="8"/>
      <c r="E1222" s="18"/>
      <c r="F1222" s="18"/>
      <c r="G1222" s="8"/>
      <c r="H1222" s="8"/>
      <c r="I1222" s="8"/>
      <c r="J1222" s="8"/>
      <c r="K1222" s="10" t="str">
        <f aca="false">IF(A1222="","",IF(ABS(SUMIFS($E$9:$E$2008,$A$9:$A$2008,A1222)-SUMIFS($F$9:$F$2008,$A$9:$A$2008,A1222))&lt;0.5,"Yes","No"))</f>
        <v/>
      </c>
      <c r="L1222" s="10" t="str">
        <f aca="false">IF(A1222="","",IF(IF(K1222="No","Does not balance | ","")&amp;IF(I1222="","Not approved | ",IF(UPPER(TRIM(H1222))=UPPER(TRIM(I1222)),"Self-approved | ",""))&amp;IF(J1222="","No support | ","")&amp;IF(WEEKDAY(B1222,2)&gt;5,"Weekend posting | ","")&amp;IF(COUNTIF(Settings!$A$14:$A$43,B1222)&gt;0,"Holiday posting | ","")&amp;IF(B1222&gt;Settings!$C$8,"Posted after close | ","")&amp;IF(OR(B1222&lt;Settings!$C$6,B1222&gt;Settings!$C$7),"Outside period | ","")&amp;IF(COUNTIF(Settings!$E$14:$E$43,C1222&amp;"")&gt;0,"Sensitive account | ","")&amp;IF(AND(MAX(N(E1222),N(F1222))&gt;=Settings!$C$9,MOD(MAX(N(E1222),N(F1222)),Settings!$C$10)=0),"Round amount | ","")="","",LEFT(IF(K1222="No","Does not balance | ","")&amp;IF(I1222="","Not approved | ",IF(UPPER(TRIM(H1222))=UPPER(TRIM(I1222)),"Self-approved | ",""))&amp;IF(J1222="","No support | ","")&amp;IF(WEEKDAY(B1222,2)&gt;5,"Weekend posting | ","")&amp;IF(COUNTIF(Settings!$A$14:$A$43,B1222)&gt;0,"Holiday posting | ","")&amp;IF(B1222&gt;Settings!$C$8,"Posted after close | ","")&amp;IF(OR(B1222&lt;Settings!$C$6,B1222&gt;Settings!$C$7),"Outside period | ","")&amp;IF(COUNTIF(Settings!$E$14:$E$43,C1222&amp;"")&gt;0,"Sensitive account | ","")&amp;IF(AND(MAX(N(E1222),N(F1222))&gt;=Settings!$C$9,MOD(MAX(N(E1222),N(F1222)),Settings!$C$10)=0),"Round amount | ",""),LEN(IF(K1222="No","Does not balance | ","")&amp;IF(I1222="","Not approved | ",IF(UPPER(TRIM(H1222))=UPPER(TRIM(I1222)),"Self-approved | ",""))&amp;IF(J1222="","No support | ","")&amp;IF(WEEKDAY(B1222,2)&gt;5,"Weekend posting | ","")&amp;IF(COUNTIF(Settings!$A$14:$A$43,B1222)&gt;0,"Holiday posting | ","")&amp;IF(B1222&gt;Settings!$C$8,"Posted after close | ","")&amp;IF(OR(B1222&lt;Settings!$C$6,B1222&gt;Settings!$C$7),"Outside period | ","")&amp;IF(COUNTIF(Settings!$E$14:$E$43,C1222&amp;"")&gt;0,"Sensitive account | ","")&amp;IF(AND(MAX(N(E1222),N(F1222))&gt;=Settings!$C$9,MOD(MAX(N(E1222),N(F1222)),Settings!$C$10)=0),"Round amount | ",""))-3)))</f>
        <v/>
      </c>
      <c r="M1222" s="21" t="str">
        <f aca="false">IF(A1222="","",IF(COUNTIF($A$9:A1222,A1222)=1,MAX($M$8:M1221)+1,""))</f>
        <v/>
      </c>
    </row>
    <row r="1223" customFormat="false" ht="15" hidden="false" customHeight="false" outlineLevel="0" collapsed="false">
      <c r="A1223" s="8"/>
      <c r="B1223" s="17"/>
      <c r="C1223" s="19"/>
      <c r="D1223" s="8"/>
      <c r="E1223" s="18"/>
      <c r="F1223" s="18"/>
      <c r="G1223" s="8"/>
      <c r="H1223" s="8"/>
      <c r="I1223" s="8"/>
      <c r="J1223" s="8"/>
      <c r="K1223" s="10" t="str">
        <f aca="false">IF(A1223="","",IF(ABS(SUMIFS($E$9:$E$2008,$A$9:$A$2008,A1223)-SUMIFS($F$9:$F$2008,$A$9:$A$2008,A1223))&lt;0.5,"Yes","No"))</f>
        <v/>
      </c>
      <c r="L1223" s="10" t="str">
        <f aca="false">IF(A1223="","",IF(IF(K1223="No","Does not balance | ","")&amp;IF(I1223="","Not approved | ",IF(UPPER(TRIM(H1223))=UPPER(TRIM(I1223)),"Self-approved | ",""))&amp;IF(J1223="","No support | ","")&amp;IF(WEEKDAY(B1223,2)&gt;5,"Weekend posting | ","")&amp;IF(COUNTIF(Settings!$A$14:$A$43,B1223)&gt;0,"Holiday posting | ","")&amp;IF(B1223&gt;Settings!$C$8,"Posted after close | ","")&amp;IF(OR(B1223&lt;Settings!$C$6,B1223&gt;Settings!$C$7),"Outside period | ","")&amp;IF(COUNTIF(Settings!$E$14:$E$43,C1223&amp;"")&gt;0,"Sensitive account | ","")&amp;IF(AND(MAX(N(E1223),N(F1223))&gt;=Settings!$C$9,MOD(MAX(N(E1223),N(F1223)),Settings!$C$10)=0),"Round amount | ","")="","",LEFT(IF(K1223="No","Does not balance | ","")&amp;IF(I1223="","Not approved | ",IF(UPPER(TRIM(H1223))=UPPER(TRIM(I1223)),"Self-approved | ",""))&amp;IF(J1223="","No support | ","")&amp;IF(WEEKDAY(B1223,2)&gt;5,"Weekend posting | ","")&amp;IF(COUNTIF(Settings!$A$14:$A$43,B1223)&gt;0,"Holiday posting | ","")&amp;IF(B1223&gt;Settings!$C$8,"Posted after close | ","")&amp;IF(OR(B1223&lt;Settings!$C$6,B1223&gt;Settings!$C$7),"Outside period | ","")&amp;IF(COUNTIF(Settings!$E$14:$E$43,C1223&amp;"")&gt;0,"Sensitive account | ","")&amp;IF(AND(MAX(N(E1223),N(F1223))&gt;=Settings!$C$9,MOD(MAX(N(E1223),N(F1223)),Settings!$C$10)=0),"Round amount | ",""),LEN(IF(K1223="No","Does not balance | ","")&amp;IF(I1223="","Not approved | ",IF(UPPER(TRIM(H1223))=UPPER(TRIM(I1223)),"Self-approved | ",""))&amp;IF(J1223="","No support | ","")&amp;IF(WEEKDAY(B1223,2)&gt;5,"Weekend posting | ","")&amp;IF(COUNTIF(Settings!$A$14:$A$43,B1223)&gt;0,"Holiday posting | ","")&amp;IF(B1223&gt;Settings!$C$8,"Posted after close | ","")&amp;IF(OR(B1223&lt;Settings!$C$6,B1223&gt;Settings!$C$7),"Outside period | ","")&amp;IF(COUNTIF(Settings!$E$14:$E$43,C1223&amp;"")&gt;0,"Sensitive account | ","")&amp;IF(AND(MAX(N(E1223),N(F1223))&gt;=Settings!$C$9,MOD(MAX(N(E1223),N(F1223)),Settings!$C$10)=0),"Round amount | ",""))-3)))</f>
        <v/>
      </c>
      <c r="M1223" s="21" t="str">
        <f aca="false">IF(A1223="","",IF(COUNTIF($A$9:A1223,A1223)=1,MAX($M$8:M1222)+1,""))</f>
        <v/>
      </c>
    </row>
    <row r="1224" customFormat="false" ht="15" hidden="false" customHeight="false" outlineLevel="0" collapsed="false">
      <c r="A1224" s="8"/>
      <c r="B1224" s="17"/>
      <c r="C1224" s="19"/>
      <c r="D1224" s="8"/>
      <c r="E1224" s="18"/>
      <c r="F1224" s="18"/>
      <c r="G1224" s="8"/>
      <c r="H1224" s="8"/>
      <c r="I1224" s="8"/>
      <c r="J1224" s="8"/>
      <c r="K1224" s="10" t="str">
        <f aca="false">IF(A1224="","",IF(ABS(SUMIFS($E$9:$E$2008,$A$9:$A$2008,A1224)-SUMIFS($F$9:$F$2008,$A$9:$A$2008,A1224))&lt;0.5,"Yes","No"))</f>
        <v/>
      </c>
      <c r="L1224" s="10" t="str">
        <f aca="false">IF(A1224="","",IF(IF(K1224="No","Does not balance | ","")&amp;IF(I1224="","Not approved | ",IF(UPPER(TRIM(H1224))=UPPER(TRIM(I1224)),"Self-approved | ",""))&amp;IF(J1224="","No support | ","")&amp;IF(WEEKDAY(B1224,2)&gt;5,"Weekend posting | ","")&amp;IF(COUNTIF(Settings!$A$14:$A$43,B1224)&gt;0,"Holiday posting | ","")&amp;IF(B1224&gt;Settings!$C$8,"Posted after close | ","")&amp;IF(OR(B1224&lt;Settings!$C$6,B1224&gt;Settings!$C$7),"Outside period | ","")&amp;IF(COUNTIF(Settings!$E$14:$E$43,C1224&amp;"")&gt;0,"Sensitive account | ","")&amp;IF(AND(MAX(N(E1224),N(F1224))&gt;=Settings!$C$9,MOD(MAX(N(E1224),N(F1224)),Settings!$C$10)=0),"Round amount | ","")="","",LEFT(IF(K1224="No","Does not balance | ","")&amp;IF(I1224="","Not approved | ",IF(UPPER(TRIM(H1224))=UPPER(TRIM(I1224)),"Self-approved | ",""))&amp;IF(J1224="","No support | ","")&amp;IF(WEEKDAY(B1224,2)&gt;5,"Weekend posting | ","")&amp;IF(COUNTIF(Settings!$A$14:$A$43,B1224)&gt;0,"Holiday posting | ","")&amp;IF(B1224&gt;Settings!$C$8,"Posted after close | ","")&amp;IF(OR(B1224&lt;Settings!$C$6,B1224&gt;Settings!$C$7),"Outside period | ","")&amp;IF(COUNTIF(Settings!$E$14:$E$43,C1224&amp;"")&gt;0,"Sensitive account | ","")&amp;IF(AND(MAX(N(E1224),N(F1224))&gt;=Settings!$C$9,MOD(MAX(N(E1224),N(F1224)),Settings!$C$10)=0),"Round amount | ",""),LEN(IF(K1224="No","Does not balance | ","")&amp;IF(I1224="","Not approved | ",IF(UPPER(TRIM(H1224))=UPPER(TRIM(I1224)),"Self-approved | ",""))&amp;IF(J1224="","No support | ","")&amp;IF(WEEKDAY(B1224,2)&gt;5,"Weekend posting | ","")&amp;IF(COUNTIF(Settings!$A$14:$A$43,B1224)&gt;0,"Holiday posting | ","")&amp;IF(B1224&gt;Settings!$C$8,"Posted after close | ","")&amp;IF(OR(B1224&lt;Settings!$C$6,B1224&gt;Settings!$C$7),"Outside period | ","")&amp;IF(COUNTIF(Settings!$E$14:$E$43,C1224&amp;"")&gt;0,"Sensitive account | ","")&amp;IF(AND(MAX(N(E1224),N(F1224))&gt;=Settings!$C$9,MOD(MAX(N(E1224),N(F1224)),Settings!$C$10)=0),"Round amount | ",""))-3)))</f>
        <v/>
      </c>
      <c r="M1224" s="21" t="str">
        <f aca="false">IF(A1224="","",IF(COUNTIF($A$9:A1224,A1224)=1,MAX($M$8:M1223)+1,""))</f>
        <v/>
      </c>
    </row>
    <row r="1225" customFormat="false" ht="15" hidden="false" customHeight="false" outlineLevel="0" collapsed="false">
      <c r="A1225" s="8"/>
      <c r="B1225" s="17"/>
      <c r="C1225" s="19"/>
      <c r="D1225" s="8"/>
      <c r="E1225" s="18"/>
      <c r="F1225" s="18"/>
      <c r="G1225" s="8"/>
      <c r="H1225" s="8"/>
      <c r="I1225" s="8"/>
      <c r="J1225" s="8"/>
      <c r="K1225" s="10" t="str">
        <f aca="false">IF(A1225="","",IF(ABS(SUMIFS($E$9:$E$2008,$A$9:$A$2008,A1225)-SUMIFS($F$9:$F$2008,$A$9:$A$2008,A1225))&lt;0.5,"Yes","No"))</f>
        <v/>
      </c>
      <c r="L1225" s="10" t="str">
        <f aca="false">IF(A1225="","",IF(IF(K1225="No","Does not balance | ","")&amp;IF(I1225="","Not approved | ",IF(UPPER(TRIM(H1225))=UPPER(TRIM(I1225)),"Self-approved | ",""))&amp;IF(J1225="","No support | ","")&amp;IF(WEEKDAY(B1225,2)&gt;5,"Weekend posting | ","")&amp;IF(COUNTIF(Settings!$A$14:$A$43,B1225)&gt;0,"Holiday posting | ","")&amp;IF(B1225&gt;Settings!$C$8,"Posted after close | ","")&amp;IF(OR(B1225&lt;Settings!$C$6,B1225&gt;Settings!$C$7),"Outside period | ","")&amp;IF(COUNTIF(Settings!$E$14:$E$43,C1225&amp;"")&gt;0,"Sensitive account | ","")&amp;IF(AND(MAX(N(E1225),N(F1225))&gt;=Settings!$C$9,MOD(MAX(N(E1225),N(F1225)),Settings!$C$10)=0),"Round amount | ","")="","",LEFT(IF(K1225="No","Does not balance | ","")&amp;IF(I1225="","Not approved | ",IF(UPPER(TRIM(H1225))=UPPER(TRIM(I1225)),"Self-approved | ",""))&amp;IF(J1225="","No support | ","")&amp;IF(WEEKDAY(B1225,2)&gt;5,"Weekend posting | ","")&amp;IF(COUNTIF(Settings!$A$14:$A$43,B1225)&gt;0,"Holiday posting | ","")&amp;IF(B1225&gt;Settings!$C$8,"Posted after close | ","")&amp;IF(OR(B1225&lt;Settings!$C$6,B1225&gt;Settings!$C$7),"Outside period | ","")&amp;IF(COUNTIF(Settings!$E$14:$E$43,C1225&amp;"")&gt;0,"Sensitive account | ","")&amp;IF(AND(MAX(N(E1225),N(F1225))&gt;=Settings!$C$9,MOD(MAX(N(E1225),N(F1225)),Settings!$C$10)=0),"Round amount | ",""),LEN(IF(K1225="No","Does not balance | ","")&amp;IF(I1225="","Not approved | ",IF(UPPER(TRIM(H1225))=UPPER(TRIM(I1225)),"Self-approved | ",""))&amp;IF(J1225="","No support | ","")&amp;IF(WEEKDAY(B1225,2)&gt;5,"Weekend posting | ","")&amp;IF(COUNTIF(Settings!$A$14:$A$43,B1225)&gt;0,"Holiday posting | ","")&amp;IF(B1225&gt;Settings!$C$8,"Posted after close | ","")&amp;IF(OR(B1225&lt;Settings!$C$6,B1225&gt;Settings!$C$7),"Outside period | ","")&amp;IF(COUNTIF(Settings!$E$14:$E$43,C1225&amp;"")&gt;0,"Sensitive account | ","")&amp;IF(AND(MAX(N(E1225),N(F1225))&gt;=Settings!$C$9,MOD(MAX(N(E1225),N(F1225)),Settings!$C$10)=0),"Round amount | ",""))-3)))</f>
        <v/>
      </c>
      <c r="M1225" s="21" t="str">
        <f aca="false">IF(A1225="","",IF(COUNTIF($A$9:A1225,A1225)=1,MAX($M$8:M1224)+1,""))</f>
        <v/>
      </c>
    </row>
    <row r="1226" customFormat="false" ht="15" hidden="false" customHeight="false" outlineLevel="0" collapsed="false">
      <c r="A1226" s="8"/>
      <c r="B1226" s="17"/>
      <c r="C1226" s="19"/>
      <c r="D1226" s="8"/>
      <c r="E1226" s="18"/>
      <c r="F1226" s="18"/>
      <c r="G1226" s="8"/>
      <c r="H1226" s="8"/>
      <c r="I1226" s="8"/>
      <c r="J1226" s="8"/>
      <c r="K1226" s="10" t="str">
        <f aca="false">IF(A1226="","",IF(ABS(SUMIFS($E$9:$E$2008,$A$9:$A$2008,A1226)-SUMIFS($F$9:$F$2008,$A$9:$A$2008,A1226))&lt;0.5,"Yes","No"))</f>
        <v/>
      </c>
      <c r="L1226" s="10" t="str">
        <f aca="false">IF(A1226="","",IF(IF(K1226="No","Does not balance | ","")&amp;IF(I1226="","Not approved | ",IF(UPPER(TRIM(H1226))=UPPER(TRIM(I1226)),"Self-approved | ",""))&amp;IF(J1226="","No support | ","")&amp;IF(WEEKDAY(B1226,2)&gt;5,"Weekend posting | ","")&amp;IF(COUNTIF(Settings!$A$14:$A$43,B1226)&gt;0,"Holiday posting | ","")&amp;IF(B1226&gt;Settings!$C$8,"Posted after close | ","")&amp;IF(OR(B1226&lt;Settings!$C$6,B1226&gt;Settings!$C$7),"Outside period | ","")&amp;IF(COUNTIF(Settings!$E$14:$E$43,C1226&amp;"")&gt;0,"Sensitive account | ","")&amp;IF(AND(MAX(N(E1226),N(F1226))&gt;=Settings!$C$9,MOD(MAX(N(E1226),N(F1226)),Settings!$C$10)=0),"Round amount | ","")="","",LEFT(IF(K1226="No","Does not balance | ","")&amp;IF(I1226="","Not approved | ",IF(UPPER(TRIM(H1226))=UPPER(TRIM(I1226)),"Self-approved | ",""))&amp;IF(J1226="","No support | ","")&amp;IF(WEEKDAY(B1226,2)&gt;5,"Weekend posting | ","")&amp;IF(COUNTIF(Settings!$A$14:$A$43,B1226)&gt;0,"Holiday posting | ","")&amp;IF(B1226&gt;Settings!$C$8,"Posted after close | ","")&amp;IF(OR(B1226&lt;Settings!$C$6,B1226&gt;Settings!$C$7),"Outside period | ","")&amp;IF(COUNTIF(Settings!$E$14:$E$43,C1226&amp;"")&gt;0,"Sensitive account | ","")&amp;IF(AND(MAX(N(E1226),N(F1226))&gt;=Settings!$C$9,MOD(MAX(N(E1226),N(F1226)),Settings!$C$10)=0),"Round amount | ",""),LEN(IF(K1226="No","Does not balance | ","")&amp;IF(I1226="","Not approved | ",IF(UPPER(TRIM(H1226))=UPPER(TRIM(I1226)),"Self-approved | ",""))&amp;IF(J1226="","No support | ","")&amp;IF(WEEKDAY(B1226,2)&gt;5,"Weekend posting | ","")&amp;IF(COUNTIF(Settings!$A$14:$A$43,B1226)&gt;0,"Holiday posting | ","")&amp;IF(B1226&gt;Settings!$C$8,"Posted after close | ","")&amp;IF(OR(B1226&lt;Settings!$C$6,B1226&gt;Settings!$C$7),"Outside period | ","")&amp;IF(COUNTIF(Settings!$E$14:$E$43,C1226&amp;"")&gt;0,"Sensitive account | ","")&amp;IF(AND(MAX(N(E1226),N(F1226))&gt;=Settings!$C$9,MOD(MAX(N(E1226),N(F1226)),Settings!$C$10)=0),"Round amount | ",""))-3)))</f>
        <v/>
      </c>
      <c r="M1226" s="21" t="str">
        <f aca="false">IF(A1226="","",IF(COUNTIF($A$9:A1226,A1226)=1,MAX($M$8:M1225)+1,""))</f>
        <v/>
      </c>
    </row>
    <row r="1227" customFormat="false" ht="15" hidden="false" customHeight="false" outlineLevel="0" collapsed="false">
      <c r="A1227" s="8"/>
      <c r="B1227" s="17"/>
      <c r="C1227" s="19"/>
      <c r="D1227" s="8"/>
      <c r="E1227" s="18"/>
      <c r="F1227" s="18"/>
      <c r="G1227" s="8"/>
      <c r="H1227" s="8"/>
      <c r="I1227" s="8"/>
      <c r="J1227" s="8"/>
      <c r="K1227" s="10" t="str">
        <f aca="false">IF(A1227="","",IF(ABS(SUMIFS($E$9:$E$2008,$A$9:$A$2008,A1227)-SUMIFS($F$9:$F$2008,$A$9:$A$2008,A1227))&lt;0.5,"Yes","No"))</f>
        <v/>
      </c>
      <c r="L1227" s="10" t="str">
        <f aca="false">IF(A1227="","",IF(IF(K1227="No","Does not balance | ","")&amp;IF(I1227="","Not approved | ",IF(UPPER(TRIM(H1227))=UPPER(TRIM(I1227)),"Self-approved | ",""))&amp;IF(J1227="","No support | ","")&amp;IF(WEEKDAY(B1227,2)&gt;5,"Weekend posting | ","")&amp;IF(COUNTIF(Settings!$A$14:$A$43,B1227)&gt;0,"Holiday posting | ","")&amp;IF(B1227&gt;Settings!$C$8,"Posted after close | ","")&amp;IF(OR(B1227&lt;Settings!$C$6,B1227&gt;Settings!$C$7),"Outside period | ","")&amp;IF(COUNTIF(Settings!$E$14:$E$43,C1227&amp;"")&gt;0,"Sensitive account | ","")&amp;IF(AND(MAX(N(E1227),N(F1227))&gt;=Settings!$C$9,MOD(MAX(N(E1227),N(F1227)),Settings!$C$10)=0),"Round amount | ","")="","",LEFT(IF(K1227="No","Does not balance | ","")&amp;IF(I1227="","Not approved | ",IF(UPPER(TRIM(H1227))=UPPER(TRIM(I1227)),"Self-approved | ",""))&amp;IF(J1227="","No support | ","")&amp;IF(WEEKDAY(B1227,2)&gt;5,"Weekend posting | ","")&amp;IF(COUNTIF(Settings!$A$14:$A$43,B1227)&gt;0,"Holiday posting | ","")&amp;IF(B1227&gt;Settings!$C$8,"Posted after close | ","")&amp;IF(OR(B1227&lt;Settings!$C$6,B1227&gt;Settings!$C$7),"Outside period | ","")&amp;IF(COUNTIF(Settings!$E$14:$E$43,C1227&amp;"")&gt;0,"Sensitive account | ","")&amp;IF(AND(MAX(N(E1227),N(F1227))&gt;=Settings!$C$9,MOD(MAX(N(E1227),N(F1227)),Settings!$C$10)=0),"Round amount | ",""),LEN(IF(K1227="No","Does not balance | ","")&amp;IF(I1227="","Not approved | ",IF(UPPER(TRIM(H1227))=UPPER(TRIM(I1227)),"Self-approved | ",""))&amp;IF(J1227="","No support | ","")&amp;IF(WEEKDAY(B1227,2)&gt;5,"Weekend posting | ","")&amp;IF(COUNTIF(Settings!$A$14:$A$43,B1227)&gt;0,"Holiday posting | ","")&amp;IF(B1227&gt;Settings!$C$8,"Posted after close | ","")&amp;IF(OR(B1227&lt;Settings!$C$6,B1227&gt;Settings!$C$7),"Outside period | ","")&amp;IF(COUNTIF(Settings!$E$14:$E$43,C1227&amp;"")&gt;0,"Sensitive account | ","")&amp;IF(AND(MAX(N(E1227),N(F1227))&gt;=Settings!$C$9,MOD(MAX(N(E1227),N(F1227)),Settings!$C$10)=0),"Round amount | ",""))-3)))</f>
        <v/>
      </c>
      <c r="M1227" s="21" t="str">
        <f aca="false">IF(A1227="","",IF(COUNTIF($A$9:A1227,A1227)=1,MAX($M$8:M1226)+1,""))</f>
        <v/>
      </c>
    </row>
    <row r="1228" customFormat="false" ht="15" hidden="false" customHeight="false" outlineLevel="0" collapsed="false">
      <c r="A1228" s="8"/>
      <c r="B1228" s="17"/>
      <c r="C1228" s="19"/>
      <c r="D1228" s="8"/>
      <c r="E1228" s="18"/>
      <c r="F1228" s="18"/>
      <c r="G1228" s="8"/>
      <c r="H1228" s="8"/>
      <c r="I1228" s="8"/>
      <c r="J1228" s="8"/>
      <c r="K1228" s="10" t="str">
        <f aca="false">IF(A1228="","",IF(ABS(SUMIFS($E$9:$E$2008,$A$9:$A$2008,A1228)-SUMIFS($F$9:$F$2008,$A$9:$A$2008,A1228))&lt;0.5,"Yes","No"))</f>
        <v/>
      </c>
      <c r="L1228" s="10" t="str">
        <f aca="false">IF(A1228="","",IF(IF(K1228="No","Does not balance | ","")&amp;IF(I1228="","Not approved | ",IF(UPPER(TRIM(H1228))=UPPER(TRIM(I1228)),"Self-approved | ",""))&amp;IF(J1228="","No support | ","")&amp;IF(WEEKDAY(B1228,2)&gt;5,"Weekend posting | ","")&amp;IF(COUNTIF(Settings!$A$14:$A$43,B1228)&gt;0,"Holiday posting | ","")&amp;IF(B1228&gt;Settings!$C$8,"Posted after close | ","")&amp;IF(OR(B1228&lt;Settings!$C$6,B1228&gt;Settings!$C$7),"Outside period | ","")&amp;IF(COUNTIF(Settings!$E$14:$E$43,C1228&amp;"")&gt;0,"Sensitive account | ","")&amp;IF(AND(MAX(N(E1228),N(F1228))&gt;=Settings!$C$9,MOD(MAX(N(E1228),N(F1228)),Settings!$C$10)=0),"Round amount | ","")="","",LEFT(IF(K1228="No","Does not balance | ","")&amp;IF(I1228="","Not approved | ",IF(UPPER(TRIM(H1228))=UPPER(TRIM(I1228)),"Self-approved | ",""))&amp;IF(J1228="","No support | ","")&amp;IF(WEEKDAY(B1228,2)&gt;5,"Weekend posting | ","")&amp;IF(COUNTIF(Settings!$A$14:$A$43,B1228)&gt;0,"Holiday posting | ","")&amp;IF(B1228&gt;Settings!$C$8,"Posted after close | ","")&amp;IF(OR(B1228&lt;Settings!$C$6,B1228&gt;Settings!$C$7),"Outside period | ","")&amp;IF(COUNTIF(Settings!$E$14:$E$43,C1228&amp;"")&gt;0,"Sensitive account | ","")&amp;IF(AND(MAX(N(E1228),N(F1228))&gt;=Settings!$C$9,MOD(MAX(N(E1228),N(F1228)),Settings!$C$10)=0),"Round amount | ",""),LEN(IF(K1228="No","Does not balance | ","")&amp;IF(I1228="","Not approved | ",IF(UPPER(TRIM(H1228))=UPPER(TRIM(I1228)),"Self-approved | ",""))&amp;IF(J1228="","No support | ","")&amp;IF(WEEKDAY(B1228,2)&gt;5,"Weekend posting | ","")&amp;IF(COUNTIF(Settings!$A$14:$A$43,B1228)&gt;0,"Holiday posting | ","")&amp;IF(B1228&gt;Settings!$C$8,"Posted after close | ","")&amp;IF(OR(B1228&lt;Settings!$C$6,B1228&gt;Settings!$C$7),"Outside period | ","")&amp;IF(COUNTIF(Settings!$E$14:$E$43,C1228&amp;"")&gt;0,"Sensitive account | ","")&amp;IF(AND(MAX(N(E1228),N(F1228))&gt;=Settings!$C$9,MOD(MAX(N(E1228),N(F1228)),Settings!$C$10)=0),"Round amount | ",""))-3)))</f>
        <v/>
      </c>
      <c r="M1228" s="21" t="str">
        <f aca="false">IF(A1228="","",IF(COUNTIF($A$9:A1228,A1228)=1,MAX($M$8:M1227)+1,""))</f>
        <v/>
      </c>
    </row>
    <row r="1229" customFormat="false" ht="15" hidden="false" customHeight="false" outlineLevel="0" collapsed="false">
      <c r="A1229" s="8"/>
      <c r="B1229" s="17"/>
      <c r="C1229" s="19"/>
      <c r="D1229" s="8"/>
      <c r="E1229" s="18"/>
      <c r="F1229" s="18"/>
      <c r="G1229" s="8"/>
      <c r="H1229" s="8"/>
      <c r="I1229" s="8"/>
      <c r="J1229" s="8"/>
      <c r="K1229" s="10" t="str">
        <f aca="false">IF(A1229="","",IF(ABS(SUMIFS($E$9:$E$2008,$A$9:$A$2008,A1229)-SUMIFS($F$9:$F$2008,$A$9:$A$2008,A1229))&lt;0.5,"Yes","No"))</f>
        <v/>
      </c>
      <c r="L1229" s="10" t="str">
        <f aca="false">IF(A1229="","",IF(IF(K1229="No","Does not balance | ","")&amp;IF(I1229="","Not approved | ",IF(UPPER(TRIM(H1229))=UPPER(TRIM(I1229)),"Self-approved | ",""))&amp;IF(J1229="","No support | ","")&amp;IF(WEEKDAY(B1229,2)&gt;5,"Weekend posting | ","")&amp;IF(COUNTIF(Settings!$A$14:$A$43,B1229)&gt;0,"Holiday posting | ","")&amp;IF(B1229&gt;Settings!$C$8,"Posted after close | ","")&amp;IF(OR(B1229&lt;Settings!$C$6,B1229&gt;Settings!$C$7),"Outside period | ","")&amp;IF(COUNTIF(Settings!$E$14:$E$43,C1229&amp;"")&gt;0,"Sensitive account | ","")&amp;IF(AND(MAX(N(E1229),N(F1229))&gt;=Settings!$C$9,MOD(MAX(N(E1229),N(F1229)),Settings!$C$10)=0),"Round amount | ","")="","",LEFT(IF(K1229="No","Does not balance | ","")&amp;IF(I1229="","Not approved | ",IF(UPPER(TRIM(H1229))=UPPER(TRIM(I1229)),"Self-approved | ",""))&amp;IF(J1229="","No support | ","")&amp;IF(WEEKDAY(B1229,2)&gt;5,"Weekend posting | ","")&amp;IF(COUNTIF(Settings!$A$14:$A$43,B1229)&gt;0,"Holiday posting | ","")&amp;IF(B1229&gt;Settings!$C$8,"Posted after close | ","")&amp;IF(OR(B1229&lt;Settings!$C$6,B1229&gt;Settings!$C$7),"Outside period | ","")&amp;IF(COUNTIF(Settings!$E$14:$E$43,C1229&amp;"")&gt;0,"Sensitive account | ","")&amp;IF(AND(MAX(N(E1229),N(F1229))&gt;=Settings!$C$9,MOD(MAX(N(E1229),N(F1229)),Settings!$C$10)=0),"Round amount | ",""),LEN(IF(K1229="No","Does not balance | ","")&amp;IF(I1229="","Not approved | ",IF(UPPER(TRIM(H1229))=UPPER(TRIM(I1229)),"Self-approved | ",""))&amp;IF(J1229="","No support | ","")&amp;IF(WEEKDAY(B1229,2)&gt;5,"Weekend posting | ","")&amp;IF(COUNTIF(Settings!$A$14:$A$43,B1229)&gt;0,"Holiday posting | ","")&amp;IF(B1229&gt;Settings!$C$8,"Posted after close | ","")&amp;IF(OR(B1229&lt;Settings!$C$6,B1229&gt;Settings!$C$7),"Outside period | ","")&amp;IF(COUNTIF(Settings!$E$14:$E$43,C1229&amp;"")&gt;0,"Sensitive account | ","")&amp;IF(AND(MAX(N(E1229),N(F1229))&gt;=Settings!$C$9,MOD(MAX(N(E1229),N(F1229)),Settings!$C$10)=0),"Round amount | ",""))-3)))</f>
        <v/>
      </c>
      <c r="M1229" s="21" t="str">
        <f aca="false">IF(A1229="","",IF(COUNTIF($A$9:A1229,A1229)=1,MAX($M$8:M1228)+1,""))</f>
        <v/>
      </c>
    </row>
    <row r="1230" customFormat="false" ht="15" hidden="false" customHeight="false" outlineLevel="0" collapsed="false">
      <c r="A1230" s="8"/>
      <c r="B1230" s="17"/>
      <c r="C1230" s="19"/>
      <c r="D1230" s="8"/>
      <c r="E1230" s="18"/>
      <c r="F1230" s="18"/>
      <c r="G1230" s="8"/>
      <c r="H1230" s="8"/>
      <c r="I1230" s="8"/>
      <c r="J1230" s="8"/>
      <c r="K1230" s="10" t="str">
        <f aca="false">IF(A1230="","",IF(ABS(SUMIFS($E$9:$E$2008,$A$9:$A$2008,A1230)-SUMIFS($F$9:$F$2008,$A$9:$A$2008,A1230))&lt;0.5,"Yes","No"))</f>
        <v/>
      </c>
      <c r="L1230" s="10" t="str">
        <f aca="false">IF(A1230="","",IF(IF(K1230="No","Does not balance | ","")&amp;IF(I1230="","Not approved | ",IF(UPPER(TRIM(H1230))=UPPER(TRIM(I1230)),"Self-approved | ",""))&amp;IF(J1230="","No support | ","")&amp;IF(WEEKDAY(B1230,2)&gt;5,"Weekend posting | ","")&amp;IF(COUNTIF(Settings!$A$14:$A$43,B1230)&gt;0,"Holiday posting | ","")&amp;IF(B1230&gt;Settings!$C$8,"Posted after close | ","")&amp;IF(OR(B1230&lt;Settings!$C$6,B1230&gt;Settings!$C$7),"Outside period | ","")&amp;IF(COUNTIF(Settings!$E$14:$E$43,C1230&amp;"")&gt;0,"Sensitive account | ","")&amp;IF(AND(MAX(N(E1230),N(F1230))&gt;=Settings!$C$9,MOD(MAX(N(E1230),N(F1230)),Settings!$C$10)=0),"Round amount | ","")="","",LEFT(IF(K1230="No","Does not balance | ","")&amp;IF(I1230="","Not approved | ",IF(UPPER(TRIM(H1230))=UPPER(TRIM(I1230)),"Self-approved | ",""))&amp;IF(J1230="","No support | ","")&amp;IF(WEEKDAY(B1230,2)&gt;5,"Weekend posting | ","")&amp;IF(COUNTIF(Settings!$A$14:$A$43,B1230)&gt;0,"Holiday posting | ","")&amp;IF(B1230&gt;Settings!$C$8,"Posted after close | ","")&amp;IF(OR(B1230&lt;Settings!$C$6,B1230&gt;Settings!$C$7),"Outside period | ","")&amp;IF(COUNTIF(Settings!$E$14:$E$43,C1230&amp;"")&gt;0,"Sensitive account | ","")&amp;IF(AND(MAX(N(E1230),N(F1230))&gt;=Settings!$C$9,MOD(MAX(N(E1230),N(F1230)),Settings!$C$10)=0),"Round amount | ",""),LEN(IF(K1230="No","Does not balance | ","")&amp;IF(I1230="","Not approved | ",IF(UPPER(TRIM(H1230))=UPPER(TRIM(I1230)),"Self-approved | ",""))&amp;IF(J1230="","No support | ","")&amp;IF(WEEKDAY(B1230,2)&gt;5,"Weekend posting | ","")&amp;IF(COUNTIF(Settings!$A$14:$A$43,B1230)&gt;0,"Holiday posting | ","")&amp;IF(B1230&gt;Settings!$C$8,"Posted after close | ","")&amp;IF(OR(B1230&lt;Settings!$C$6,B1230&gt;Settings!$C$7),"Outside period | ","")&amp;IF(COUNTIF(Settings!$E$14:$E$43,C1230&amp;"")&gt;0,"Sensitive account | ","")&amp;IF(AND(MAX(N(E1230),N(F1230))&gt;=Settings!$C$9,MOD(MAX(N(E1230),N(F1230)),Settings!$C$10)=0),"Round amount | ",""))-3)))</f>
        <v/>
      </c>
      <c r="M1230" s="21" t="str">
        <f aca="false">IF(A1230="","",IF(COUNTIF($A$9:A1230,A1230)=1,MAX($M$8:M1229)+1,""))</f>
        <v/>
      </c>
    </row>
    <row r="1231" customFormat="false" ht="15" hidden="false" customHeight="false" outlineLevel="0" collapsed="false">
      <c r="A1231" s="8"/>
      <c r="B1231" s="17"/>
      <c r="C1231" s="19"/>
      <c r="D1231" s="8"/>
      <c r="E1231" s="18"/>
      <c r="F1231" s="18"/>
      <c r="G1231" s="8"/>
      <c r="H1231" s="8"/>
      <c r="I1231" s="8"/>
      <c r="J1231" s="8"/>
      <c r="K1231" s="10" t="str">
        <f aca="false">IF(A1231="","",IF(ABS(SUMIFS($E$9:$E$2008,$A$9:$A$2008,A1231)-SUMIFS($F$9:$F$2008,$A$9:$A$2008,A1231))&lt;0.5,"Yes","No"))</f>
        <v/>
      </c>
      <c r="L1231" s="10" t="str">
        <f aca="false">IF(A1231="","",IF(IF(K1231="No","Does not balance | ","")&amp;IF(I1231="","Not approved | ",IF(UPPER(TRIM(H1231))=UPPER(TRIM(I1231)),"Self-approved | ",""))&amp;IF(J1231="","No support | ","")&amp;IF(WEEKDAY(B1231,2)&gt;5,"Weekend posting | ","")&amp;IF(COUNTIF(Settings!$A$14:$A$43,B1231)&gt;0,"Holiday posting | ","")&amp;IF(B1231&gt;Settings!$C$8,"Posted after close | ","")&amp;IF(OR(B1231&lt;Settings!$C$6,B1231&gt;Settings!$C$7),"Outside period | ","")&amp;IF(COUNTIF(Settings!$E$14:$E$43,C1231&amp;"")&gt;0,"Sensitive account | ","")&amp;IF(AND(MAX(N(E1231),N(F1231))&gt;=Settings!$C$9,MOD(MAX(N(E1231),N(F1231)),Settings!$C$10)=0),"Round amount | ","")="","",LEFT(IF(K1231="No","Does not balance | ","")&amp;IF(I1231="","Not approved | ",IF(UPPER(TRIM(H1231))=UPPER(TRIM(I1231)),"Self-approved | ",""))&amp;IF(J1231="","No support | ","")&amp;IF(WEEKDAY(B1231,2)&gt;5,"Weekend posting | ","")&amp;IF(COUNTIF(Settings!$A$14:$A$43,B1231)&gt;0,"Holiday posting | ","")&amp;IF(B1231&gt;Settings!$C$8,"Posted after close | ","")&amp;IF(OR(B1231&lt;Settings!$C$6,B1231&gt;Settings!$C$7),"Outside period | ","")&amp;IF(COUNTIF(Settings!$E$14:$E$43,C1231&amp;"")&gt;0,"Sensitive account | ","")&amp;IF(AND(MAX(N(E1231),N(F1231))&gt;=Settings!$C$9,MOD(MAX(N(E1231),N(F1231)),Settings!$C$10)=0),"Round amount | ",""),LEN(IF(K1231="No","Does not balance | ","")&amp;IF(I1231="","Not approved | ",IF(UPPER(TRIM(H1231))=UPPER(TRIM(I1231)),"Self-approved | ",""))&amp;IF(J1231="","No support | ","")&amp;IF(WEEKDAY(B1231,2)&gt;5,"Weekend posting | ","")&amp;IF(COUNTIF(Settings!$A$14:$A$43,B1231)&gt;0,"Holiday posting | ","")&amp;IF(B1231&gt;Settings!$C$8,"Posted after close | ","")&amp;IF(OR(B1231&lt;Settings!$C$6,B1231&gt;Settings!$C$7),"Outside period | ","")&amp;IF(COUNTIF(Settings!$E$14:$E$43,C1231&amp;"")&gt;0,"Sensitive account | ","")&amp;IF(AND(MAX(N(E1231),N(F1231))&gt;=Settings!$C$9,MOD(MAX(N(E1231),N(F1231)),Settings!$C$10)=0),"Round amount | ",""))-3)))</f>
        <v/>
      </c>
      <c r="M1231" s="21" t="str">
        <f aca="false">IF(A1231="","",IF(COUNTIF($A$9:A1231,A1231)=1,MAX($M$8:M1230)+1,""))</f>
        <v/>
      </c>
    </row>
    <row r="1232" customFormat="false" ht="15" hidden="false" customHeight="false" outlineLevel="0" collapsed="false">
      <c r="A1232" s="8"/>
      <c r="B1232" s="17"/>
      <c r="C1232" s="19"/>
      <c r="D1232" s="8"/>
      <c r="E1232" s="18"/>
      <c r="F1232" s="18"/>
      <c r="G1232" s="8"/>
      <c r="H1232" s="8"/>
      <c r="I1232" s="8"/>
      <c r="J1232" s="8"/>
      <c r="K1232" s="10" t="str">
        <f aca="false">IF(A1232="","",IF(ABS(SUMIFS($E$9:$E$2008,$A$9:$A$2008,A1232)-SUMIFS($F$9:$F$2008,$A$9:$A$2008,A1232))&lt;0.5,"Yes","No"))</f>
        <v/>
      </c>
      <c r="L1232" s="10" t="str">
        <f aca="false">IF(A1232="","",IF(IF(K1232="No","Does not balance | ","")&amp;IF(I1232="","Not approved | ",IF(UPPER(TRIM(H1232))=UPPER(TRIM(I1232)),"Self-approved | ",""))&amp;IF(J1232="","No support | ","")&amp;IF(WEEKDAY(B1232,2)&gt;5,"Weekend posting | ","")&amp;IF(COUNTIF(Settings!$A$14:$A$43,B1232)&gt;0,"Holiday posting | ","")&amp;IF(B1232&gt;Settings!$C$8,"Posted after close | ","")&amp;IF(OR(B1232&lt;Settings!$C$6,B1232&gt;Settings!$C$7),"Outside period | ","")&amp;IF(COUNTIF(Settings!$E$14:$E$43,C1232&amp;"")&gt;0,"Sensitive account | ","")&amp;IF(AND(MAX(N(E1232),N(F1232))&gt;=Settings!$C$9,MOD(MAX(N(E1232),N(F1232)),Settings!$C$10)=0),"Round amount | ","")="","",LEFT(IF(K1232="No","Does not balance | ","")&amp;IF(I1232="","Not approved | ",IF(UPPER(TRIM(H1232))=UPPER(TRIM(I1232)),"Self-approved | ",""))&amp;IF(J1232="","No support | ","")&amp;IF(WEEKDAY(B1232,2)&gt;5,"Weekend posting | ","")&amp;IF(COUNTIF(Settings!$A$14:$A$43,B1232)&gt;0,"Holiday posting | ","")&amp;IF(B1232&gt;Settings!$C$8,"Posted after close | ","")&amp;IF(OR(B1232&lt;Settings!$C$6,B1232&gt;Settings!$C$7),"Outside period | ","")&amp;IF(COUNTIF(Settings!$E$14:$E$43,C1232&amp;"")&gt;0,"Sensitive account | ","")&amp;IF(AND(MAX(N(E1232),N(F1232))&gt;=Settings!$C$9,MOD(MAX(N(E1232),N(F1232)),Settings!$C$10)=0),"Round amount | ",""),LEN(IF(K1232="No","Does not balance | ","")&amp;IF(I1232="","Not approved | ",IF(UPPER(TRIM(H1232))=UPPER(TRIM(I1232)),"Self-approved | ",""))&amp;IF(J1232="","No support | ","")&amp;IF(WEEKDAY(B1232,2)&gt;5,"Weekend posting | ","")&amp;IF(COUNTIF(Settings!$A$14:$A$43,B1232)&gt;0,"Holiday posting | ","")&amp;IF(B1232&gt;Settings!$C$8,"Posted after close | ","")&amp;IF(OR(B1232&lt;Settings!$C$6,B1232&gt;Settings!$C$7),"Outside period | ","")&amp;IF(COUNTIF(Settings!$E$14:$E$43,C1232&amp;"")&gt;0,"Sensitive account | ","")&amp;IF(AND(MAX(N(E1232),N(F1232))&gt;=Settings!$C$9,MOD(MAX(N(E1232),N(F1232)),Settings!$C$10)=0),"Round amount | ",""))-3)))</f>
        <v/>
      </c>
      <c r="M1232" s="21" t="str">
        <f aca="false">IF(A1232="","",IF(COUNTIF($A$9:A1232,A1232)=1,MAX($M$8:M1231)+1,""))</f>
        <v/>
      </c>
    </row>
    <row r="1233" customFormat="false" ht="15" hidden="false" customHeight="false" outlineLevel="0" collapsed="false">
      <c r="A1233" s="8"/>
      <c r="B1233" s="17"/>
      <c r="C1233" s="19"/>
      <c r="D1233" s="8"/>
      <c r="E1233" s="18"/>
      <c r="F1233" s="18"/>
      <c r="G1233" s="8"/>
      <c r="H1233" s="8"/>
      <c r="I1233" s="8"/>
      <c r="J1233" s="8"/>
      <c r="K1233" s="10" t="str">
        <f aca="false">IF(A1233="","",IF(ABS(SUMIFS($E$9:$E$2008,$A$9:$A$2008,A1233)-SUMIFS($F$9:$F$2008,$A$9:$A$2008,A1233))&lt;0.5,"Yes","No"))</f>
        <v/>
      </c>
      <c r="L1233" s="10" t="str">
        <f aca="false">IF(A1233="","",IF(IF(K1233="No","Does not balance | ","")&amp;IF(I1233="","Not approved | ",IF(UPPER(TRIM(H1233))=UPPER(TRIM(I1233)),"Self-approved | ",""))&amp;IF(J1233="","No support | ","")&amp;IF(WEEKDAY(B1233,2)&gt;5,"Weekend posting | ","")&amp;IF(COUNTIF(Settings!$A$14:$A$43,B1233)&gt;0,"Holiday posting | ","")&amp;IF(B1233&gt;Settings!$C$8,"Posted after close | ","")&amp;IF(OR(B1233&lt;Settings!$C$6,B1233&gt;Settings!$C$7),"Outside period | ","")&amp;IF(COUNTIF(Settings!$E$14:$E$43,C1233&amp;"")&gt;0,"Sensitive account | ","")&amp;IF(AND(MAX(N(E1233),N(F1233))&gt;=Settings!$C$9,MOD(MAX(N(E1233),N(F1233)),Settings!$C$10)=0),"Round amount | ","")="","",LEFT(IF(K1233="No","Does not balance | ","")&amp;IF(I1233="","Not approved | ",IF(UPPER(TRIM(H1233))=UPPER(TRIM(I1233)),"Self-approved | ",""))&amp;IF(J1233="","No support | ","")&amp;IF(WEEKDAY(B1233,2)&gt;5,"Weekend posting | ","")&amp;IF(COUNTIF(Settings!$A$14:$A$43,B1233)&gt;0,"Holiday posting | ","")&amp;IF(B1233&gt;Settings!$C$8,"Posted after close | ","")&amp;IF(OR(B1233&lt;Settings!$C$6,B1233&gt;Settings!$C$7),"Outside period | ","")&amp;IF(COUNTIF(Settings!$E$14:$E$43,C1233&amp;"")&gt;0,"Sensitive account | ","")&amp;IF(AND(MAX(N(E1233),N(F1233))&gt;=Settings!$C$9,MOD(MAX(N(E1233),N(F1233)),Settings!$C$10)=0),"Round amount | ",""),LEN(IF(K1233="No","Does not balance | ","")&amp;IF(I1233="","Not approved | ",IF(UPPER(TRIM(H1233))=UPPER(TRIM(I1233)),"Self-approved | ",""))&amp;IF(J1233="","No support | ","")&amp;IF(WEEKDAY(B1233,2)&gt;5,"Weekend posting | ","")&amp;IF(COUNTIF(Settings!$A$14:$A$43,B1233)&gt;0,"Holiday posting | ","")&amp;IF(B1233&gt;Settings!$C$8,"Posted after close | ","")&amp;IF(OR(B1233&lt;Settings!$C$6,B1233&gt;Settings!$C$7),"Outside period | ","")&amp;IF(COUNTIF(Settings!$E$14:$E$43,C1233&amp;"")&gt;0,"Sensitive account | ","")&amp;IF(AND(MAX(N(E1233),N(F1233))&gt;=Settings!$C$9,MOD(MAX(N(E1233),N(F1233)),Settings!$C$10)=0),"Round amount | ",""))-3)))</f>
        <v/>
      </c>
      <c r="M1233" s="21" t="str">
        <f aca="false">IF(A1233="","",IF(COUNTIF($A$9:A1233,A1233)=1,MAX($M$8:M1232)+1,""))</f>
        <v/>
      </c>
    </row>
    <row r="1234" customFormat="false" ht="15" hidden="false" customHeight="false" outlineLevel="0" collapsed="false">
      <c r="A1234" s="8"/>
      <c r="B1234" s="17"/>
      <c r="C1234" s="19"/>
      <c r="D1234" s="8"/>
      <c r="E1234" s="18"/>
      <c r="F1234" s="18"/>
      <c r="G1234" s="8"/>
      <c r="H1234" s="8"/>
      <c r="I1234" s="8"/>
      <c r="J1234" s="8"/>
      <c r="K1234" s="10" t="str">
        <f aca="false">IF(A1234="","",IF(ABS(SUMIFS($E$9:$E$2008,$A$9:$A$2008,A1234)-SUMIFS($F$9:$F$2008,$A$9:$A$2008,A1234))&lt;0.5,"Yes","No"))</f>
        <v/>
      </c>
      <c r="L1234" s="10" t="str">
        <f aca="false">IF(A1234="","",IF(IF(K1234="No","Does not balance | ","")&amp;IF(I1234="","Not approved | ",IF(UPPER(TRIM(H1234))=UPPER(TRIM(I1234)),"Self-approved | ",""))&amp;IF(J1234="","No support | ","")&amp;IF(WEEKDAY(B1234,2)&gt;5,"Weekend posting | ","")&amp;IF(COUNTIF(Settings!$A$14:$A$43,B1234)&gt;0,"Holiday posting | ","")&amp;IF(B1234&gt;Settings!$C$8,"Posted after close | ","")&amp;IF(OR(B1234&lt;Settings!$C$6,B1234&gt;Settings!$C$7),"Outside period | ","")&amp;IF(COUNTIF(Settings!$E$14:$E$43,C1234&amp;"")&gt;0,"Sensitive account | ","")&amp;IF(AND(MAX(N(E1234),N(F1234))&gt;=Settings!$C$9,MOD(MAX(N(E1234),N(F1234)),Settings!$C$10)=0),"Round amount | ","")="","",LEFT(IF(K1234="No","Does not balance | ","")&amp;IF(I1234="","Not approved | ",IF(UPPER(TRIM(H1234))=UPPER(TRIM(I1234)),"Self-approved | ",""))&amp;IF(J1234="","No support | ","")&amp;IF(WEEKDAY(B1234,2)&gt;5,"Weekend posting | ","")&amp;IF(COUNTIF(Settings!$A$14:$A$43,B1234)&gt;0,"Holiday posting | ","")&amp;IF(B1234&gt;Settings!$C$8,"Posted after close | ","")&amp;IF(OR(B1234&lt;Settings!$C$6,B1234&gt;Settings!$C$7),"Outside period | ","")&amp;IF(COUNTIF(Settings!$E$14:$E$43,C1234&amp;"")&gt;0,"Sensitive account | ","")&amp;IF(AND(MAX(N(E1234),N(F1234))&gt;=Settings!$C$9,MOD(MAX(N(E1234),N(F1234)),Settings!$C$10)=0),"Round amount | ",""),LEN(IF(K1234="No","Does not balance | ","")&amp;IF(I1234="","Not approved | ",IF(UPPER(TRIM(H1234))=UPPER(TRIM(I1234)),"Self-approved | ",""))&amp;IF(J1234="","No support | ","")&amp;IF(WEEKDAY(B1234,2)&gt;5,"Weekend posting | ","")&amp;IF(COUNTIF(Settings!$A$14:$A$43,B1234)&gt;0,"Holiday posting | ","")&amp;IF(B1234&gt;Settings!$C$8,"Posted after close | ","")&amp;IF(OR(B1234&lt;Settings!$C$6,B1234&gt;Settings!$C$7),"Outside period | ","")&amp;IF(COUNTIF(Settings!$E$14:$E$43,C1234&amp;"")&gt;0,"Sensitive account | ","")&amp;IF(AND(MAX(N(E1234),N(F1234))&gt;=Settings!$C$9,MOD(MAX(N(E1234),N(F1234)),Settings!$C$10)=0),"Round amount | ",""))-3)))</f>
        <v/>
      </c>
      <c r="M1234" s="21" t="str">
        <f aca="false">IF(A1234="","",IF(COUNTIF($A$9:A1234,A1234)=1,MAX($M$8:M1233)+1,""))</f>
        <v/>
      </c>
    </row>
    <row r="1235" customFormat="false" ht="15" hidden="false" customHeight="false" outlineLevel="0" collapsed="false">
      <c r="A1235" s="8"/>
      <c r="B1235" s="17"/>
      <c r="C1235" s="19"/>
      <c r="D1235" s="8"/>
      <c r="E1235" s="18"/>
      <c r="F1235" s="18"/>
      <c r="G1235" s="8"/>
      <c r="H1235" s="8"/>
      <c r="I1235" s="8"/>
      <c r="J1235" s="8"/>
      <c r="K1235" s="10" t="str">
        <f aca="false">IF(A1235="","",IF(ABS(SUMIFS($E$9:$E$2008,$A$9:$A$2008,A1235)-SUMIFS($F$9:$F$2008,$A$9:$A$2008,A1235))&lt;0.5,"Yes","No"))</f>
        <v/>
      </c>
      <c r="L1235" s="10" t="str">
        <f aca="false">IF(A1235="","",IF(IF(K1235="No","Does not balance | ","")&amp;IF(I1235="","Not approved | ",IF(UPPER(TRIM(H1235))=UPPER(TRIM(I1235)),"Self-approved | ",""))&amp;IF(J1235="","No support | ","")&amp;IF(WEEKDAY(B1235,2)&gt;5,"Weekend posting | ","")&amp;IF(COUNTIF(Settings!$A$14:$A$43,B1235)&gt;0,"Holiday posting | ","")&amp;IF(B1235&gt;Settings!$C$8,"Posted after close | ","")&amp;IF(OR(B1235&lt;Settings!$C$6,B1235&gt;Settings!$C$7),"Outside period | ","")&amp;IF(COUNTIF(Settings!$E$14:$E$43,C1235&amp;"")&gt;0,"Sensitive account | ","")&amp;IF(AND(MAX(N(E1235),N(F1235))&gt;=Settings!$C$9,MOD(MAX(N(E1235),N(F1235)),Settings!$C$10)=0),"Round amount | ","")="","",LEFT(IF(K1235="No","Does not balance | ","")&amp;IF(I1235="","Not approved | ",IF(UPPER(TRIM(H1235))=UPPER(TRIM(I1235)),"Self-approved | ",""))&amp;IF(J1235="","No support | ","")&amp;IF(WEEKDAY(B1235,2)&gt;5,"Weekend posting | ","")&amp;IF(COUNTIF(Settings!$A$14:$A$43,B1235)&gt;0,"Holiday posting | ","")&amp;IF(B1235&gt;Settings!$C$8,"Posted after close | ","")&amp;IF(OR(B1235&lt;Settings!$C$6,B1235&gt;Settings!$C$7),"Outside period | ","")&amp;IF(COUNTIF(Settings!$E$14:$E$43,C1235&amp;"")&gt;0,"Sensitive account | ","")&amp;IF(AND(MAX(N(E1235),N(F1235))&gt;=Settings!$C$9,MOD(MAX(N(E1235),N(F1235)),Settings!$C$10)=0),"Round amount | ",""),LEN(IF(K1235="No","Does not balance | ","")&amp;IF(I1235="","Not approved | ",IF(UPPER(TRIM(H1235))=UPPER(TRIM(I1235)),"Self-approved | ",""))&amp;IF(J1235="","No support | ","")&amp;IF(WEEKDAY(B1235,2)&gt;5,"Weekend posting | ","")&amp;IF(COUNTIF(Settings!$A$14:$A$43,B1235)&gt;0,"Holiday posting | ","")&amp;IF(B1235&gt;Settings!$C$8,"Posted after close | ","")&amp;IF(OR(B1235&lt;Settings!$C$6,B1235&gt;Settings!$C$7),"Outside period | ","")&amp;IF(COUNTIF(Settings!$E$14:$E$43,C1235&amp;"")&gt;0,"Sensitive account | ","")&amp;IF(AND(MAX(N(E1235),N(F1235))&gt;=Settings!$C$9,MOD(MAX(N(E1235),N(F1235)),Settings!$C$10)=0),"Round amount | ",""))-3)))</f>
        <v/>
      </c>
      <c r="M1235" s="21" t="str">
        <f aca="false">IF(A1235="","",IF(COUNTIF($A$9:A1235,A1235)=1,MAX($M$8:M1234)+1,""))</f>
        <v/>
      </c>
    </row>
    <row r="1236" customFormat="false" ht="15" hidden="false" customHeight="false" outlineLevel="0" collapsed="false">
      <c r="A1236" s="8"/>
      <c r="B1236" s="17"/>
      <c r="C1236" s="19"/>
      <c r="D1236" s="8"/>
      <c r="E1236" s="18"/>
      <c r="F1236" s="18"/>
      <c r="G1236" s="8"/>
      <c r="H1236" s="8"/>
      <c r="I1236" s="8"/>
      <c r="J1236" s="8"/>
      <c r="K1236" s="10" t="str">
        <f aca="false">IF(A1236="","",IF(ABS(SUMIFS($E$9:$E$2008,$A$9:$A$2008,A1236)-SUMIFS($F$9:$F$2008,$A$9:$A$2008,A1236))&lt;0.5,"Yes","No"))</f>
        <v/>
      </c>
      <c r="L1236" s="10" t="str">
        <f aca="false">IF(A1236="","",IF(IF(K1236="No","Does not balance | ","")&amp;IF(I1236="","Not approved | ",IF(UPPER(TRIM(H1236))=UPPER(TRIM(I1236)),"Self-approved | ",""))&amp;IF(J1236="","No support | ","")&amp;IF(WEEKDAY(B1236,2)&gt;5,"Weekend posting | ","")&amp;IF(COUNTIF(Settings!$A$14:$A$43,B1236)&gt;0,"Holiday posting | ","")&amp;IF(B1236&gt;Settings!$C$8,"Posted after close | ","")&amp;IF(OR(B1236&lt;Settings!$C$6,B1236&gt;Settings!$C$7),"Outside period | ","")&amp;IF(COUNTIF(Settings!$E$14:$E$43,C1236&amp;"")&gt;0,"Sensitive account | ","")&amp;IF(AND(MAX(N(E1236),N(F1236))&gt;=Settings!$C$9,MOD(MAX(N(E1236),N(F1236)),Settings!$C$10)=0),"Round amount | ","")="","",LEFT(IF(K1236="No","Does not balance | ","")&amp;IF(I1236="","Not approved | ",IF(UPPER(TRIM(H1236))=UPPER(TRIM(I1236)),"Self-approved | ",""))&amp;IF(J1236="","No support | ","")&amp;IF(WEEKDAY(B1236,2)&gt;5,"Weekend posting | ","")&amp;IF(COUNTIF(Settings!$A$14:$A$43,B1236)&gt;0,"Holiday posting | ","")&amp;IF(B1236&gt;Settings!$C$8,"Posted after close | ","")&amp;IF(OR(B1236&lt;Settings!$C$6,B1236&gt;Settings!$C$7),"Outside period | ","")&amp;IF(COUNTIF(Settings!$E$14:$E$43,C1236&amp;"")&gt;0,"Sensitive account | ","")&amp;IF(AND(MAX(N(E1236),N(F1236))&gt;=Settings!$C$9,MOD(MAX(N(E1236),N(F1236)),Settings!$C$10)=0),"Round amount | ",""),LEN(IF(K1236="No","Does not balance | ","")&amp;IF(I1236="","Not approved | ",IF(UPPER(TRIM(H1236))=UPPER(TRIM(I1236)),"Self-approved | ",""))&amp;IF(J1236="","No support | ","")&amp;IF(WEEKDAY(B1236,2)&gt;5,"Weekend posting | ","")&amp;IF(COUNTIF(Settings!$A$14:$A$43,B1236)&gt;0,"Holiday posting | ","")&amp;IF(B1236&gt;Settings!$C$8,"Posted after close | ","")&amp;IF(OR(B1236&lt;Settings!$C$6,B1236&gt;Settings!$C$7),"Outside period | ","")&amp;IF(COUNTIF(Settings!$E$14:$E$43,C1236&amp;"")&gt;0,"Sensitive account | ","")&amp;IF(AND(MAX(N(E1236),N(F1236))&gt;=Settings!$C$9,MOD(MAX(N(E1236),N(F1236)),Settings!$C$10)=0),"Round amount | ",""))-3)))</f>
        <v/>
      </c>
      <c r="M1236" s="21" t="str">
        <f aca="false">IF(A1236="","",IF(COUNTIF($A$9:A1236,A1236)=1,MAX($M$8:M1235)+1,""))</f>
        <v/>
      </c>
    </row>
    <row r="1237" customFormat="false" ht="15" hidden="false" customHeight="false" outlineLevel="0" collapsed="false">
      <c r="A1237" s="8"/>
      <c r="B1237" s="17"/>
      <c r="C1237" s="19"/>
      <c r="D1237" s="8"/>
      <c r="E1237" s="18"/>
      <c r="F1237" s="18"/>
      <c r="G1237" s="8"/>
      <c r="H1237" s="8"/>
      <c r="I1237" s="8"/>
      <c r="J1237" s="8"/>
      <c r="K1237" s="10" t="str">
        <f aca="false">IF(A1237="","",IF(ABS(SUMIFS($E$9:$E$2008,$A$9:$A$2008,A1237)-SUMIFS($F$9:$F$2008,$A$9:$A$2008,A1237))&lt;0.5,"Yes","No"))</f>
        <v/>
      </c>
      <c r="L1237" s="10" t="str">
        <f aca="false">IF(A1237="","",IF(IF(K1237="No","Does not balance | ","")&amp;IF(I1237="","Not approved | ",IF(UPPER(TRIM(H1237))=UPPER(TRIM(I1237)),"Self-approved | ",""))&amp;IF(J1237="","No support | ","")&amp;IF(WEEKDAY(B1237,2)&gt;5,"Weekend posting | ","")&amp;IF(COUNTIF(Settings!$A$14:$A$43,B1237)&gt;0,"Holiday posting | ","")&amp;IF(B1237&gt;Settings!$C$8,"Posted after close | ","")&amp;IF(OR(B1237&lt;Settings!$C$6,B1237&gt;Settings!$C$7),"Outside period | ","")&amp;IF(COUNTIF(Settings!$E$14:$E$43,C1237&amp;"")&gt;0,"Sensitive account | ","")&amp;IF(AND(MAX(N(E1237),N(F1237))&gt;=Settings!$C$9,MOD(MAX(N(E1237),N(F1237)),Settings!$C$10)=0),"Round amount | ","")="","",LEFT(IF(K1237="No","Does not balance | ","")&amp;IF(I1237="","Not approved | ",IF(UPPER(TRIM(H1237))=UPPER(TRIM(I1237)),"Self-approved | ",""))&amp;IF(J1237="","No support | ","")&amp;IF(WEEKDAY(B1237,2)&gt;5,"Weekend posting | ","")&amp;IF(COUNTIF(Settings!$A$14:$A$43,B1237)&gt;0,"Holiday posting | ","")&amp;IF(B1237&gt;Settings!$C$8,"Posted after close | ","")&amp;IF(OR(B1237&lt;Settings!$C$6,B1237&gt;Settings!$C$7),"Outside period | ","")&amp;IF(COUNTIF(Settings!$E$14:$E$43,C1237&amp;"")&gt;0,"Sensitive account | ","")&amp;IF(AND(MAX(N(E1237),N(F1237))&gt;=Settings!$C$9,MOD(MAX(N(E1237),N(F1237)),Settings!$C$10)=0),"Round amount | ",""),LEN(IF(K1237="No","Does not balance | ","")&amp;IF(I1237="","Not approved | ",IF(UPPER(TRIM(H1237))=UPPER(TRIM(I1237)),"Self-approved | ",""))&amp;IF(J1237="","No support | ","")&amp;IF(WEEKDAY(B1237,2)&gt;5,"Weekend posting | ","")&amp;IF(COUNTIF(Settings!$A$14:$A$43,B1237)&gt;0,"Holiday posting | ","")&amp;IF(B1237&gt;Settings!$C$8,"Posted after close | ","")&amp;IF(OR(B1237&lt;Settings!$C$6,B1237&gt;Settings!$C$7),"Outside period | ","")&amp;IF(COUNTIF(Settings!$E$14:$E$43,C1237&amp;"")&gt;0,"Sensitive account | ","")&amp;IF(AND(MAX(N(E1237),N(F1237))&gt;=Settings!$C$9,MOD(MAX(N(E1237),N(F1237)),Settings!$C$10)=0),"Round amount | ",""))-3)))</f>
        <v/>
      </c>
      <c r="M1237" s="21" t="str">
        <f aca="false">IF(A1237="","",IF(COUNTIF($A$9:A1237,A1237)=1,MAX($M$8:M1236)+1,""))</f>
        <v/>
      </c>
    </row>
    <row r="1238" customFormat="false" ht="15" hidden="false" customHeight="false" outlineLevel="0" collapsed="false">
      <c r="A1238" s="8"/>
      <c r="B1238" s="17"/>
      <c r="C1238" s="19"/>
      <c r="D1238" s="8"/>
      <c r="E1238" s="18"/>
      <c r="F1238" s="18"/>
      <c r="G1238" s="8"/>
      <c r="H1238" s="8"/>
      <c r="I1238" s="8"/>
      <c r="J1238" s="8"/>
      <c r="K1238" s="10" t="str">
        <f aca="false">IF(A1238="","",IF(ABS(SUMIFS($E$9:$E$2008,$A$9:$A$2008,A1238)-SUMIFS($F$9:$F$2008,$A$9:$A$2008,A1238))&lt;0.5,"Yes","No"))</f>
        <v/>
      </c>
      <c r="L1238" s="10" t="str">
        <f aca="false">IF(A1238="","",IF(IF(K1238="No","Does not balance | ","")&amp;IF(I1238="","Not approved | ",IF(UPPER(TRIM(H1238))=UPPER(TRIM(I1238)),"Self-approved | ",""))&amp;IF(J1238="","No support | ","")&amp;IF(WEEKDAY(B1238,2)&gt;5,"Weekend posting | ","")&amp;IF(COUNTIF(Settings!$A$14:$A$43,B1238)&gt;0,"Holiday posting | ","")&amp;IF(B1238&gt;Settings!$C$8,"Posted after close | ","")&amp;IF(OR(B1238&lt;Settings!$C$6,B1238&gt;Settings!$C$7),"Outside period | ","")&amp;IF(COUNTIF(Settings!$E$14:$E$43,C1238&amp;"")&gt;0,"Sensitive account | ","")&amp;IF(AND(MAX(N(E1238),N(F1238))&gt;=Settings!$C$9,MOD(MAX(N(E1238),N(F1238)),Settings!$C$10)=0),"Round amount | ","")="","",LEFT(IF(K1238="No","Does not balance | ","")&amp;IF(I1238="","Not approved | ",IF(UPPER(TRIM(H1238))=UPPER(TRIM(I1238)),"Self-approved | ",""))&amp;IF(J1238="","No support | ","")&amp;IF(WEEKDAY(B1238,2)&gt;5,"Weekend posting | ","")&amp;IF(COUNTIF(Settings!$A$14:$A$43,B1238)&gt;0,"Holiday posting | ","")&amp;IF(B1238&gt;Settings!$C$8,"Posted after close | ","")&amp;IF(OR(B1238&lt;Settings!$C$6,B1238&gt;Settings!$C$7),"Outside period | ","")&amp;IF(COUNTIF(Settings!$E$14:$E$43,C1238&amp;"")&gt;0,"Sensitive account | ","")&amp;IF(AND(MAX(N(E1238),N(F1238))&gt;=Settings!$C$9,MOD(MAX(N(E1238),N(F1238)),Settings!$C$10)=0),"Round amount | ",""),LEN(IF(K1238="No","Does not balance | ","")&amp;IF(I1238="","Not approved | ",IF(UPPER(TRIM(H1238))=UPPER(TRIM(I1238)),"Self-approved | ",""))&amp;IF(J1238="","No support | ","")&amp;IF(WEEKDAY(B1238,2)&gt;5,"Weekend posting | ","")&amp;IF(COUNTIF(Settings!$A$14:$A$43,B1238)&gt;0,"Holiday posting | ","")&amp;IF(B1238&gt;Settings!$C$8,"Posted after close | ","")&amp;IF(OR(B1238&lt;Settings!$C$6,B1238&gt;Settings!$C$7),"Outside period | ","")&amp;IF(COUNTIF(Settings!$E$14:$E$43,C1238&amp;"")&gt;0,"Sensitive account | ","")&amp;IF(AND(MAX(N(E1238),N(F1238))&gt;=Settings!$C$9,MOD(MAX(N(E1238),N(F1238)),Settings!$C$10)=0),"Round amount | ",""))-3)))</f>
        <v/>
      </c>
      <c r="M1238" s="21" t="str">
        <f aca="false">IF(A1238="","",IF(COUNTIF($A$9:A1238,A1238)=1,MAX($M$8:M1237)+1,""))</f>
        <v/>
      </c>
    </row>
    <row r="1239" customFormat="false" ht="15" hidden="false" customHeight="false" outlineLevel="0" collapsed="false">
      <c r="A1239" s="8"/>
      <c r="B1239" s="17"/>
      <c r="C1239" s="19"/>
      <c r="D1239" s="8"/>
      <c r="E1239" s="18"/>
      <c r="F1239" s="18"/>
      <c r="G1239" s="8"/>
      <c r="H1239" s="8"/>
      <c r="I1239" s="8"/>
      <c r="J1239" s="8"/>
      <c r="K1239" s="10" t="str">
        <f aca="false">IF(A1239="","",IF(ABS(SUMIFS($E$9:$E$2008,$A$9:$A$2008,A1239)-SUMIFS($F$9:$F$2008,$A$9:$A$2008,A1239))&lt;0.5,"Yes","No"))</f>
        <v/>
      </c>
      <c r="L1239" s="10" t="str">
        <f aca="false">IF(A1239="","",IF(IF(K1239="No","Does not balance | ","")&amp;IF(I1239="","Not approved | ",IF(UPPER(TRIM(H1239))=UPPER(TRIM(I1239)),"Self-approved | ",""))&amp;IF(J1239="","No support | ","")&amp;IF(WEEKDAY(B1239,2)&gt;5,"Weekend posting | ","")&amp;IF(COUNTIF(Settings!$A$14:$A$43,B1239)&gt;0,"Holiday posting | ","")&amp;IF(B1239&gt;Settings!$C$8,"Posted after close | ","")&amp;IF(OR(B1239&lt;Settings!$C$6,B1239&gt;Settings!$C$7),"Outside period | ","")&amp;IF(COUNTIF(Settings!$E$14:$E$43,C1239&amp;"")&gt;0,"Sensitive account | ","")&amp;IF(AND(MAX(N(E1239),N(F1239))&gt;=Settings!$C$9,MOD(MAX(N(E1239),N(F1239)),Settings!$C$10)=0),"Round amount | ","")="","",LEFT(IF(K1239="No","Does not balance | ","")&amp;IF(I1239="","Not approved | ",IF(UPPER(TRIM(H1239))=UPPER(TRIM(I1239)),"Self-approved | ",""))&amp;IF(J1239="","No support | ","")&amp;IF(WEEKDAY(B1239,2)&gt;5,"Weekend posting | ","")&amp;IF(COUNTIF(Settings!$A$14:$A$43,B1239)&gt;0,"Holiday posting | ","")&amp;IF(B1239&gt;Settings!$C$8,"Posted after close | ","")&amp;IF(OR(B1239&lt;Settings!$C$6,B1239&gt;Settings!$C$7),"Outside period | ","")&amp;IF(COUNTIF(Settings!$E$14:$E$43,C1239&amp;"")&gt;0,"Sensitive account | ","")&amp;IF(AND(MAX(N(E1239),N(F1239))&gt;=Settings!$C$9,MOD(MAX(N(E1239),N(F1239)),Settings!$C$10)=0),"Round amount | ",""),LEN(IF(K1239="No","Does not balance | ","")&amp;IF(I1239="","Not approved | ",IF(UPPER(TRIM(H1239))=UPPER(TRIM(I1239)),"Self-approved | ",""))&amp;IF(J1239="","No support | ","")&amp;IF(WEEKDAY(B1239,2)&gt;5,"Weekend posting | ","")&amp;IF(COUNTIF(Settings!$A$14:$A$43,B1239)&gt;0,"Holiday posting | ","")&amp;IF(B1239&gt;Settings!$C$8,"Posted after close | ","")&amp;IF(OR(B1239&lt;Settings!$C$6,B1239&gt;Settings!$C$7),"Outside period | ","")&amp;IF(COUNTIF(Settings!$E$14:$E$43,C1239&amp;"")&gt;0,"Sensitive account | ","")&amp;IF(AND(MAX(N(E1239),N(F1239))&gt;=Settings!$C$9,MOD(MAX(N(E1239),N(F1239)),Settings!$C$10)=0),"Round amount | ",""))-3)))</f>
        <v/>
      </c>
      <c r="M1239" s="21" t="str">
        <f aca="false">IF(A1239="","",IF(COUNTIF($A$9:A1239,A1239)=1,MAX($M$8:M1238)+1,""))</f>
        <v/>
      </c>
    </row>
    <row r="1240" customFormat="false" ht="15" hidden="false" customHeight="false" outlineLevel="0" collapsed="false">
      <c r="A1240" s="8"/>
      <c r="B1240" s="17"/>
      <c r="C1240" s="19"/>
      <c r="D1240" s="8"/>
      <c r="E1240" s="18"/>
      <c r="F1240" s="18"/>
      <c r="G1240" s="8"/>
      <c r="H1240" s="8"/>
      <c r="I1240" s="8"/>
      <c r="J1240" s="8"/>
      <c r="K1240" s="10" t="str">
        <f aca="false">IF(A1240="","",IF(ABS(SUMIFS($E$9:$E$2008,$A$9:$A$2008,A1240)-SUMIFS($F$9:$F$2008,$A$9:$A$2008,A1240))&lt;0.5,"Yes","No"))</f>
        <v/>
      </c>
      <c r="L1240" s="10" t="str">
        <f aca="false">IF(A1240="","",IF(IF(K1240="No","Does not balance | ","")&amp;IF(I1240="","Not approved | ",IF(UPPER(TRIM(H1240))=UPPER(TRIM(I1240)),"Self-approved | ",""))&amp;IF(J1240="","No support | ","")&amp;IF(WEEKDAY(B1240,2)&gt;5,"Weekend posting | ","")&amp;IF(COUNTIF(Settings!$A$14:$A$43,B1240)&gt;0,"Holiday posting | ","")&amp;IF(B1240&gt;Settings!$C$8,"Posted after close | ","")&amp;IF(OR(B1240&lt;Settings!$C$6,B1240&gt;Settings!$C$7),"Outside period | ","")&amp;IF(COUNTIF(Settings!$E$14:$E$43,C1240&amp;"")&gt;0,"Sensitive account | ","")&amp;IF(AND(MAX(N(E1240),N(F1240))&gt;=Settings!$C$9,MOD(MAX(N(E1240),N(F1240)),Settings!$C$10)=0),"Round amount | ","")="","",LEFT(IF(K1240="No","Does not balance | ","")&amp;IF(I1240="","Not approved | ",IF(UPPER(TRIM(H1240))=UPPER(TRIM(I1240)),"Self-approved | ",""))&amp;IF(J1240="","No support | ","")&amp;IF(WEEKDAY(B1240,2)&gt;5,"Weekend posting | ","")&amp;IF(COUNTIF(Settings!$A$14:$A$43,B1240)&gt;0,"Holiday posting | ","")&amp;IF(B1240&gt;Settings!$C$8,"Posted after close | ","")&amp;IF(OR(B1240&lt;Settings!$C$6,B1240&gt;Settings!$C$7),"Outside period | ","")&amp;IF(COUNTIF(Settings!$E$14:$E$43,C1240&amp;"")&gt;0,"Sensitive account | ","")&amp;IF(AND(MAX(N(E1240),N(F1240))&gt;=Settings!$C$9,MOD(MAX(N(E1240),N(F1240)),Settings!$C$10)=0),"Round amount | ",""),LEN(IF(K1240="No","Does not balance | ","")&amp;IF(I1240="","Not approved | ",IF(UPPER(TRIM(H1240))=UPPER(TRIM(I1240)),"Self-approved | ",""))&amp;IF(J1240="","No support | ","")&amp;IF(WEEKDAY(B1240,2)&gt;5,"Weekend posting | ","")&amp;IF(COUNTIF(Settings!$A$14:$A$43,B1240)&gt;0,"Holiday posting | ","")&amp;IF(B1240&gt;Settings!$C$8,"Posted after close | ","")&amp;IF(OR(B1240&lt;Settings!$C$6,B1240&gt;Settings!$C$7),"Outside period | ","")&amp;IF(COUNTIF(Settings!$E$14:$E$43,C1240&amp;"")&gt;0,"Sensitive account | ","")&amp;IF(AND(MAX(N(E1240),N(F1240))&gt;=Settings!$C$9,MOD(MAX(N(E1240),N(F1240)),Settings!$C$10)=0),"Round amount | ",""))-3)))</f>
        <v/>
      </c>
      <c r="M1240" s="21" t="str">
        <f aca="false">IF(A1240="","",IF(COUNTIF($A$9:A1240,A1240)=1,MAX($M$8:M1239)+1,""))</f>
        <v/>
      </c>
    </row>
    <row r="1241" customFormat="false" ht="15" hidden="false" customHeight="false" outlineLevel="0" collapsed="false">
      <c r="A1241" s="8"/>
      <c r="B1241" s="17"/>
      <c r="C1241" s="19"/>
      <c r="D1241" s="8"/>
      <c r="E1241" s="18"/>
      <c r="F1241" s="18"/>
      <c r="G1241" s="8"/>
      <c r="H1241" s="8"/>
      <c r="I1241" s="8"/>
      <c r="J1241" s="8"/>
      <c r="K1241" s="10" t="str">
        <f aca="false">IF(A1241="","",IF(ABS(SUMIFS($E$9:$E$2008,$A$9:$A$2008,A1241)-SUMIFS($F$9:$F$2008,$A$9:$A$2008,A1241))&lt;0.5,"Yes","No"))</f>
        <v/>
      </c>
      <c r="L1241" s="10" t="str">
        <f aca="false">IF(A1241="","",IF(IF(K1241="No","Does not balance | ","")&amp;IF(I1241="","Not approved | ",IF(UPPER(TRIM(H1241))=UPPER(TRIM(I1241)),"Self-approved | ",""))&amp;IF(J1241="","No support | ","")&amp;IF(WEEKDAY(B1241,2)&gt;5,"Weekend posting | ","")&amp;IF(COUNTIF(Settings!$A$14:$A$43,B1241)&gt;0,"Holiday posting | ","")&amp;IF(B1241&gt;Settings!$C$8,"Posted after close | ","")&amp;IF(OR(B1241&lt;Settings!$C$6,B1241&gt;Settings!$C$7),"Outside period | ","")&amp;IF(COUNTIF(Settings!$E$14:$E$43,C1241&amp;"")&gt;0,"Sensitive account | ","")&amp;IF(AND(MAX(N(E1241),N(F1241))&gt;=Settings!$C$9,MOD(MAX(N(E1241),N(F1241)),Settings!$C$10)=0),"Round amount | ","")="","",LEFT(IF(K1241="No","Does not balance | ","")&amp;IF(I1241="","Not approved | ",IF(UPPER(TRIM(H1241))=UPPER(TRIM(I1241)),"Self-approved | ",""))&amp;IF(J1241="","No support | ","")&amp;IF(WEEKDAY(B1241,2)&gt;5,"Weekend posting | ","")&amp;IF(COUNTIF(Settings!$A$14:$A$43,B1241)&gt;0,"Holiday posting | ","")&amp;IF(B1241&gt;Settings!$C$8,"Posted after close | ","")&amp;IF(OR(B1241&lt;Settings!$C$6,B1241&gt;Settings!$C$7),"Outside period | ","")&amp;IF(COUNTIF(Settings!$E$14:$E$43,C1241&amp;"")&gt;0,"Sensitive account | ","")&amp;IF(AND(MAX(N(E1241),N(F1241))&gt;=Settings!$C$9,MOD(MAX(N(E1241),N(F1241)),Settings!$C$10)=0),"Round amount | ",""),LEN(IF(K1241="No","Does not balance | ","")&amp;IF(I1241="","Not approved | ",IF(UPPER(TRIM(H1241))=UPPER(TRIM(I1241)),"Self-approved | ",""))&amp;IF(J1241="","No support | ","")&amp;IF(WEEKDAY(B1241,2)&gt;5,"Weekend posting | ","")&amp;IF(COUNTIF(Settings!$A$14:$A$43,B1241)&gt;0,"Holiday posting | ","")&amp;IF(B1241&gt;Settings!$C$8,"Posted after close | ","")&amp;IF(OR(B1241&lt;Settings!$C$6,B1241&gt;Settings!$C$7),"Outside period | ","")&amp;IF(COUNTIF(Settings!$E$14:$E$43,C1241&amp;"")&gt;0,"Sensitive account | ","")&amp;IF(AND(MAX(N(E1241),N(F1241))&gt;=Settings!$C$9,MOD(MAX(N(E1241),N(F1241)),Settings!$C$10)=0),"Round amount | ",""))-3)))</f>
        <v/>
      </c>
      <c r="M1241" s="21" t="str">
        <f aca="false">IF(A1241="","",IF(COUNTIF($A$9:A1241,A1241)=1,MAX($M$8:M1240)+1,""))</f>
        <v/>
      </c>
    </row>
    <row r="1242" customFormat="false" ht="15" hidden="false" customHeight="false" outlineLevel="0" collapsed="false">
      <c r="A1242" s="8"/>
      <c r="B1242" s="17"/>
      <c r="C1242" s="19"/>
      <c r="D1242" s="8"/>
      <c r="E1242" s="18"/>
      <c r="F1242" s="18"/>
      <c r="G1242" s="8"/>
      <c r="H1242" s="8"/>
      <c r="I1242" s="8"/>
      <c r="J1242" s="8"/>
      <c r="K1242" s="10" t="str">
        <f aca="false">IF(A1242="","",IF(ABS(SUMIFS($E$9:$E$2008,$A$9:$A$2008,A1242)-SUMIFS($F$9:$F$2008,$A$9:$A$2008,A1242))&lt;0.5,"Yes","No"))</f>
        <v/>
      </c>
      <c r="L1242" s="10" t="str">
        <f aca="false">IF(A1242="","",IF(IF(K1242="No","Does not balance | ","")&amp;IF(I1242="","Not approved | ",IF(UPPER(TRIM(H1242))=UPPER(TRIM(I1242)),"Self-approved | ",""))&amp;IF(J1242="","No support | ","")&amp;IF(WEEKDAY(B1242,2)&gt;5,"Weekend posting | ","")&amp;IF(COUNTIF(Settings!$A$14:$A$43,B1242)&gt;0,"Holiday posting | ","")&amp;IF(B1242&gt;Settings!$C$8,"Posted after close | ","")&amp;IF(OR(B1242&lt;Settings!$C$6,B1242&gt;Settings!$C$7),"Outside period | ","")&amp;IF(COUNTIF(Settings!$E$14:$E$43,C1242&amp;"")&gt;0,"Sensitive account | ","")&amp;IF(AND(MAX(N(E1242),N(F1242))&gt;=Settings!$C$9,MOD(MAX(N(E1242),N(F1242)),Settings!$C$10)=0),"Round amount | ","")="","",LEFT(IF(K1242="No","Does not balance | ","")&amp;IF(I1242="","Not approved | ",IF(UPPER(TRIM(H1242))=UPPER(TRIM(I1242)),"Self-approved | ",""))&amp;IF(J1242="","No support | ","")&amp;IF(WEEKDAY(B1242,2)&gt;5,"Weekend posting | ","")&amp;IF(COUNTIF(Settings!$A$14:$A$43,B1242)&gt;0,"Holiday posting | ","")&amp;IF(B1242&gt;Settings!$C$8,"Posted after close | ","")&amp;IF(OR(B1242&lt;Settings!$C$6,B1242&gt;Settings!$C$7),"Outside period | ","")&amp;IF(COUNTIF(Settings!$E$14:$E$43,C1242&amp;"")&gt;0,"Sensitive account | ","")&amp;IF(AND(MAX(N(E1242),N(F1242))&gt;=Settings!$C$9,MOD(MAX(N(E1242),N(F1242)),Settings!$C$10)=0),"Round amount | ",""),LEN(IF(K1242="No","Does not balance | ","")&amp;IF(I1242="","Not approved | ",IF(UPPER(TRIM(H1242))=UPPER(TRIM(I1242)),"Self-approved | ",""))&amp;IF(J1242="","No support | ","")&amp;IF(WEEKDAY(B1242,2)&gt;5,"Weekend posting | ","")&amp;IF(COUNTIF(Settings!$A$14:$A$43,B1242)&gt;0,"Holiday posting | ","")&amp;IF(B1242&gt;Settings!$C$8,"Posted after close | ","")&amp;IF(OR(B1242&lt;Settings!$C$6,B1242&gt;Settings!$C$7),"Outside period | ","")&amp;IF(COUNTIF(Settings!$E$14:$E$43,C1242&amp;"")&gt;0,"Sensitive account | ","")&amp;IF(AND(MAX(N(E1242),N(F1242))&gt;=Settings!$C$9,MOD(MAX(N(E1242),N(F1242)),Settings!$C$10)=0),"Round amount | ",""))-3)))</f>
        <v/>
      </c>
      <c r="M1242" s="21" t="str">
        <f aca="false">IF(A1242="","",IF(COUNTIF($A$9:A1242,A1242)=1,MAX($M$8:M1241)+1,""))</f>
        <v/>
      </c>
    </row>
    <row r="1243" customFormat="false" ht="15" hidden="false" customHeight="false" outlineLevel="0" collapsed="false">
      <c r="A1243" s="8"/>
      <c r="B1243" s="17"/>
      <c r="C1243" s="19"/>
      <c r="D1243" s="8"/>
      <c r="E1243" s="18"/>
      <c r="F1243" s="18"/>
      <c r="G1243" s="8"/>
      <c r="H1243" s="8"/>
      <c r="I1243" s="8"/>
      <c r="J1243" s="8"/>
      <c r="K1243" s="10" t="str">
        <f aca="false">IF(A1243="","",IF(ABS(SUMIFS($E$9:$E$2008,$A$9:$A$2008,A1243)-SUMIFS($F$9:$F$2008,$A$9:$A$2008,A1243))&lt;0.5,"Yes","No"))</f>
        <v/>
      </c>
      <c r="L1243" s="10" t="str">
        <f aca="false">IF(A1243="","",IF(IF(K1243="No","Does not balance | ","")&amp;IF(I1243="","Not approved | ",IF(UPPER(TRIM(H1243))=UPPER(TRIM(I1243)),"Self-approved | ",""))&amp;IF(J1243="","No support | ","")&amp;IF(WEEKDAY(B1243,2)&gt;5,"Weekend posting | ","")&amp;IF(COUNTIF(Settings!$A$14:$A$43,B1243)&gt;0,"Holiday posting | ","")&amp;IF(B1243&gt;Settings!$C$8,"Posted after close | ","")&amp;IF(OR(B1243&lt;Settings!$C$6,B1243&gt;Settings!$C$7),"Outside period | ","")&amp;IF(COUNTIF(Settings!$E$14:$E$43,C1243&amp;"")&gt;0,"Sensitive account | ","")&amp;IF(AND(MAX(N(E1243),N(F1243))&gt;=Settings!$C$9,MOD(MAX(N(E1243),N(F1243)),Settings!$C$10)=0),"Round amount | ","")="","",LEFT(IF(K1243="No","Does not balance | ","")&amp;IF(I1243="","Not approved | ",IF(UPPER(TRIM(H1243))=UPPER(TRIM(I1243)),"Self-approved | ",""))&amp;IF(J1243="","No support | ","")&amp;IF(WEEKDAY(B1243,2)&gt;5,"Weekend posting | ","")&amp;IF(COUNTIF(Settings!$A$14:$A$43,B1243)&gt;0,"Holiday posting | ","")&amp;IF(B1243&gt;Settings!$C$8,"Posted after close | ","")&amp;IF(OR(B1243&lt;Settings!$C$6,B1243&gt;Settings!$C$7),"Outside period | ","")&amp;IF(COUNTIF(Settings!$E$14:$E$43,C1243&amp;"")&gt;0,"Sensitive account | ","")&amp;IF(AND(MAX(N(E1243),N(F1243))&gt;=Settings!$C$9,MOD(MAX(N(E1243),N(F1243)),Settings!$C$10)=0),"Round amount | ",""),LEN(IF(K1243="No","Does not balance | ","")&amp;IF(I1243="","Not approved | ",IF(UPPER(TRIM(H1243))=UPPER(TRIM(I1243)),"Self-approved | ",""))&amp;IF(J1243="","No support | ","")&amp;IF(WEEKDAY(B1243,2)&gt;5,"Weekend posting | ","")&amp;IF(COUNTIF(Settings!$A$14:$A$43,B1243)&gt;0,"Holiday posting | ","")&amp;IF(B1243&gt;Settings!$C$8,"Posted after close | ","")&amp;IF(OR(B1243&lt;Settings!$C$6,B1243&gt;Settings!$C$7),"Outside period | ","")&amp;IF(COUNTIF(Settings!$E$14:$E$43,C1243&amp;"")&gt;0,"Sensitive account | ","")&amp;IF(AND(MAX(N(E1243),N(F1243))&gt;=Settings!$C$9,MOD(MAX(N(E1243),N(F1243)),Settings!$C$10)=0),"Round amount | ",""))-3)))</f>
        <v/>
      </c>
      <c r="M1243" s="21" t="str">
        <f aca="false">IF(A1243="","",IF(COUNTIF($A$9:A1243,A1243)=1,MAX($M$8:M1242)+1,""))</f>
        <v/>
      </c>
    </row>
    <row r="1244" customFormat="false" ht="15" hidden="false" customHeight="false" outlineLevel="0" collapsed="false">
      <c r="A1244" s="8"/>
      <c r="B1244" s="17"/>
      <c r="C1244" s="19"/>
      <c r="D1244" s="8"/>
      <c r="E1244" s="18"/>
      <c r="F1244" s="18"/>
      <c r="G1244" s="8"/>
      <c r="H1244" s="8"/>
      <c r="I1244" s="8"/>
      <c r="J1244" s="8"/>
      <c r="K1244" s="10" t="str">
        <f aca="false">IF(A1244="","",IF(ABS(SUMIFS($E$9:$E$2008,$A$9:$A$2008,A1244)-SUMIFS($F$9:$F$2008,$A$9:$A$2008,A1244))&lt;0.5,"Yes","No"))</f>
        <v/>
      </c>
      <c r="L1244" s="10" t="str">
        <f aca="false">IF(A1244="","",IF(IF(K1244="No","Does not balance | ","")&amp;IF(I1244="","Not approved | ",IF(UPPER(TRIM(H1244))=UPPER(TRIM(I1244)),"Self-approved | ",""))&amp;IF(J1244="","No support | ","")&amp;IF(WEEKDAY(B1244,2)&gt;5,"Weekend posting | ","")&amp;IF(COUNTIF(Settings!$A$14:$A$43,B1244)&gt;0,"Holiday posting | ","")&amp;IF(B1244&gt;Settings!$C$8,"Posted after close | ","")&amp;IF(OR(B1244&lt;Settings!$C$6,B1244&gt;Settings!$C$7),"Outside period | ","")&amp;IF(COUNTIF(Settings!$E$14:$E$43,C1244&amp;"")&gt;0,"Sensitive account | ","")&amp;IF(AND(MAX(N(E1244),N(F1244))&gt;=Settings!$C$9,MOD(MAX(N(E1244),N(F1244)),Settings!$C$10)=0),"Round amount | ","")="","",LEFT(IF(K1244="No","Does not balance | ","")&amp;IF(I1244="","Not approved | ",IF(UPPER(TRIM(H1244))=UPPER(TRIM(I1244)),"Self-approved | ",""))&amp;IF(J1244="","No support | ","")&amp;IF(WEEKDAY(B1244,2)&gt;5,"Weekend posting | ","")&amp;IF(COUNTIF(Settings!$A$14:$A$43,B1244)&gt;0,"Holiday posting | ","")&amp;IF(B1244&gt;Settings!$C$8,"Posted after close | ","")&amp;IF(OR(B1244&lt;Settings!$C$6,B1244&gt;Settings!$C$7),"Outside period | ","")&amp;IF(COUNTIF(Settings!$E$14:$E$43,C1244&amp;"")&gt;0,"Sensitive account | ","")&amp;IF(AND(MAX(N(E1244),N(F1244))&gt;=Settings!$C$9,MOD(MAX(N(E1244),N(F1244)),Settings!$C$10)=0),"Round amount | ",""),LEN(IF(K1244="No","Does not balance | ","")&amp;IF(I1244="","Not approved | ",IF(UPPER(TRIM(H1244))=UPPER(TRIM(I1244)),"Self-approved | ",""))&amp;IF(J1244="","No support | ","")&amp;IF(WEEKDAY(B1244,2)&gt;5,"Weekend posting | ","")&amp;IF(COUNTIF(Settings!$A$14:$A$43,B1244)&gt;0,"Holiday posting | ","")&amp;IF(B1244&gt;Settings!$C$8,"Posted after close | ","")&amp;IF(OR(B1244&lt;Settings!$C$6,B1244&gt;Settings!$C$7),"Outside period | ","")&amp;IF(COUNTIF(Settings!$E$14:$E$43,C1244&amp;"")&gt;0,"Sensitive account | ","")&amp;IF(AND(MAX(N(E1244),N(F1244))&gt;=Settings!$C$9,MOD(MAX(N(E1244),N(F1244)),Settings!$C$10)=0),"Round amount | ",""))-3)))</f>
        <v/>
      </c>
      <c r="M1244" s="21" t="str">
        <f aca="false">IF(A1244="","",IF(COUNTIF($A$9:A1244,A1244)=1,MAX($M$8:M1243)+1,""))</f>
        <v/>
      </c>
    </row>
    <row r="1245" customFormat="false" ht="15" hidden="false" customHeight="false" outlineLevel="0" collapsed="false">
      <c r="A1245" s="8"/>
      <c r="B1245" s="17"/>
      <c r="C1245" s="19"/>
      <c r="D1245" s="8"/>
      <c r="E1245" s="18"/>
      <c r="F1245" s="18"/>
      <c r="G1245" s="8"/>
      <c r="H1245" s="8"/>
      <c r="I1245" s="8"/>
      <c r="J1245" s="8"/>
      <c r="K1245" s="10" t="str">
        <f aca="false">IF(A1245="","",IF(ABS(SUMIFS($E$9:$E$2008,$A$9:$A$2008,A1245)-SUMIFS($F$9:$F$2008,$A$9:$A$2008,A1245))&lt;0.5,"Yes","No"))</f>
        <v/>
      </c>
      <c r="L1245" s="10" t="str">
        <f aca="false">IF(A1245="","",IF(IF(K1245="No","Does not balance | ","")&amp;IF(I1245="","Not approved | ",IF(UPPER(TRIM(H1245))=UPPER(TRIM(I1245)),"Self-approved | ",""))&amp;IF(J1245="","No support | ","")&amp;IF(WEEKDAY(B1245,2)&gt;5,"Weekend posting | ","")&amp;IF(COUNTIF(Settings!$A$14:$A$43,B1245)&gt;0,"Holiday posting | ","")&amp;IF(B1245&gt;Settings!$C$8,"Posted after close | ","")&amp;IF(OR(B1245&lt;Settings!$C$6,B1245&gt;Settings!$C$7),"Outside period | ","")&amp;IF(COUNTIF(Settings!$E$14:$E$43,C1245&amp;"")&gt;0,"Sensitive account | ","")&amp;IF(AND(MAX(N(E1245),N(F1245))&gt;=Settings!$C$9,MOD(MAX(N(E1245),N(F1245)),Settings!$C$10)=0),"Round amount | ","")="","",LEFT(IF(K1245="No","Does not balance | ","")&amp;IF(I1245="","Not approved | ",IF(UPPER(TRIM(H1245))=UPPER(TRIM(I1245)),"Self-approved | ",""))&amp;IF(J1245="","No support | ","")&amp;IF(WEEKDAY(B1245,2)&gt;5,"Weekend posting | ","")&amp;IF(COUNTIF(Settings!$A$14:$A$43,B1245)&gt;0,"Holiday posting | ","")&amp;IF(B1245&gt;Settings!$C$8,"Posted after close | ","")&amp;IF(OR(B1245&lt;Settings!$C$6,B1245&gt;Settings!$C$7),"Outside period | ","")&amp;IF(COUNTIF(Settings!$E$14:$E$43,C1245&amp;"")&gt;0,"Sensitive account | ","")&amp;IF(AND(MAX(N(E1245),N(F1245))&gt;=Settings!$C$9,MOD(MAX(N(E1245),N(F1245)),Settings!$C$10)=0),"Round amount | ",""),LEN(IF(K1245="No","Does not balance | ","")&amp;IF(I1245="","Not approved | ",IF(UPPER(TRIM(H1245))=UPPER(TRIM(I1245)),"Self-approved | ",""))&amp;IF(J1245="","No support | ","")&amp;IF(WEEKDAY(B1245,2)&gt;5,"Weekend posting | ","")&amp;IF(COUNTIF(Settings!$A$14:$A$43,B1245)&gt;0,"Holiday posting | ","")&amp;IF(B1245&gt;Settings!$C$8,"Posted after close | ","")&amp;IF(OR(B1245&lt;Settings!$C$6,B1245&gt;Settings!$C$7),"Outside period | ","")&amp;IF(COUNTIF(Settings!$E$14:$E$43,C1245&amp;"")&gt;0,"Sensitive account | ","")&amp;IF(AND(MAX(N(E1245),N(F1245))&gt;=Settings!$C$9,MOD(MAX(N(E1245),N(F1245)),Settings!$C$10)=0),"Round amount | ",""))-3)))</f>
        <v/>
      </c>
      <c r="M1245" s="21" t="str">
        <f aca="false">IF(A1245="","",IF(COUNTIF($A$9:A1245,A1245)=1,MAX($M$8:M1244)+1,""))</f>
        <v/>
      </c>
    </row>
    <row r="1246" customFormat="false" ht="15" hidden="false" customHeight="false" outlineLevel="0" collapsed="false">
      <c r="A1246" s="8"/>
      <c r="B1246" s="17"/>
      <c r="C1246" s="19"/>
      <c r="D1246" s="8"/>
      <c r="E1246" s="18"/>
      <c r="F1246" s="18"/>
      <c r="G1246" s="8"/>
      <c r="H1246" s="8"/>
      <c r="I1246" s="8"/>
      <c r="J1246" s="8"/>
      <c r="K1246" s="10" t="str">
        <f aca="false">IF(A1246="","",IF(ABS(SUMIFS($E$9:$E$2008,$A$9:$A$2008,A1246)-SUMIFS($F$9:$F$2008,$A$9:$A$2008,A1246))&lt;0.5,"Yes","No"))</f>
        <v/>
      </c>
      <c r="L1246" s="10" t="str">
        <f aca="false">IF(A1246="","",IF(IF(K1246="No","Does not balance | ","")&amp;IF(I1246="","Not approved | ",IF(UPPER(TRIM(H1246))=UPPER(TRIM(I1246)),"Self-approved | ",""))&amp;IF(J1246="","No support | ","")&amp;IF(WEEKDAY(B1246,2)&gt;5,"Weekend posting | ","")&amp;IF(COUNTIF(Settings!$A$14:$A$43,B1246)&gt;0,"Holiday posting | ","")&amp;IF(B1246&gt;Settings!$C$8,"Posted after close | ","")&amp;IF(OR(B1246&lt;Settings!$C$6,B1246&gt;Settings!$C$7),"Outside period | ","")&amp;IF(COUNTIF(Settings!$E$14:$E$43,C1246&amp;"")&gt;0,"Sensitive account | ","")&amp;IF(AND(MAX(N(E1246),N(F1246))&gt;=Settings!$C$9,MOD(MAX(N(E1246),N(F1246)),Settings!$C$10)=0),"Round amount | ","")="","",LEFT(IF(K1246="No","Does not balance | ","")&amp;IF(I1246="","Not approved | ",IF(UPPER(TRIM(H1246))=UPPER(TRIM(I1246)),"Self-approved | ",""))&amp;IF(J1246="","No support | ","")&amp;IF(WEEKDAY(B1246,2)&gt;5,"Weekend posting | ","")&amp;IF(COUNTIF(Settings!$A$14:$A$43,B1246)&gt;0,"Holiday posting | ","")&amp;IF(B1246&gt;Settings!$C$8,"Posted after close | ","")&amp;IF(OR(B1246&lt;Settings!$C$6,B1246&gt;Settings!$C$7),"Outside period | ","")&amp;IF(COUNTIF(Settings!$E$14:$E$43,C1246&amp;"")&gt;0,"Sensitive account | ","")&amp;IF(AND(MAX(N(E1246),N(F1246))&gt;=Settings!$C$9,MOD(MAX(N(E1246),N(F1246)),Settings!$C$10)=0),"Round amount | ",""),LEN(IF(K1246="No","Does not balance | ","")&amp;IF(I1246="","Not approved | ",IF(UPPER(TRIM(H1246))=UPPER(TRIM(I1246)),"Self-approved | ",""))&amp;IF(J1246="","No support | ","")&amp;IF(WEEKDAY(B1246,2)&gt;5,"Weekend posting | ","")&amp;IF(COUNTIF(Settings!$A$14:$A$43,B1246)&gt;0,"Holiday posting | ","")&amp;IF(B1246&gt;Settings!$C$8,"Posted after close | ","")&amp;IF(OR(B1246&lt;Settings!$C$6,B1246&gt;Settings!$C$7),"Outside period | ","")&amp;IF(COUNTIF(Settings!$E$14:$E$43,C1246&amp;"")&gt;0,"Sensitive account | ","")&amp;IF(AND(MAX(N(E1246),N(F1246))&gt;=Settings!$C$9,MOD(MAX(N(E1246),N(F1246)),Settings!$C$10)=0),"Round amount | ",""))-3)))</f>
        <v/>
      </c>
      <c r="M1246" s="21" t="str">
        <f aca="false">IF(A1246="","",IF(COUNTIF($A$9:A1246,A1246)=1,MAX($M$8:M1245)+1,""))</f>
        <v/>
      </c>
    </row>
    <row r="1247" customFormat="false" ht="15" hidden="false" customHeight="false" outlineLevel="0" collapsed="false">
      <c r="A1247" s="8"/>
      <c r="B1247" s="17"/>
      <c r="C1247" s="19"/>
      <c r="D1247" s="8"/>
      <c r="E1247" s="18"/>
      <c r="F1247" s="18"/>
      <c r="G1247" s="8"/>
      <c r="H1247" s="8"/>
      <c r="I1247" s="8"/>
      <c r="J1247" s="8"/>
      <c r="K1247" s="10" t="str">
        <f aca="false">IF(A1247="","",IF(ABS(SUMIFS($E$9:$E$2008,$A$9:$A$2008,A1247)-SUMIFS($F$9:$F$2008,$A$9:$A$2008,A1247))&lt;0.5,"Yes","No"))</f>
        <v/>
      </c>
      <c r="L1247" s="10" t="str">
        <f aca="false">IF(A1247="","",IF(IF(K1247="No","Does not balance | ","")&amp;IF(I1247="","Not approved | ",IF(UPPER(TRIM(H1247))=UPPER(TRIM(I1247)),"Self-approved | ",""))&amp;IF(J1247="","No support | ","")&amp;IF(WEEKDAY(B1247,2)&gt;5,"Weekend posting | ","")&amp;IF(COUNTIF(Settings!$A$14:$A$43,B1247)&gt;0,"Holiday posting | ","")&amp;IF(B1247&gt;Settings!$C$8,"Posted after close | ","")&amp;IF(OR(B1247&lt;Settings!$C$6,B1247&gt;Settings!$C$7),"Outside period | ","")&amp;IF(COUNTIF(Settings!$E$14:$E$43,C1247&amp;"")&gt;0,"Sensitive account | ","")&amp;IF(AND(MAX(N(E1247),N(F1247))&gt;=Settings!$C$9,MOD(MAX(N(E1247),N(F1247)),Settings!$C$10)=0),"Round amount | ","")="","",LEFT(IF(K1247="No","Does not balance | ","")&amp;IF(I1247="","Not approved | ",IF(UPPER(TRIM(H1247))=UPPER(TRIM(I1247)),"Self-approved | ",""))&amp;IF(J1247="","No support | ","")&amp;IF(WEEKDAY(B1247,2)&gt;5,"Weekend posting | ","")&amp;IF(COUNTIF(Settings!$A$14:$A$43,B1247)&gt;0,"Holiday posting | ","")&amp;IF(B1247&gt;Settings!$C$8,"Posted after close | ","")&amp;IF(OR(B1247&lt;Settings!$C$6,B1247&gt;Settings!$C$7),"Outside period | ","")&amp;IF(COUNTIF(Settings!$E$14:$E$43,C1247&amp;"")&gt;0,"Sensitive account | ","")&amp;IF(AND(MAX(N(E1247),N(F1247))&gt;=Settings!$C$9,MOD(MAX(N(E1247),N(F1247)),Settings!$C$10)=0),"Round amount | ",""),LEN(IF(K1247="No","Does not balance | ","")&amp;IF(I1247="","Not approved | ",IF(UPPER(TRIM(H1247))=UPPER(TRIM(I1247)),"Self-approved | ",""))&amp;IF(J1247="","No support | ","")&amp;IF(WEEKDAY(B1247,2)&gt;5,"Weekend posting | ","")&amp;IF(COUNTIF(Settings!$A$14:$A$43,B1247)&gt;0,"Holiday posting | ","")&amp;IF(B1247&gt;Settings!$C$8,"Posted after close | ","")&amp;IF(OR(B1247&lt;Settings!$C$6,B1247&gt;Settings!$C$7),"Outside period | ","")&amp;IF(COUNTIF(Settings!$E$14:$E$43,C1247&amp;"")&gt;0,"Sensitive account | ","")&amp;IF(AND(MAX(N(E1247),N(F1247))&gt;=Settings!$C$9,MOD(MAX(N(E1247),N(F1247)),Settings!$C$10)=0),"Round amount | ",""))-3)))</f>
        <v/>
      </c>
      <c r="M1247" s="21" t="str">
        <f aca="false">IF(A1247="","",IF(COUNTIF($A$9:A1247,A1247)=1,MAX($M$8:M1246)+1,""))</f>
        <v/>
      </c>
    </row>
    <row r="1248" customFormat="false" ht="15" hidden="false" customHeight="false" outlineLevel="0" collapsed="false">
      <c r="A1248" s="8"/>
      <c r="B1248" s="17"/>
      <c r="C1248" s="19"/>
      <c r="D1248" s="8"/>
      <c r="E1248" s="18"/>
      <c r="F1248" s="18"/>
      <c r="G1248" s="8"/>
      <c r="H1248" s="8"/>
      <c r="I1248" s="8"/>
      <c r="J1248" s="8"/>
      <c r="K1248" s="10" t="str">
        <f aca="false">IF(A1248="","",IF(ABS(SUMIFS($E$9:$E$2008,$A$9:$A$2008,A1248)-SUMIFS($F$9:$F$2008,$A$9:$A$2008,A1248))&lt;0.5,"Yes","No"))</f>
        <v/>
      </c>
      <c r="L1248" s="10" t="str">
        <f aca="false">IF(A1248="","",IF(IF(K1248="No","Does not balance | ","")&amp;IF(I1248="","Not approved | ",IF(UPPER(TRIM(H1248))=UPPER(TRIM(I1248)),"Self-approved | ",""))&amp;IF(J1248="","No support | ","")&amp;IF(WEEKDAY(B1248,2)&gt;5,"Weekend posting | ","")&amp;IF(COUNTIF(Settings!$A$14:$A$43,B1248)&gt;0,"Holiday posting | ","")&amp;IF(B1248&gt;Settings!$C$8,"Posted after close | ","")&amp;IF(OR(B1248&lt;Settings!$C$6,B1248&gt;Settings!$C$7),"Outside period | ","")&amp;IF(COUNTIF(Settings!$E$14:$E$43,C1248&amp;"")&gt;0,"Sensitive account | ","")&amp;IF(AND(MAX(N(E1248),N(F1248))&gt;=Settings!$C$9,MOD(MAX(N(E1248),N(F1248)),Settings!$C$10)=0),"Round amount | ","")="","",LEFT(IF(K1248="No","Does not balance | ","")&amp;IF(I1248="","Not approved | ",IF(UPPER(TRIM(H1248))=UPPER(TRIM(I1248)),"Self-approved | ",""))&amp;IF(J1248="","No support | ","")&amp;IF(WEEKDAY(B1248,2)&gt;5,"Weekend posting | ","")&amp;IF(COUNTIF(Settings!$A$14:$A$43,B1248)&gt;0,"Holiday posting | ","")&amp;IF(B1248&gt;Settings!$C$8,"Posted after close | ","")&amp;IF(OR(B1248&lt;Settings!$C$6,B1248&gt;Settings!$C$7),"Outside period | ","")&amp;IF(COUNTIF(Settings!$E$14:$E$43,C1248&amp;"")&gt;0,"Sensitive account | ","")&amp;IF(AND(MAX(N(E1248),N(F1248))&gt;=Settings!$C$9,MOD(MAX(N(E1248),N(F1248)),Settings!$C$10)=0),"Round amount | ",""),LEN(IF(K1248="No","Does not balance | ","")&amp;IF(I1248="","Not approved | ",IF(UPPER(TRIM(H1248))=UPPER(TRIM(I1248)),"Self-approved | ",""))&amp;IF(J1248="","No support | ","")&amp;IF(WEEKDAY(B1248,2)&gt;5,"Weekend posting | ","")&amp;IF(COUNTIF(Settings!$A$14:$A$43,B1248)&gt;0,"Holiday posting | ","")&amp;IF(B1248&gt;Settings!$C$8,"Posted after close | ","")&amp;IF(OR(B1248&lt;Settings!$C$6,B1248&gt;Settings!$C$7),"Outside period | ","")&amp;IF(COUNTIF(Settings!$E$14:$E$43,C1248&amp;"")&gt;0,"Sensitive account | ","")&amp;IF(AND(MAX(N(E1248),N(F1248))&gt;=Settings!$C$9,MOD(MAX(N(E1248),N(F1248)),Settings!$C$10)=0),"Round amount | ",""))-3)))</f>
        <v/>
      </c>
      <c r="M1248" s="21" t="str">
        <f aca="false">IF(A1248="","",IF(COUNTIF($A$9:A1248,A1248)=1,MAX($M$8:M1247)+1,""))</f>
        <v/>
      </c>
    </row>
    <row r="1249" customFormat="false" ht="15" hidden="false" customHeight="false" outlineLevel="0" collapsed="false">
      <c r="A1249" s="8"/>
      <c r="B1249" s="17"/>
      <c r="C1249" s="19"/>
      <c r="D1249" s="8"/>
      <c r="E1249" s="18"/>
      <c r="F1249" s="18"/>
      <c r="G1249" s="8"/>
      <c r="H1249" s="8"/>
      <c r="I1249" s="8"/>
      <c r="J1249" s="8"/>
      <c r="K1249" s="10" t="str">
        <f aca="false">IF(A1249="","",IF(ABS(SUMIFS($E$9:$E$2008,$A$9:$A$2008,A1249)-SUMIFS($F$9:$F$2008,$A$9:$A$2008,A1249))&lt;0.5,"Yes","No"))</f>
        <v/>
      </c>
      <c r="L1249" s="10" t="str">
        <f aca="false">IF(A1249="","",IF(IF(K1249="No","Does not balance | ","")&amp;IF(I1249="","Not approved | ",IF(UPPER(TRIM(H1249))=UPPER(TRIM(I1249)),"Self-approved | ",""))&amp;IF(J1249="","No support | ","")&amp;IF(WEEKDAY(B1249,2)&gt;5,"Weekend posting | ","")&amp;IF(COUNTIF(Settings!$A$14:$A$43,B1249)&gt;0,"Holiday posting | ","")&amp;IF(B1249&gt;Settings!$C$8,"Posted after close | ","")&amp;IF(OR(B1249&lt;Settings!$C$6,B1249&gt;Settings!$C$7),"Outside period | ","")&amp;IF(COUNTIF(Settings!$E$14:$E$43,C1249&amp;"")&gt;0,"Sensitive account | ","")&amp;IF(AND(MAX(N(E1249),N(F1249))&gt;=Settings!$C$9,MOD(MAX(N(E1249),N(F1249)),Settings!$C$10)=0),"Round amount | ","")="","",LEFT(IF(K1249="No","Does not balance | ","")&amp;IF(I1249="","Not approved | ",IF(UPPER(TRIM(H1249))=UPPER(TRIM(I1249)),"Self-approved | ",""))&amp;IF(J1249="","No support | ","")&amp;IF(WEEKDAY(B1249,2)&gt;5,"Weekend posting | ","")&amp;IF(COUNTIF(Settings!$A$14:$A$43,B1249)&gt;0,"Holiday posting | ","")&amp;IF(B1249&gt;Settings!$C$8,"Posted after close | ","")&amp;IF(OR(B1249&lt;Settings!$C$6,B1249&gt;Settings!$C$7),"Outside period | ","")&amp;IF(COUNTIF(Settings!$E$14:$E$43,C1249&amp;"")&gt;0,"Sensitive account | ","")&amp;IF(AND(MAX(N(E1249),N(F1249))&gt;=Settings!$C$9,MOD(MAX(N(E1249),N(F1249)),Settings!$C$10)=0),"Round amount | ",""),LEN(IF(K1249="No","Does not balance | ","")&amp;IF(I1249="","Not approved | ",IF(UPPER(TRIM(H1249))=UPPER(TRIM(I1249)),"Self-approved | ",""))&amp;IF(J1249="","No support | ","")&amp;IF(WEEKDAY(B1249,2)&gt;5,"Weekend posting | ","")&amp;IF(COUNTIF(Settings!$A$14:$A$43,B1249)&gt;0,"Holiday posting | ","")&amp;IF(B1249&gt;Settings!$C$8,"Posted after close | ","")&amp;IF(OR(B1249&lt;Settings!$C$6,B1249&gt;Settings!$C$7),"Outside period | ","")&amp;IF(COUNTIF(Settings!$E$14:$E$43,C1249&amp;"")&gt;0,"Sensitive account | ","")&amp;IF(AND(MAX(N(E1249),N(F1249))&gt;=Settings!$C$9,MOD(MAX(N(E1249),N(F1249)),Settings!$C$10)=0),"Round amount | ",""))-3)))</f>
        <v/>
      </c>
      <c r="M1249" s="21" t="str">
        <f aca="false">IF(A1249="","",IF(COUNTIF($A$9:A1249,A1249)=1,MAX($M$8:M1248)+1,""))</f>
        <v/>
      </c>
    </row>
    <row r="1250" customFormat="false" ht="15" hidden="false" customHeight="false" outlineLevel="0" collapsed="false">
      <c r="A1250" s="8"/>
      <c r="B1250" s="17"/>
      <c r="C1250" s="19"/>
      <c r="D1250" s="8"/>
      <c r="E1250" s="18"/>
      <c r="F1250" s="18"/>
      <c r="G1250" s="8"/>
      <c r="H1250" s="8"/>
      <c r="I1250" s="8"/>
      <c r="J1250" s="8"/>
      <c r="K1250" s="10" t="str">
        <f aca="false">IF(A1250="","",IF(ABS(SUMIFS($E$9:$E$2008,$A$9:$A$2008,A1250)-SUMIFS($F$9:$F$2008,$A$9:$A$2008,A1250))&lt;0.5,"Yes","No"))</f>
        <v/>
      </c>
      <c r="L1250" s="10" t="str">
        <f aca="false">IF(A1250="","",IF(IF(K1250="No","Does not balance | ","")&amp;IF(I1250="","Not approved | ",IF(UPPER(TRIM(H1250))=UPPER(TRIM(I1250)),"Self-approved | ",""))&amp;IF(J1250="","No support | ","")&amp;IF(WEEKDAY(B1250,2)&gt;5,"Weekend posting | ","")&amp;IF(COUNTIF(Settings!$A$14:$A$43,B1250)&gt;0,"Holiday posting | ","")&amp;IF(B1250&gt;Settings!$C$8,"Posted after close | ","")&amp;IF(OR(B1250&lt;Settings!$C$6,B1250&gt;Settings!$C$7),"Outside period | ","")&amp;IF(COUNTIF(Settings!$E$14:$E$43,C1250&amp;"")&gt;0,"Sensitive account | ","")&amp;IF(AND(MAX(N(E1250),N(F1250))&gt;=Settings!$C$9,MOD(MAX(N(E1250),N(F1250)),Settings!$C$10)=0),"Round amount | ","")="","",LEFT(IF(K1250="No","Does not balance | ","")&amp;IF(I1250="","Not approved | ",IF(UPPER(TRIM(H1250))=UPPER(TRIM(I1250)),"Self-approved | ",""))&amp;IF(J1250="","No support | ","")&amp;IF(WEEKDAY(B1250,2)&gt;5,"Weekend posting | ","")&amp;IF(COUNTIF(Settings!$A$14:$A$43,B1250)&gt;0,"Holiday posting | ","")&amp;IF(B1250&gt;Settings!$C$8,"Posted after close | ","")&amp;IF(OR(B1250&lt;Settings!$C$6,B1250&gt;Settings!$C$7),"Outside period | ","")&amp;IF(COUNTIF(Settings!$E$14:$E$43,C1250&amp;"")&gt;0,"Sensitive account | ","")&amp;IF(AND(MAX(N(E1250),N(F1250))&gt;=Settings!$C$9,MOD(MAX(N(E1250),N(F1250)),Settings!$C$10)=0),"Round amount | ",""),LEN(IF(K1250="No","Does not balance | ","")&amp;IF(I1250="","Not approved | ",IF(UPPER(TRIM(H1250))=UPPER(TRIM(I1250)),"Self-approved | ",""))&amp;IF(J1250="","No support | ","")&amp;IF(WEEKDAY(B1250,2)&gt;5,"Weekend posting | ","")&amp;IF(COUNTIF(Settings!$A$14:$A$43,B1250)&gt;0,"Holiday posting | ","")&amp;IF(B1250&gt;Settings!$C$8,"Posted after close | ","")&amp;IF(OR(B1250&lt;Settings!$C$6,B1250&gt;Settings!$C$7),"Outside period | ","")&amp;IF(COUNTIF(Settings!$E$14:$E$43,C1250&amp;"")&gt;0,"Sensitive account | ","")&amp;IF(AND(MAX(N(E1250),N(F1250))&gt;=Settings!$C$9,MOD(MAX(N(E1250),N(F1250)),Settings!$C$10)=0),"Round amount | ",""))-3)))</f>
        <v/>
      </c>
      <c r="M1250" s="21" t="str">
        <f aca="false">IF(A1250="","",IF(COUNTIF($A$9:A1250,A1250)=1,MAX($M$8:M1249)+1,""))</f>
        <v/>
      </c>
    </row>
    <row r="1251" customFormat="false" ht="15" hidden="false" customHeight="false" outlineLevel="0" collapsed="false">
      <c r="A1251" s="8"/>
      <c r="B1251" s="17"/>
      <c r="C1251" s="19"/>
      <c r="D1251" s="8"/>
      <c r="E1251" s="18"/>
      <c r="F1251" s="18"/>
      <c r="G1251" s="8"/>
      <c r="H1251" s="8"/>
      <c r="I1251" s="8"/>
      <c r="J1251" s="8"/>
      <c r="K1251" s="10" t="str">
        <f aca="false">IF(A1251="","",IF(ABS(SUMIFS($E$9:$E$2008,$A$9:$A$2008,A1251)-SUMIFS($F$9:$F$2008,$A$9:$A$2008,A1251))&lt;0.5,"Yes","No"))</f>
        <v/>
      </c>
      <c r="L1251" s="10" t="str">
        <f aca="false">IF(A1251="","",IF(IF(K1251="No","Does not balance | ","")&amp;IF(I1251="","Not approved | ",IF(UPPER(TRIM(H1251))=UPPER(TRIM(I1251)),"Self-approved | ",""))&amp;IF(J1251="","No support | ","")&amp;IF(WEEKDAY(B1251,2)&gt;5,"Weekend posting | ","")&amp;IF(COUNTIF(Settings!$A$14:$A$43,B1251)&gt;0,"Holiday posting | ","")&amp;IF(B1251&gt;Settings!$C$8,"Posted after close | ","")&amp;IF(OR(B1251&lt;Settings!$C$6,B1251&gt;Settings!$C$7),"Outside period | ","")&amp;IF(COUNTIF(Settings!$E$14:$E$43,C1251&amp;"")&gt;0,"Sensitive account | ","")&amp;IF(AND(MAX(N(E1251),N(F1251))&gt;=Settings!$C$9,MOD(MAX(N(E1251),N(F1251)),Settings!$C$10)=0),"Round amount | ","")="","",LEFT(IF(K1251="No","Does not balance | ","")&amp;IF(I1251="","Not approved | ",IF(UPPER(TRIM(H1251))=UPPER(TRIM(I1251)),"Self-approved | ",""))&amp;IF(J1251="","No support | ","")&amp;IF(WEEKDAY(B1251,2)&gt;5,"Weekend posting | ","")&amp;IF(COUNTIF(Settings!$A$14:$A$43,B1251)&gt;0,"Holiday posting | ","")&amp;IF(B1251&gt;Settings!$C$8,"Posted after close | ","")&amp;IF(OR(B1251&lt;Settings!$C$6,B1251&gt;Settings!$C$7),"Outside period | ","")&amp;IF(COUNTIF(Settings!$E$14:$E$43,C1251&amp;"")&gt;0,"Sensitive account | ","")&amp;IF(AND(MAX(N(E1251),N(F1251))&gt;=Settings!$C$9,MOD(MAX(N(E1251),N(F1251)),Settings!$C$10)=0),"Round amount | ",""),LEN(IF(K1251="No","Does not balance | ","")&amp;IF(I1251="","Not approved | ",IF(UPPER(TRIM(H1251))=UPPER(TRIM(I1251)),"Self-approved | ",""))&amp;IF(J1251="","No support | ","")&amp;IF(WEEKDAY(B1251,2)&gt;5,"Weekend posting | ","")&amp;IF(COUNTIF(Settings!$A$14:$A$43,B1251)&gt;0,"Holiday posting | ","")&amp;IF(B1251&gt;Settings!$C$8,"Posted after close | ","")&amp;IF(OR(B1251&lt;Settings!$C$6,B1251&gt;Settings!$C$7),"Outside period | ","")&amp;IF(COUNTIF(Settings!$E$14:$E$43,C1251&amp;"")&gt;0,"Sensitive account | ","")&amp;IF(AND(MAX(N(E1251),N(F1251))&gt;=Settings!$C$9,MOD(MAX(N(E1251),N(F1251)),Settings!$C$10)=0),"Round amount | ",""))-3)))</f>
        <v/>
      </c>
      <c r="M1251" s="21" t="str">
        <f aca="false">IF(A1251="","",IF(COUNTIF($A$9:A1251,A1251)=1,MAX($M$8:M1250)+1,""))</f>
        <v/>
      </c>
    </row>
    <row r="1252" customFormat="false" ht="15" hidden="false" customHeight="false" outlineLevel="0" collapsed="false">
      <c r="A1252" s="8"/>
      <c r="B1252" s="17"/>
      <c r="C1252" s="19"/>
      <c r="D1252" s="8"/>
      <c r="E1252" s="18"/>
      <c r="F1252" s="18"/>
      <c r="G1252" s="8"/>
      <c r="H1252" s="8"/>
      <c r="I1252" s="8"/>
      <c r="J1252" s="8"/>
      <c r="K1252" s="10" t="str">
        <f aca="false">IF(A1252="","",IF(ABS(SUMIFS($E$9:$E$2008,$A$9:$A$2008,A1252)-SUMIFS($F$9:$F$2008,$A$9:$A$2008,A1252))&lt;0.5,"Yes","No"))</f>
        <v/>
      </c>
      <c r="L1252" s="10" t="str">
        <f aca="false">IF(A1252="","",IF(IF(K1252="No","Does not balance | ","")&amp;IF(I1252="","Not approved | ",IF(UPPER(TRIM(H1252))=UPPER(TRIM(I1252)),"Self-approved | ",""))&amp;IF(J1252="","No support | ","")&amp;IF(WEEKDAY(B1252,2)&gt;5,"Weekend posting | ","")&amp;IF(COUNTIF(Settings!$A$14:$A$43,B1252)&gt;0,"Holiday posting | ","")&amp;IF(B1252&gt;Settings!$C$8,"Posted after close | ","")&amp;IF(OR(B1252&lt;Settings!$C$6,B1252&gt;Settings!$C$7),"Outside period | ","")&amp;IF(COUNTIF(Settings!$E$14:$E$43,C1252&amp;"")&gt;0,"Sensitive account | ","")&amp;IF(AND(MAX(N(E1252),N(F1252))&gt;=Settings!$C$9,MOD(MAX(N(E1252),N(F1252)),Settings!$C$10)=0),"Round amount | ","")="","",LEFT(IF(K1252="No","Does not balance | ","")&amp;IF(I1252="","Not approved | ",IF(UPPER(TRIM(H1252))=UPPER(TRIM(I1252)),"Self-approved | ",""))&amp;IF(J1252="","No support | ","")&amp;IF(WEEKDAY(B1252,2)&gt;5,"Weekend posting | ","")&amp;IF(COUNTIF(Settings!$A$14:$A$43,B1252)&gt;0,"Holiday posting | ","")&amp;IF(B1252&gt;Settings!$C$8,"Posted after close | ","")&amp;IF(OR(B1252&lt;Settings!$C$6,B1252&gt;Settings!$C$7),"Outside period | ","")&amp;IF(COUNTIF(Settings!$E$14:$E$43,C1252&amp;"")&gt;0,"Sensitive account | ","")&amp;IF(AND(MAX(N(E1252),N(F1252))&gt;=Settings!$C$9,MOD(MAX(N(E1252),N(F1252)),Settings!$C$10)=0),"Round amount | ",""),LEN(IF(K1252="No","Does not balance | ","")&amp;IF(I1252="","Not approved | ",IF(UPPER(TRIM(H1252))=UPPER(TRIM(I1252)),"Self-approved | ",""))&amp;IF(J1252="","No support | ","")&amp;IF(WEEKDAY(B1252,2)&gt;5,"Weekend posting | ","")&amp;IF(COUNTIF(Settings!$A$14:$A$43,B1252)&gt;0,"Holiday posting | ","")&amp;IF(B1252&gt;Settings!$C$8,"Posted after close | ","")&amp;IF(OR(B1252&lt;Settings!$C$6,B1252&gt;Settings!$C$7),"Outside period | ","")&amp;IF(COUNTIF(Settings!$E$14:$E$43,C1252&amp;"")&gt;0,"Sensitive account | ","")&amp;IF(AND(MAX(N(E1252),N(F1252))&gt;=Settings!$C$9,MOD(MAX(N(E1252),N(F1252)),Settings!$C$10)=0),"Round amount | ",""))-3)))</f>
        <v/>
      </c>
      <c r="M1252" s="21" t="str">
        <f aca="false">IF(A1252="","",IF(COUNTIF($A$9:A1252,A1252)=1,MAX($M$8:M1251)+1,""))</f>
        <v/>
      </c>
    </row>
    <row r="1253" customFormat="false" ht="15" hidden="false" customHeight="false" outlineLevel="0" collapsed="false">
      <c r="A1253" s="8"/>
      <c r="B1253" s="17"/>
      <c r="C1253" s="19"/>
      <c r="D1253" s="8"/>
      <c r="E1253" s="18"/>
      <c r="F1253" s="18"/>
      <c r="G1253" s="8"/>
      <c r="H1253" s="8"/>
      <c r="I1253" s="8"/>
      <c r="J1253" s="8"/>
      <c r="K1253" s="10" t="str">
        <f aca="false">IF(A1253="","",IF(ABS(SUMIFS($E$9:$E$2008,$A$9:$A$2008,A1253)-SUMIFS($F$9:$F$2008,$A$9:$A$2008,A1253))&lt;0.5,"Yes","No"))</f>
        <v/>
      </c>
      <c r="L1253" s="10" t="str">
        <f aca="false">IF(A1253="","",IF(IF(K1253="No","Does not balance | ","")&amp;IF(I1253="","Not approved | ",IF(UPPER(TRIM(H1253))=UPPER(TRIM(I1253)),"Self-approved | ",""))&amp;IF(J1253="","No support | ","")&amp;IF(WEEKDAY(B1253,2)&gt;5,"Weekend posting | ","")&amp;IF(COUNTIF(Settings!$A$14:$A$43,B1253)&gt;0,"Holiday posting | ","")&amp;IF(B1253&gt;Settings!$C$8,"Posted after close | ","")&amp;IF(OR(B1253&lt;Settings!$C$6,B1253&gt;Settings!$C$7),"Outside period | ","")&amp;IF(COUNTIF(Settings!$E$14:$E$43,C1253&amp;"")&gt;0,"Sensitive account | ","")&amp;IF(AND(MAX(N(E1253),N(F1253))&gt;=Settings!$C$9,MOD(MAX(N(E1253),N(F1253)),Settings!$C$10)=0),"Round amount | ","")="","",LEFT(IF(K1253="No","Does not balance | ","")&amp;IF(I1253="","Not approved | ",IF(UPPER(TRIM(H1253))=UPPER(TRIM(I1253)),"Self-approved | ",""))&amp;IF(J1253="","No support | ","")&amp;IF(WEEKDAY(B1253,2)&gt;5,"Weekend posting | ","")&amp;IF(COUNTIF(Settings!$A$14:$A$43,B1253)&gt;0,"Holiday posting | ","")&amp;IF(B1253&gt;Settings!$C$8,"Posted after close | ","")&amp;IF(OR(B1253&lt;Settings!$C$6,B1253&gt;Settings!$C$7),"Outside period | ","")&amp;IF(COUNTIF(Settings!$E$14:$E$43,C1253&amp;"")&gt;0,"Sensitive account | ","")&amp;IF(AND(MAX(N(E1253),N(F1253))&gt;=Settings!$C$9,MOD(MAX(N(E1253),N(F1253)),Settings!$C$10)=0),"Round amount | ",""),LEN(IF(K1253="No","Does not balance | ","")&amp;IF(I1253="","Not approved | ",IF(UPPER(TRIM(H1253))=UPPER(TRIM(I1253)),"Self-approved | ",""))&amp;IF(J1253="","No support | ","")&amp;IF(WEEKDAY(B1253,2)&gt;5,"Weekend posting | ","")&amp;IF(COUNTIF(Settings!$A$14:$A$43,B1253)&gt;0,"Holiday posting | ","")&amp;IF(B1253&gt;Settings!$C$8,"Posted after close | ","")&amp;IF(OR(B1253&lt;Settings!$C$6,B1253&gt;Settings!$C$7),"Outside period | ","")&amp;IF(COUNTIF(Settings!$E$14:$E$43,C1253&amp;"")&gt;0,"Sensitive account | ","")&amp;IF(AND(MAX(N(E1253),N(F1253))&gt;=Settings!$C$9,MOD(MAX(N(E1253),N(F1253)),Settings!$C$10)=0),"Round amount | ",""))-3)))</f>
        <v/>
      </c>
      <c r="M1253" s="21" t="str">
        <f aca="false">IF(A1253="","",IF(COUNTIF($A$9:A1253,A1253)=1,MAX($M$8:M1252)+1,""))</f>
        <v/>
      </c>
    </row>
    <row r="1254" customFormat="false" ht="15" hidden="false" customHeight="false" outlineLevel="0" collapsed="false">
      <c r="A1254" s="8"/>
      <c r="B1254" s="17"/>
      <c r="C1254" s="19"/>
      <c r="D1254" s="8"/>
      <c r="E1254" s="18"/>
      <c r="F1254" s="18"/>
      <c r="G1254" s="8"/>
      <c r="H1254" s="8"/>
      <c r="I1254" s="8"/>
      <c r="J1254" s="8"/>
      <c r="K1254" s="10" t="str">
        <f aca="false">IF(A1254="","",IF(ABS(SUMIFS($E$9:$E$2008,$A$9:$A$2008,A1254)-SUMIFS($F$9:$F$2008,$A$9:$A$2008,A1254))&lt;0.5,"Yes","No"))</f>
        <v/>
      </c>
      <c r="L1254" s="10" t="str">
        <f aca="false">IF(A1254="","",IF(IF(K1254="No","Does not balance | ","")&amp;IF(I1254="","Not approved | ",IF(UPPER(TRIM(H1254))=UPPER(TRIM(I1254)),"Self-approved | ",""))&amp;IF(J1254="","No support | ","")&amp;IF(WEEKDAY(B1254,2)&gt;5,"Weekend posting | ","")&amp;IF(COUNTIF(Settings!$A$14:$A$43,B1254)&gt;0,"Holiday posting | ","")&amp;IF(B1254&gt;Settings!$C$8,"Posted after close | ","")&amp;IF(OR(B1254&lt;Settings!$C$6,B1254&gt;Settings!$C$7),"Outside period | ","")&amp;IF(COUNTIF(Settings!$E$14:$E$43,C1254&amp;"")&gt;0,"Sensitive account | ","")&amp;IF(AND(MAX(N(E1254),N(F1254))&gt;=Settings!$C$9,MOD(MAX(N(E1254),N(F1254)),Settings!$C$10)=0),"Round amount | ","")="","",LEFT(IF(K1254="No","Does not balance | ","")&amp;IF(I1254="","Not approved | ",IF(UPPER(TRIM(H1254))=UPPER(TRIM(I1254)),"Self-approved | ",""))&amp;IF(J1254="","No support | ","")&amp;IF(WEEKDAY(B1254,2)&gt;5,"Weekend posting | ","")&amp;IF(COUNTIF(Settings!$A$14:$A$43,B1254)&gt;0,"Holiday posting | ","")&amp;IF(B1254&gt;Settings!$C$8,"Posted after close | ","")&amp;IF(OR(B1254&lt;Settings!$C$6,B1254&gt;Settings!$C$7),"Outside period | ","")&amp;IF(COUNTIF(Settings!$E$14:$E$43,C1254&amp;"")&gt;0,"Sensitive account | ","")&amp;IF(AND(MAX(N(E1254),N(F1254))&gt;=Settings!$C$9,MOD(MAX(N(E1254),N(F1254)),Settings!$C$10)=0),"Round amount | ",""),LEN(IF(K1254="No","Does not balance | ","")&amp;IF(I1254="","Not approved | ",IF(UPPER(TRIM(H1254))=UPPER(TRIM(I1254)),"Self-approved | ",""))&amp;IF(J1254="","No support | ","")&amp;IF(WEEKDAY(B1254,2)&gt;5,"Weekend posting | ","")&amp;IF(COUNTIF(Settings!$A$14:$A$43,B1254)&gt;0,"Holiday posting | ","")&amp;IF(B1254&gt;Settings!$C$8,"Posted after close | ","")&amp;IF(OR(B1254&lt;Settings!$C$6,B1254&gt;Settings!$C$7),"Outside period | ","")&amp;IF(COUNTIF(Settings!$E$14:$E$43,C1254&amp;"")&gt;0,"Sensitive account | ","")&amp;IF(AND(MAX(N(E1254),N(F1254))&gt;=Settings!$C$9,MOD(MAX(N(E1254),N(F1254)),Settings!$C$10)=0),"Round amount | ",""))-3)))</f>
        <v/>
      </c>
      <c r="M1254" s="21" t="str">
        <f aca="false">IF(A1254="","",IF(COUNTIF($A$9:A1254,A1254)=1,MAX($M$8:M1253)+1,""))</f>
        <v/>
      </c>
    </row>
    <row r="1255" customFormat="false" ht="15" hidden="false" customHeight="false" outlineLevel="0" collapsed="false">
      <c r="A1255" s="8"/>
      <c r="B1255" s="17"/>
      <c r="C1255" s="19"/>
      <c r="D1255" s="8"/>
      <c r="E1255" s="18"/>
      <c r="F1255" s="18"/>
      <c r="G1255" s="8"/>
      <c r="H1255" s="8"/>
      <c r="I1255" s="8"/>
      <c r="J1255" s="8"/>
      <c r="K1255" s="10" t="str">
        <f aca="false">IF(A1255="","",IF(ABS(SUMIFS($E$9:$E$2008,$A$9:$A$2008,A1255)-SUMIFS($F$9:$F$2008,$A$9:$A$2008,A1255))&lt;0.5,"Yes","No"))</f>
        <v/>
      </c>
      <c r="L1255" s="10" t="str">
        <f aca="false">IF(A1255="","",IF(IF(K1255="No","Does not balance | ","")&amp;IF(I1255="","Not approved | ",IF(UPPER(TRIM(H1255))=UPPER(TRIM(I1255)),"Self-approved | ",""))&amp;IF(J1255="","No support | ","")&amp;IF(WEEKDAY(B1255,2)&gt;5,"Weekend posting | ","")&amp;IF(COUNTIF(Settings!$A$14:$A$43,B1255)&gt;0,"Holiday posting | ","")&amp;IF(B1255&gt;Settings!$C$8,"Posted after close | ","")&amp;IF(OR(B1255&lt;Settings!$C$6,B1255&gt;Settings!$C$7),"Outside period | ","")&amp;IF(COUNTIF(Settings!$E$14:$E$43,C1255&amp;"")&gt;0,"Sensitive account | ","")&amp;IF(AND(MAX(N(E1255),N(F1255))&gt;=Settings!$C$9,MOD(MAX(N(E1255),N(F1255)),Settings!$C$10)=0),"Round amount | ","")="","",LEFT(IF(K1255="No","Does not balance | ","")&amp;IF(I1255="","Not approved | ",IF(UPPER(TRIM(H1255))=UPPER(TRIM(I1255)),"Self-approved | ",""))&amp;IF(J1255="","No support | ","")&amp;IF(WEEKDAY(B1255,2)&gt;5,"Weekend posting | ","")&amp;IF(COUNTIF(Settings!$A$14:$A$43,B1255)&gt;0,"Holiday posting | ","")&amp;IF(B1255&gt;Settings!$C$8,"Posted after close | ","")&amp;IF(OR(B1255&lt;Settings!$C$6,B1255&gt;Settings!$C$7),"Outside period | ","")&amp;IF(COUNTIF(Settings!$E$14:$E$43,C1255&amp;"")&gt;0,"Sensitive account | ","")&amp;IF(AND(MAX(N(E1255),N(F1255))&gt;=Settings!$C$9,MOD(MAX(N(E1255),N(F1255)),Settings!$C$10)=0),"Round amount | ",""),LEN(IF(K1255="No","Does not balance | ","")&amp;IF(I1255="","Not approved | ",IF(UPPER(TRIM(H1255))=UPPER(TRIM(I1255)),"Self-approved | ",""))&amp;IF(J1255="","No support | ","")&amp;IF(WEEKDAY(B1255,2)&gt;5,"Weekend posting | ","")&amp;IF(COUNTIF(Settings!$A$14:$A$43,B1255)&gt;0,"Holiday posting | ","")&amp;IF(B1255&gt;Settings!$C$8,"Posted after close | ","")&amp;IF(OR(B1255&lt;Settings!$C$6,B1255&gt;Settings!$C$7),"Outside period | ","")&amp;IF(COUNTIF(Settings!$E$14:$E$43,C1255&amp;"")&gt;0,"Sensitive account | ","")&amp;IF(AND(MAX(N(E1255),N(F1255))&gt;=Settings!$C$9,MOD(MAX(N(E1255),N(F1255)),Settings!$C$10)=0),"Round amount | ",""))-3)))</f>
        <v/>
      </c>
      <c r="M1255" s="21" t="str">
        <f aca="false">IF(A1255="","",IF(COUNTIF($A$9:A1255,A1255)=1,MAX($M$8:M1254)+1,""))</f>
        <v/>
      </c>
    </row>
    <row r="1256" customFormat="false" ht="15" hidden="false" customHeight="false" outlineLevel="0" collapsed="false">
      <c r="A1256" s="8"/>
      <c r="B1256" s="17"/>
      <c r="C1256" s="19"/>
      <c r="D1256" s="8"/>
      <c r="E1256" s="18"/>
      <c r="F1256" s="18"/>
      <c r="G1256" s="8"/>
      <c r="H1256" s="8"/>
      <c r="I1256" s="8"/>
      <c r="J1256" s="8"/>
      <c r="K1256" s="10" t="str">
        <f aca="false">IF(A1256="","",IF(ABS(SUMIFS($E$9:$E$2008,$A$9:$A$2008,A1256)-SUMIFS($F$9:$F$2008,$A$9:$A$2008,A1256))&lt;0.5,"Yes","No"))</f>
        <v/>
      </c>
      <c r="L1256" s="10" t="str">
        <f aca="false">IF(A1256="","",IF(IF(K1256="No","Does not balance | ","")&amp;IF(I1256="","Not approved | ",IF(UPPER(TRIM(H1256))=UPPER(TRIM(I1256)),"Self-approved | ",""))&amp;IF(J1256="","No support | ","")&amp;IF(WEEKDAY(B1256,2)&gt;5,"Weekend posting | ","")&amp;IF(COUNTIF(Settings!$A$14:$A$43,B1256)&gt;0,"Holiday posting | ","")&amp;IF(B1256&gt;Settings!$C$8,"Posted after close | ","")&amp;IF(OR(B1256&lt;Settings!$C$6,B1256&gt;Settings!$C$7),"Outside period | ","")&amp;IF(COUNTIF(Settings!$E$14:$E$43,C1256&amp;"")&gt;0,"Sensitive account | ","")&amp;IF(AND(MAX(N(E1256),N(F1256))&gt;=Settings!$C$9,MOD(MAX(N(E1256),N(F1256)),Settings!$C$10)=0),"Round amount | ","")="","",LEFT(IF(K1256="No","Does not balance | ","")&amp;IF(I1256="","Not approved | ",IF(UPPER(TRIM(H1256))=UPPER(TRIM(I1256)),"Self-approved | ",""))&amp;IF(J1256="","No support | ","")&amp;IF(WEEKDAY(B1256,2)&gt;5,"Weekend posting | ","")&amp;IF(COUNTIF(Settings!$A$14:$A$43,B1256)&gt;0,"Holiday posting | ","")&amp;IF(B1256&gt;Settings!$C$8,"Posted after close | ","")&amp;IF(OR(B1256&lt;Settings!$C$6,B1256&gt;Settings!$C$7),"Outside period | ","")&amp;IF(COUNTIF(Settings!$E$14:$E$43,C1256&amp;"")&gt;0,"Sensitive account | ","")&amp;IF(AND(MAX(N(E1256),N(F1256))&gt;=Settings!$C$9,MOD(MAX(N(E1256),N(F1256)),Settings!$C$10)=0),"Round amount | ",""),LEN(IF(K1256="No","Does not balance | ","")&amp;IF(I1256="","Not approved | ",IF(UPPER(TRIM(H1256))=UPPER(TRIM(I1256)),"Self-approved | ",""))&amp;IF(J1256="","No support | ","")&amp;IF(WEEKDAY(B1256,2)&gt;5,"Weekend posting | ","")&amp;IF(COUNTIF(Settings!$A$14:$A$43,B1256)&gt;0,"Holiday posting | ","")&amp;IF(B1256&gt;Settings!$C$8,"Posted after close | ","")&amp;IF(OR(B1256&lt;Settings!$C$6,B1256&gt;Settings!$C$7),"Outside period | ","")&amp;IF(COUNTIF(Settings!$E$14:$E$43,C1256&amp;"")&gt;0,"Sensitive account | ","")&amp;IF(AND(MAX(N(E1256),N(F1256))&gt;=Settings!$C$9,MOD(MAX(N(E1256),N(F1256)),Settings!$C$10)=0),"Round amount | ",""))-3)))</f>
        <v/>
      </c>
      <c r="M1256" s="21" t="str">
        <f aca="false">IF(A1256="","",IF(COUNTIF($A$9:A1256,A1256)=1,MAX($M$8:M1255)+1,""))</f>
        <v/>
      </c>
    </row>
    <row r="1257" customFormat="false" ht="15" hidden="false" customHeight="false" outlineLevel="0" collapsed="false">
      <c r="A1257" s="8"/>
      <c r="B1257" s="17"/>
      <c r="C1257" s="19"/>
      <c r="D1257" s="8"/>
      <c r="E1257" s="18"/>
      <c r="F1257" s="18"/>
      <c r="G1257" s="8"/>
      <c r="H1257" s="8"/>
      <c r="I1257" s="8"/>
      <c r="J1257" s="8"/>
      <c r="K1257" s="10" t="str">
        <f aca="false">IF(A1257="","",IF(ABS(SUMIFS($E$9:$E$2008,$A$9:$A$2008,A1257)-SUMIFS($F$9:$F$2008,$A$9:$A$2008,A1257))&lt;0.5,"Yes","No"))</f>
        <v/>
      </c>
      <c r="L1257" s="10" t="str">
        <f aca="false">IF(A1257="","",IF(IF(K1257="No","Does not balance | ","")&amp;IF(I1257="","Not approved | ",IF(UPPER(TRIM(H1257))=UPPER(TRIM(I1257)),"Self-approved | ",""))&amp;IF(J1257="","No support | ","")&amp;IF(WEEKDAY(B1257,2)&gt;5,"Weekend posting | ","")&amp;IF(COUNTIF(Settings!$A$14:$A$43,B1257)&gt;0,"Holiday posting | ","")&amp;IF(B1257&gt;Settings!$C$8,"Posted after close | ","")&amp;IF(OR(B1257&lt;Settings!$C$6,B1257&gt;Settings!$C$7),"Outside period | ","")&amp;IF(COUNTIF(Settings!$E$14:$E$43,C1257&amp;"")&gt;0,"Sensitive account | ","")&amp;IF(AND(MAX(N(E1257),N(F1257))&gt;=Settings!$C$9,MOD(MAX(N(E1257),N(F1257)),Settings!$C$10)=0),"Round amount | ","")="","",LEFT(IF(K1257="No","Does not balance | ","")&amp;IF(I1257="","Not approved | ",IF(UPPER(TRIM(H1257))=UPPER(TRIM(I1257)),"Self-approved | ",""))&amp;IF(J1257="","No support | ","")&amp;IF(WEEKDAY(B1257,2)&gt;5,"Weekend posting | ","")&amp;IF(COUNTIF(Settings!$A$14:$A$43,B1257)&gt;0,"Holiday posting | ","")&amp;IF(B1257&gt;Settings!$C$8,"Posted after close | ","")&amp;IF(OR(B1257&lt;Settings!$C$6,B1257&gt;Settings!$C$7),"Outside period | ","")&amp;IF(COUNTIF(Settings!$E$14:$E$43,C1257&amp;"")&gt;0,"Sensitive account | ","")&amp;IF(AND(MAX(N(E1257),N(F1257))&gt;=Settings!$C$9,MOD(MAX(N(E1257),N(F1257)),Settings!$C$10)=0),"Round amount | ",""),LEN(IF(K1257="No","Does not balance | ","")&amp;IF(I1257="","Not approved | ",IF(UPPER(TRIM(H1257))=UPPER(TRIM(I1257)),"Self-approved | ",""))&amp;IF(J1257="","No support | ","")&amp;IF(WEEKDAY(B1257,2)&gt;5,"Weekend posting | ","")&amp;IF(COUNTIF(Settings!$A$14:$A$43,B1257)&gt;0,"Holiday posting | ","")&amp;IF(B1257&gt;Settings!$C$8,"Posted after close | ","")&amp;IF(OR(B1257&lt;Settings!$C$6,B1257&gt;Settings!$C$7),"Outside period | ","")&amp;IF(COUNTIF(Settings!$E$14:$E$43,C1257&amp;"")&gt;0,"Sensitive account | ","")&amp;IF(AND(MAX(N(E1257),N(F1257))&gt;=Settings!$C$9,MOD(MAX(N(E1257),N(F1257)),Settings!$C$10)=0),"Round amount | ",""))-3)))</f>
        <v/>
      </c>
      <c r="M1257" s="21" t="str">
        <f aca="false">IF(A1257="","",IF(COUNTIF($A$9:A1257,A1257)=1,MAX($M$8:M1256)+1,""))</f>
        <v/>
      </c>
    </row>
    <row r="1258" customFormat="false" ht="15" hidden="false" customHeight="false" outlineLevel="0" collapsed="false">
      <c r="A1258" s="8"/>
      <c r="B1258" s="17"/>
      <c r="C1258" s="19"/>
      <c r="D1258" s="8"/>
      <c r="E1258" s="18"/>
      <c r="F1258" s="18"/>
      <c r="G1258" s="8"/>
      <c r="H1258" s="8"/>
      <c r="I1258" s="8"/>
      <c r="J1258" s="8"/>
      <c r="K1258" s="10" t="str">
        <f aca="false">IF(A1258="","",IF(ABS(SUMIFS($E$9:$E$2008,$A$9:$A$2008,A1258)-SUMIFS($F$9:$F$2008,$A$9:$A$2008,A1258))&lt;0.5,"Yes","No"))</f>
        <v/>
      </c>
      <c r="L1258" s="10" t="str">
        <f aca="false">IF(A1258="","",IF(IF(K1258="No","Does not balance | ","")&amp;IF(I1258="","Not approved | ",IF(UPPER(TRIM(H1258))=UPPER(TRIM(I1258)),"Self-approved | ",""))&amp;IF(J1258="","No support | ","")&amp;IF(WEEKDAY(B1258,2)&gt;5,"Weekend posting | ","")&amp;IF(COUNTIF(Settings!$A$14:$A$43,B1258)&gt;0,"Holiday posting | ","")&amp;IF(B1258&gt;Settings!$C$8,"Posted after close | ","")&amp;IF(OR(B1258&lt;Settings!$C$6,B1258&gt;Settings!$C$7),"Outside period | ","")&amp;IF(COUNTIF(Settings!$E$14:$E$43,C1258&amp;"")&gt;0,"Sensitive account | ","")&amp;IF(AND(MAX(N(E1258),N(F1258))&gt;=Settings!$C$9,MOD(MAX(N(E1258),N(F1258)),Settings!$C$10)=0),"Round amount | ","")="","",LEFT(IF(K1258="No","Does not balance | ","")&amp;IF(I1258="","Not approved | ",IF(UPPER(TRIM(H1258))=UPPER(TRIM(I1258)),"Self-approved | ",""))&amp;IF(J1258="","No support | ","")&amp;IF(WEEKDAY(B1258,2)&gt;5,"Weekend posting | ","")&amp;IF(COUNTIF(Settings!$A$14:$A$43,B1258)&gt;0,"Holiday posting | ","")&amp;IF(B1258&gt;Settings!$C$8,"Posted after close | ","")&amp;IF(OR(B1258&lt;Settings!$C$6,B1258&gt;Settings!$C$7),"Outside period | ","")&amp;IF(COUNTIF(Settings!$E$14:$E$43,C1258&amp;"")&gt;0,"Sensitive account | ","")&amp;IF(AND(MAX(N(E1258),N(F1258))&gt;=Settings!$C$9,MOD(MAX(N(E1258),N(F1258)),Settings!$C$10)=0),"Round amount | ",""),LEN(IF(K1258="No","Does not balance | ","")&amp;IF(I1258="","Not approved | ",IF(UPPER(TRIM(H1258))=UPPER(TRIM(I1258)),"Self-approved | ",""))&amp;IF(J1258="","No support | ","")&amp;IF(WEEKDAY(B1258,2)&gt;5,"Weekend posting | ","")&amp;IF(COUNTIF(Settings!$A$14:$A$43,B1258)&gt;0,"Holiday posting | ","")&amp;IF(B1258&gt;Settings!$C$8,"Posted after close | ","")&amp;IF(OR(B1258&lt;Settings!$C$6,B1258&gt;Settings!$C$7),"Outside period | ","")&amp;IF(COUNTIF(Settings!$E$14:$E$43,C1258&amp;"")&gt;0,"Sensitive account | ","")&amp;IF(AND(MAX(N(E1258),N(F1258))&gt;=Settings!$C$9,MOD(MAX(N(E1258),N(F1258)),Settings!$C$10)=0),"Round amount | ",""))-3)))</f>
        <v/>
      </c>
      <c r="M1258" s="21" t="str">
        <f aca="false">IF(A1258="","",IF(COUNTIF($A$9:A1258,A1258)=1,MAX($M$8:M1257)+1,""))</f>
        <v/>
      </c>
    </row>
    <row r="1259" customFormat="false" ht="15" hidden="false" customHeight="false" outlineLevel="0" collapsed="false">
      <c r="A1259" s="8"/>
      <c r="B1259" s="17"/>
      <c r="C1259" s="19"/>
      <c r="D1259" s="8"/>
      <c r="E1259" s="18"/>
      <c r="F1259" s="18"/>
      <c r="G1259" s="8"/>
      <c r="H1259" s="8"/>
      <c r="I1259" s="8"/>
      <c r="J1259" s="8"/>
      <c r="K1259" s="10" t="str">
        <f aca="false">IF(A1259="","",IF(ABS(SUMIFS($E$9:$E$2008,$A$9:$A$2008,A1259)-SUMIFS($F$9:$F$2008,$A$9:$A$2008,A1259))&lt;0.5,"Yes","No"))</f>
        <v/>
      </c>
      <c r="L1259" s="10" t="str">
        <f aca="false">IF(A1259="","",IF(IF(K1259="No","Does not balance | ","")&amp;IF(I1259="","Not approved | ",IF(UPPER(TRIM(H1259))=UPPER(TRIM(I1259)),"Self-approved | ",""))&amp;IF(J1259="","No support | ","")&amp;IF(WEEKDAY(B1259,2)&gt;5,"Weekend posting | ","")&amp;IF(COUNTIF(Settings!$A$14:$A$43,B1259)&gt;0,"Holiday posting | ","")&amp;IF(B1259&gt;Settings!$C$8,"Posted after close | ","")&amp;IF(OR(B1259&lt;Settings!$C$6,B1259&gt;Settings!$C$7),"Outside period | ","")&amp;IF(COUNTIF(Settings!$E$14:$E$43,C1259&amp;"")&gt;0,"Sensitive account | ","")&amp;IF(AND(MAX(N(E1259),N(F1259))&gt;=Settings!$C$9,MOD(MAX(N(E1259),N(F1259)),Settings!$C$10)=0),"Round amount | ","")="","",LEFT(IF(K1259="No","Does not balance | ","")&amp;IF(I1259="","Not approved | ",IF(UPPER(TRIM(H1259))=UPPER(TRIM(I1259)),"Self-approved | ",""))&amp;IF(J1259="","No support | ","")&amp;IF(WEEKDAY(B1259,2)&gt;5,"Weekend posting | ","")&amp;IF(COUNTIF(Settings!$A$14:$A$43,B1259)&gt;0,"Holiday posting | ","")&amp;IF(B1259&gt;Settings!$C$8,"Posted after close | ","")&amp;IF(OR(B1259&lt;Settings!$C$6,B1259&gt;Settings!$C$7),"Outside period | ","")&amp;IF(COUNTIF(Settings!$E$14:$E$43,C1259&amp;"")&gt;0,"Sensitive account | ","")&amp;IF(AND(MAX(N(E1259),N(F1259))&gt;=Settings!$C$9,MOD(MAX(N(E1259),N(F1259)),Settings!$C$10)=0),"Round amount | ",""),LEN(IF(K1259="No","Does not balance | ","")&amp;IF(I1259="","Not approved | ",IF(UPPER(TRIM(H1259))=UPPER(TRIM(I1259)),"Self-approved | ",""))&amp;IF(J1259="","No support | ","")&amp;IF(WEEKDAY(B1259,2)&gt;5,"Weekend posting | ","")&amp;IF(COUNTIF(Settings!$A$14:$A$43,B1259)&gt;0,"Holiday posting | ","")&amp;IF(B1259&gt;Settings!$C$8,"Posted after close | ","")&amp;IF(OR(B1259&lt;Settings!$C$6,B1259&gt;Settings!$C$7),"Outside period | ","")&amp;IF(COUNTIF(Settings!$E$14:$E$43,C1259&amp;"")&gt;0,"Sensitive account | ","")&amp;IF(AND(MAX(N(E1259),N(F1259))&gt;=Settings!$C$9,MOD(MAX(N(E1259),N(F1259)),Settings!$C$10)=0),"Round amount | ",""))-3)))</f>
        <v/>
      </c>
      <c r="M1259" s="21" t="str">
        <f aca="false">IF(A1259="","",IF(COUNTIF($A$9:A1259,A1259)=1,MAX($M$8:M1258)+1,""))</f>
        <v/>
      </c>
    </row>
    <row r="1260" customFormat="false" ht="15" hidden="false" customHeight="false" outlineLevel="0" collapsed="false">
      <c r="A1260" s="8"/>
      <c r="B1260" s="17"/>
      <c r="C1260" s="19"/>
      <c r="D1260" s="8"/>
      <c r="E1260" s="18"/>
      <c r="F1260" s="18"/>
      <c r="G1260" s="8"/>
      <c r="H1260" s="8"/>
      <c r="I1260" s="8"/>
      <c r="J1260" s="8"/>
      <c r="K1260" s="10" t="str">
        <f aca="false">IF(A1260="","",IF(ABS(SUMIFS($E$9:$E$2008,$A$9:$A$2008,A1260)-SUMIFS($F$9:$F$2008,$A$9:$A$2008,A1260))&lt;0.5,"Yes","No"))</f>
        <v/>
      </c>
      <c r="L1260" s="10" t="str">
        <f aca="false">IF(A1260="","",IF(IF(K1260="No","Does not balance | ","")&amp;IF(I1260="","Not approved | ",IF(UPPER(TRIM(H1260))=UPPER(TRIM(I1260)),"Self-approved | ",""))&amp;IF(J1260="","No support | ","")&amp;IF(WEEKDAY(B1260,2)&gt;5,"Weekend posting | ","")&amp;IF(COUNTIF(Settings!$A$14:$A$43,B1260)&gt;0,"Holiday posting | ","")&amp;IF(B1260&gt;Settings!$C$8,"Posted after close | ","")&amp;IF(OR(B1260&lt;Settings!$C$6,B1260&gt;Settings!$C$7),"Outside period | ","")&amp;IF(COUNTIF(Settings!$E$14:$E$43,C1260&amp;"")&gt;0,"Sensitive account | ","")&amp;IF(AND(MAX(N(E1260),N(F1260))&gt;=Settings!$C$9,MOD(MAX(N(E1260),N(F1260)),Settings!$C$10)=0),"Round amount | ","")="","",LEFT(IF(K1260="No","Does not balance | ","")&amp;IF(I1260="","Not approved | ",IF(UPPER(TRIM(H1260))=UPPER(TRIM(I1260)),"Self-approved | ",""))&amp;IF(J1260="","No support | ","")&amp;IF(WEEKDAY(B1260,2)&gt;5,"Weekend posting | ","")&amp;IF(COUNTIF(Settings!$A$14:$A$43,B1260)&gt;0,"Holiday posting | ","")&amp;IF(B1260&gt;Settings!$C$8,"Posted after close | ","")&amp;IF(OR(B1260&lt;Settings!$C$6,B1260&gt;Settings!$C$7),"Outside period | ","")&amp;IF(COUNTIF(Settings!$E$14:$E$43,C1260&amp;"")&gt;0,"Sensitive account | ","")&amp;IF(AND(MAX(N(E1260),N(F1260))&gt;=Settings!$C$9,MOD(MAX(N(E1260),N(F1260)),Settings!$C$10)=0),"Round amount | ",""),LEN(IF(K1260="No","Does not balance | ","")&amp;IF(I1260="","Not approved | ",IF(UPPER(TRIM(H1260))=UPPER(TRIM(I1260)),"Self-approved | ",""))&amp;IF(J1260="","No support | ","")&amp;IF(WEEKDAY(B1260,2)&gt;5,"Weekend posting | ","")&amp;IF(COUNTIF(Settings!$A$14:$A$43,B1260)&gt;0,"Holiday posting | ","")&amp;IF(B1260&gt;Settings!$C$8,"Posted after close | ","")&amp;IF(OR(B1260&lt;Settings!$C$6,B1260&gt;Settings!$C$7),"Outside period | ","")&amp;IF(COUNTIF(Settings!$E$14:$E$43,C1260&amp;"")&gt;0,"Sensitive account | ","")&amp;IF(AND(MAX(N(E1260),N(F1260))&gt;=Settings!$C$9,MOD(MAX(N(E1260),N(F1260)),Settings!$C$10)=0),"Round amount | ",""))-3)))</f>
        <v/>
      </c>
      <c r="M1260" s="21" t="str">
        <f aca="false">IF(A1260="","",IF(COUNTIF($A$9:A1260,A1260)=1,MAX($M$8:M1259)+1,""))</f>
        <v/>
      </c>
    </row>
    <row r="1261" customFormat="false" ht="15" hidden="false" customHeight="false" outlineLevel="0" collapsed="false">
      <c r="A1261" s="8"/>
      <c r="B1261" s="17"/>
      <c r="C1261" s="19"/>
      <c r="D1261" s="8"/>
      <c r="E1261" s="18"/>
      <c r="F1261" s="18"/>
      <c r="G1261" s="8"/>
      <c r="H1261" s="8"/>
      <c r="I1261" s="8"/>
      <c r="J1261" s="8"/>
      <c r="K1261" s="10" t="str">
        <f aca="false">IF(A1261="","",IF(ABS(SUMIFS($E$9:$E$2008,$A$9:$A$2008,A1261)-SUMIFS($F$9:$F$2008,$A$9:$A$2008,A1261))&lt;0.5,"Yes","No"))</f>
        <v/>
      </c>
      <c r="L1261" s="10" t="str">
        <f aca="false">IF(A1261="","",IF(IF(K1261="No","Does not balance | ","")&amp;IF(I1261="","Not approved | ",IF(UPPER(TRIM(H1261))=UPPER(TRIM(I1261)),"Self-approved | ",""))&amp;IF(J1261="","No support | ","")&amp;IF(WEEKDAY(B1261,2)&gt;5,"Weekend posting | ","")&amp;IF(COUNTIF(Settings!$A$14:$A$43,B1261)&gt;0,"Holiday posting | ","")&amp;IF(B1261&gt;Settings!$C$8,"Posted after close | ","")&amp;IF(OR(B1261&lt;Settings!$C$6,B1261&gt;Settings!$C$7),"Outside period | ","")&amp;IF(COUNTIF(Settings!$E$14:$E$43,C1261&amp;"")&gt;0,"Sensitive account | ","")&amp;IF(AND(MAX(N(E1261),N(F1261))&gt;=Settings!$C$9,MOD(MAX(N(E1261),N(F1261)),Settings!$C$10)=0),"Round amount | ","")="","",LEFT(IF(K1261="No","Does not balance | ","")&amp;IF(I1261="","Not approved | ",IF(UPPER(TRIM(H1261))=UPPER(TRIM(I1261)),"Self-approved | ",""))&amp;IF(J1261="","No support | ","")&amp;IF(WEEKDAY(B1261,2)&gt;5,"Weekend posting | ","")&amp;IF(COUNTIF(Settings!$A$14:$A$43,B1261)&gt;0,"Holiday posting | ","")&amp;IF(B1261&gt;Settings!$C$8,"Posted after close | ","")&amp;IF(OR(B1261&lt;Settings!$C$6,B1261&gt;Settings!$C$7),"Outside period | ","")&amp;IF(COUNTIF(Settings!$E$14:$E$43,C1261&amp;"")&gt;0,"Sensitive account | ","")&amp;IF(AND(MAX(N(E1261),N(F1261))&gt;=Settings!$C$9,MOD(MAX(N(E1261),N(F1261)),Settings!$C$10)=0),"Round amount | ",""),LEN(IF(K1261="No","Does not balance | ","")&amp;IF(I1261="","Not approved | ",IF(UPPER(TRIM(H1261))=UPPER(TRIM(I1261)),"Self-approved | ",""))&amp;IF(J1261="","No support | ","")&amp;IF(WEEKDAY(B1261,2)&gt;5,"Weekend posting | ","")&amp;IF(COUNTIF(Settings!$A$14:$A$43,B1261)&gt;0,"Holiday posting | ","")&amp;IF(B1261&gt;Settings!$C$8,"Posted after close | ","")&amp;IF(OR(B1261&lt;Settings!$C$6,B1261&gt;Settings!$C$7),"Outside period | ","")&amp;IF(COUNTIF(Settings!$E$14:$E$43,C1261&amp;"")&gt;0,"Sensitive account | ","")&amp;IF(AND(MAX(N(E1261),N(F1261))&gt;=Settings!$C$9,MOD(MAX(N(E1261),N(F1261)),Settings!$C$10)=0),"Round amount | ",""))-3)))</f>
        <v/>
      </c>
      <c r="M1261" s="21" t="str">
        <f aca="false">IF(A1261="","",IF(COUNTIF($A$9:A1261,A1261)=1,MAX($M$8:M1260)+1,""))</f>
        <v/>
      </c>
    </row>
    <row r="1262" customFormat="false" ht="15" hidden="false" customHeight="false" outlineLevel="0" collapsed="false">
      <c r="A1262" s="8"/>
      <c r="B1262" s="17"/>
      <c r="C1262" s="19"/>
      <c r="D1262" s="8"/>
      <c r="E1262" s="18"/>
      <c r="F1262" s="18"/>
      <c r="G1262" s="8"/>
      <c r="H1262" s="8"/>
      <c r="I1262" s="8"/>
      <c r="J1262" s="8"/>
      <c r="K1262" s="10" t="str">
        <f aca="false">IF(A1262="","",IF(ABS(SUMIFS($E$9:$E$2008,$A$9:$A$2008,A1262)-SUMIFS($F$9:$F$2008,$A$9:$A$2008,A1262))&lt;0.5,"Yes","No"))</f>
        <v/>
      </c>
      <c r="L1262" s="10" t="str">
        <f aca="false">IF(A1262="","",IF(IF(K1262="No","Does not balance | ","")&amp;IF(I1262="","Not approved | ",IF(UPPER(TRIM(H1262))=UPPER(TRIM(I1262)),"Self-approved | ",""))&amp;IF(J1262="","No support | ","")&amp;IF(WEEKDAY(B1262,2)&gt;5,"Weekend posting | ","")&amp;IF(COUNTIF(Settings!$A$14:$A$43,B1262)&gt;0,"Holiday posting | ","")&amp;IF(B1262&gt;Settings!$C$8,"Posted after close | ","")&amp;IF(OR(B1262&lt;Settings!$C$6,B1262&gt;Settings!$C$7),"Outside period | ","")&amp;IF(COUNTIF(Settings!$E$14:$E$43,C1262&amp;"")&gt;0,"Sensitive account | ","")&amp;IF(AND(MAX(N(E1262),N(F1262))&gt;=Settings!$C$9,MOD(MAX(N(E1262),N(F1262)),Settings!$C$10)=0),"Round amount | ","")="","",LEFT(IF(K1262="No","Does not balance | ","")&amp;IF(I1262="","Not approved | ",IF(UPPER(TRIM(H1262))=UPPER(TRIM(I1262)),"Self-approved | ",""))&amp;IF(J1262="","No support | ","")&amp;IF(WEEKDAY(B1262,2)&gt;5,"Weekend posting | ","")&amp;IF(COUNTIF(Settings!$A$14:$A$43,B1262)&gt;0,"Holiday posting | ","")&amp;IF(B1262&gt;Settings!$C$8,"Posted after close | ","")&amp;IF(OR(B1262&lt;Settings!$C$6,B1262&gt;Settings!$C$7),"Outside period | ","")&amp;IF(COUNTIF(Settings!$E$14:$E$43,C1262&amp;"")&gt;0,"Sensitive account | ","")&amp;IF(AND(MAX(N(E1262),N(F1262))&gt;=Settings!$C$9,MOD(MAX(N(E1262),N(F1262)),Settings!$C$10)=0),"Round amount | ",""),LEN(IF(K1262="No","Does not balance | ","")&amp;IF(I1262="","Not approved | ",IF(UPPER(TRIM(H1262))=UPPER(TRIM(I1262)),"Self-approved | ",""))&amp;IF(J1262="","No support | ","")&amp;IF(WEEKDAY(B1262,2)&gt;5,"Weekend posting | ","")&amp;IF(COUNTIF(Settings!$A$14:$A$43,B1262)&gt;0,"Holiday posting | ","")&amp;IF(B1262&gt;Settings!$C$8,"Posted after close | ","")&amp;IF(OR(B1262&lt;Settings!$C$6,B1262&gt;Settings!$C$7),"Outside period | ","")&amp;IF(COUNTIF(Settings!$E$14:$E$43,C1262&amp;"")&gt;0,"Sensitive account | ","")&amp;IF(AND(MAX(N(E1262),N(F1262))&gt;=Settings!$C$9,MOD(MAX(N(E1262),N(F1262)),Settings!$C$10)=0),"Round amount | ",""))-3)))</f>
        <v/>
      </c>
      <c r="M1262" s="21" t="str">
        <f aca="false">IF(A1262="","",IF(COUNTIF($A$9:A1262,A1262)=1,MAX($M$8:M1261)+1,""))</f>
        <v/>
      </c>
    </row>
    <row r="1263" customFormat="false" ht="15" hidden="false" customHeight="false" outlineLevel="0" collapsed="false">
      <c r="A1263" s="8"/>
      <c r="B1263" s="17"/>
      <c r="C1263" s="19"/>
      <c r="D1263" s="8"/>
      <c r="E1263" s="18"/>
      <c r="F1263" s="18"/>
      <c r="G1263" s="8"/>
      <c r="H1263" s="8"/>
      <c r="I1263" s="8"/>
      <c r="J1263" s="8"/>
      <c r="K1263" s="10" t="str">
        <f aca="false">IF(A1263="","",IF(ABS(SUMIFS($E$9:$E$2008,$A$9:$A$2008,A1263)-SUMIFS($F$9:$F$2008,$A$9:$A$2008,A1263))&lt;0.5,"Yes","No"))</f>
        <v/>
      </c>
      <c r="L1263" s="10" t="str">
        <f aca="false">IF(A1263="","",IF(IF(K1263="No","Does not balance | ","")&amp;IF(I1263="","Not approved | ",IF(UPPER(TRIM(H1263))=UPPER(TRIM(I1263)),"Self-approved | ",""))&amp;IF(J1263="","No support | ","")&amp;IF(WEEKDAY(B1263,2)&gt;5,"Weekend posting | ","")&amp;IF(COUNTIF(Settings!$A$14:$A$43,B1263)&gt;0,"Holiday posting | ","")&amp;IF(B1263&gt;Settings!$C$8,"Posted after close | ","")&amp;IF(OR(B1263&lt;Settings!$C$6,B1263&gt;Settings!$C$7),"Outside period | ","")&amp;IF(COUNTIF(Settings!$E$14:$E$43,C1263&amp;"")&gt;0,"Sensitive account | ","")&amp;IF(AND(MAX(N(E1263),N(F1263))&gt;=Settings!$C$9,MOD(MAX(N(E1263),N(F1263)),Settings!$C$10)=0),"Round amount | ","")="","",LEFT(IF(K1263="No","Does not balance | ","")&amp;IF(I1263="","Not approved | ",IF(UPPER(TRIM(H1263))=UPPER(TRIM(I1263)),"Self-approved | ",""))&amp;IF(J1263="","No support | ","")&amp;IF(WEEKDAY(B1263,2)&gt;5,"Weekend posting | ","")&amp;IF(COUNTIF(Settings!$A$14:$A$43,B1263)&gt;0,"Holiday posting | ","")&amp;IF(B1263&gt;Settings!$C$8,"Posted after close | ","")&amp;IF(OR(B1263&lt;Settings!$C$6,B1263&gt;Settings!$C$7),"Outside period | ","")&amp;IF(COUNTIF(Settings!$E$14:$E$43,C1263&amp;"")&gt;0,"Sensitive account | ","")&amp;IF(AND(MAX(N(E1263),N(F1263))&gt;=Settings!$C$9,MOD(MAX(N(E1263),N(F1263)),Settings!$C$10)=0),"Round amount | ",""),LEN(IF(K1263="No","Does not balance | ","")&amp;IF(I1263="","Not approved | ",IF(UPPER(TRIM(H1263))=UPPER(TRIM(I1263)),"Self-approved | ",""))&amp;IF(J1263="","No support | ","")&amp;IF(WEEKDAY(B1263,2)&gt;5,"Weekend posting | ","")&amp;IF(COUNTIF(Settings!$A$14:$A$43,B1263)&gt;0,"Holiday posting | ","")&amp;IF(B1263&gt;Settings!$C$8,"Posted after close | ","")&amp;IF(OR(B1263&lt;Settings!$C$6,B1263&gt;Settings!$C$7),"Outside period | ","")&amp;IF(COUNTIF(Settings!$E$14:$E$43,C1263&amp;"")&gt;0,"Sensitive account | ","")&amp;IF(AND(MAX(N(E1263),N(F1263))&gt;=Settings!$C$9,MOD(MAX(N(E1263),N(F1263)),Settings!$C$10)=0),"Round amount | ",""))-3)))</f>
        <v/>
      </c>
      <c r="M1263" s="21" t="str">
        <f aca="false">IF(A1263="","",IF(COUNTIF($A$9:A1263,A1263)=1,MAX($M$8:M1262)+1,""))</f>
        <v/>
      </c>
    </row>
    <row r="1264" customFormat="false" ht="15" hidden="false" customHeight="false" outlineLevel="0" collapsed="false">
      <c r="A1264" s="8"/>
      <c r="B1264" s="17"/>
      <c r="C1264" s="19"/>
      <c r="D1264" s="8"/>
      <c r="E1264" s="18"/>
      <c r="F1264" s="18"/>
      <c r="G1264" s="8"/>
      <c r="H1264" s="8"/>
      <c r="I1264" s="8"/>
      <c r="J1264" s="8"/>
      <c r="K1264" s="10" t="str">
        <f aca="false">IF(A1264="","",IF(ABS(SUMIFS($E$9:$E$2008,$A$9:$A$2008,A1264)-SUMIFS($F$9:$F$2008,$A$9:$A$2008,A1264))&lt;0.5,"Yes","No"))</f>
        <v/>
      </c>
      <c r="L1264" s="10" t="str">
        <f aca="false">IF(A1264="","",IF(IF(K1264="No","Does not balance | ","")&amp;IF(I1264="","Not approved | ",IF(UPPER(TRIM(H1264))=UPPER(TRIM(I1264)),"Self-approved | ",""))&amp;IF(J1264="","No support | ","")&amp;IF(WEEKDAY(B1264,2)&gt;5,"Weekend posting | ","")&amp;IF(COUNTIF(Settings!$A$14:$A$43,B1264)&gt;0,"Holiday posting | ","")&amp;IF(B1264&gt;Settings!$C$8,"Posted after close | ","")&amp;IF(OR(B1264&lt;Settings!$C$6,B1264&gt;Settings!$C$7),"Outside period | ","")&amp;IF(COUNTIF(Settings!$E$14:$E$43,C1264&amp;"")&gt;0,"Sensitive account | ","")&amp;IF(AND(MAX(N(E1264),N(F1264))&gt;=Settings!$C$9,MOD(MAX(N(E1264),N(F1264)),Settings!$C$10)=0),"Round amount | ","")="","",LEFT(IF(K1264="No","Does not balance | ","")&amp;IF(I1264="","Not approved | ",IF(UPPER(TRIM(H1264))=UPPER(TRIM(I1264)),"Self-approved | ",""))&amp;IF(J1264="","No support | ","")&amp;IF(WEEKDAY(B1264,2)&gt;5,"Weekend posting | ","")&amp;IF(COUNTIF(Settings!$A$14:$A$43,B1264)&gt;0,"Holiday posting | ","")&amp;IF(B1264&gt;Settings!$C$8,"Posted after close | ","")&amp;IF(OR(B1264&lt;Settings!$C$6,B1264&gt;Settings!$C$7),"Outside period | ","")&amp;IF(COUNTIF(Settings!$E$14:$E$43,C1264&amp;"")&gt;0,"Sensitive account | ","")&amp;IF(AND(MAX(N(E1264),N(F1264))&gt;=Settings!$C$9,MOD(MAX(N(E1264),N(F1264)),Settings!$C$10)=0),"Round amount | ",""),LEN(IF(K1264="No","Does not balance | ","")&amp;IF(I1264="","Not approved | ",IF(UPPER(TRIM(H1264))=UPPER(TRIM(I1264)),"Self-approved | ",""))&amp;IF(J1264="","No support | ","")&amp;IF(WEEKDAY(B1264,2)&gt;5,"Weekend posting | ","")&amp;IF(COUNTIF(Settings!$A$14:$A$43,B1264)&gt;0,"Holiday posting | ","")&amp;IF(B1264&gt;Settings!$C$8,"Posted after close | ","")&amp;IF(OR(B1264&lt;Settings!$C$6,B1264&gt;Settings!$C$7),"Outside period | ","")&amp;IF(COUNTIF(Settings!$E$14:$E$43,C1264&amp;"")&gt;0,"Sensitive account | ","")&amp;IF(AND(MAX(N(E1264),N(F1264))&gt;=Settings!$C$9,MOD(MAX(N(E1264),N(F1264)),Settings!$C$10)=0),"Round amount | ",""))-3)))</f>
        <v/>
      </c>
      <c r="M1264" s="21" t="str">
        <f aca="false">IF(A1264="","",IF(COUNTIF($A$9:A1264,A1264)=1,MAX($M$8:M1263)+1,""))</f>
        <v/>
      </c>
    </row>
    <row r="1265" customFormat="false" ht="15" hidden="false" customHeight="false" outlineLevel="0" collapsed="false">
      <c r="A1265" s="8"/>
      <c r="B1265" s="17"/>
      <c r="C1265" s="19"/>
      <c r="D1265" s="8"/>
      <c r="E1265" s="18"/>
      <c r="F1265" s="18"/>
      <c r="G1265" s="8"/>
      <c r="H1265" s="8"/>
      <c r="I1265" s="8"/>
      <c r="J1265" s="8"/>
      <c r="K1265" s="10" t="str">
        <f aca="false">IF(A1265="","",IF(ABS(SUMIFS($E$9:$E$2008,$A$9:$A$2008,A1265)-SUMIFS($F$9:$F$2008,$A$9:$A$2008,A1265))&lt;0.5,"Yes","No"))</f>
        <v/>
      </c>
      <c r="L1265" s="10" t="str">
        <f aca="false">IF(A1265="","",IF(IF(K1265="No","Does not balance | ","")&amp;IF(I1265="","Not approved | ",IF(UPPER(TRIM(H1265))=UPPER(TRIM(I1265)),"Self-approved | ",""))&amp;IF(J1265="","No support | ","")&amp;IF(WEEKDAY(B1265,2)&gt;5,"Weekend posting | ","")&amp;IF(COUNTIF(Settings!$A$14:$A$43,B1265)&gt;0,"Holiday posting | ","")&amp;IF(B1265&gt;Settings!$C$8,"Posted after close | ","")&amp;IF(OR(B1265&lt;Settings!$C$6,B1265&gt;Settings!$C$7),"Outside period | ","")&amp;IF(COUNTIF(Settings!$E$14:$E$43,C1265&amp;"")&gt;0,"Sensitive account | ","")&amp;IF(AND(MAX(N(E1265),N(F1265))&gt;=Settings!$C$9,MOD(MAX(N(E1265),N(F1265)),Settings!$C$10)=0),"Round amount | ","")="","",LEFT(IF(K1265="No","Does not balance | ","")&amp;IF(I1265="","Not approved | ",IF(UPPER(TRIM(H1265))=UPPER(TRIM(I1265)),"Self-approved | ",""))&amp;IF(J1265="","No support | ","")&amp;IF(WEEKDAY(B1265,2)&gt;5,"Weekend posting | ","")&amp;IF(COUNTIF(Settings!$A$14:$A$43,B1265)&gt;0,"Holiday posting | ","")&amp;IF(B1265&gt;Settings!$C$8,"Posted after close | ","")&amp;IF(OR(B1265&lt;Settings!$C$6,B1265&gt;Settings!$C$7),"Outside period | ","")&amp;IF(COUNTIF(Settings!$E$14:$E$43,C1265&amp;"")&gt;0,"Sensitive account | ","")&amp;IF(AND(MAX(N(E1265),N(F1265))&gt;=Settings!$C$9,MOD(MAX(N(E1265),N(F1265)),Settings!$C$10)=0),"Round amount | ",""),LEN(IF(K1265="No","Does not balance | ","")&amp;IF(I1265="","Not approved | ",IF(UPPER(TRIM(H1265))=UPPER(TRIM(I1265)),"Self-approved | ",""))&amp;IF(J1265="","No support | ","")&amp;IF(WEEKDAY(B1265,2)&gt;5,"Weekend posting | ","")&amp;IF(COUNTIF(Settings!$A$14:$A$43,B1265)&gt;0,"Holiday posting | ","")&amp;IF(B1265&gt;Settings!$C$8,"Posted after close | ","")&amp;IF(OR(B1265&lt;Settings!$C$6,B1265&gt;Settings!$C$7),"Outside period | ","")&amp;IF(COUNTIF(Settings!$E$14:$E$43,C1265&amp;"")&gt;0,"Sensitive account | ","")&amp;IF(AND(MAX(N(E1265),N(F1265))&gt;=Settings!$C$9,MOD(MAX(N(E1265),N(F1265)),Settings!$C$10)=0),"Round amount | ",""))-3)))</f>
        <v/>
      </c>
      <c r="M1265" s="21" t="str">
        <f aca="false">IF(A1265="","",IF(COUNTIF($A$9:A1265,A1265)=1,MAX($M$8:M1264)+1,""))</f>
        <v/>
      </c>
    </row>
    <row r="1266" customFormat="false" ht="15" hidden="false" customHeight="false" outlineLevel="0" collapsed="false">
      <c r="A1266" s="8"/>
      <c r="B1266" s="17"/>
      <c r="C1266" s="19"/>
      <c r="D1266" s="8"/>
      <c r="E1266" s="18"/>
      <c r="F1266" s="18"/>
      <c r="G1266" s="8"/>
      <c r="H1266" s="8"/>
      <c r="I1266" s="8"/>
      <c r="J1266" s="8"/>
      <c r="K1266" s="10" t="str">
        <f aca="false">IF(A1266="","",IF(ABS(SUMIFS($E$9:$E$2008,$A$9:$A$2008,A1266)-SUMIFS($F$9:$F$2008,$A$9:$A$2008,A1266))&lt;0.5,"Yes","No"))</f>
        <v/>
      </c>
      <c r="L1266" s="10" t="str">
        <f aca="false">IF(A1266="","",IF(IF(K1266="No","Does not balance | ","")&amp;IF(I1266="","Not approved | ",IF(UPPER(TRIM(H1266))=UPPER(TRIM(I1266)),"Self-approved | ",""))&amp;IF(J1266="","No support | ","")&amp;IF(WEEKDAY(B1266,2)&gt;5,"Weekend posting | ","")&amp;IF(COUNTIF(Settings!$A$14:$A$43,B1266)&gt;0,"Holiday posting | ","")&amp;IF(B1266&gt;Settings!$C$8,"Posted after close | ","")&amp;IF(OR(B1266&lt;Settings!$C$6,B1266&gt;Settings!$C$7),"Outside period | ","")&amp;IF(COUNTIF(Settings!$E$14:$E$43,C1266&amp;"")&gt;0,"Sensitive account | ","")&amp;IF(AND(MAX(N(E1266),N(F1266))&gt;=Settings!$C$9,MOD(MAX(N(E1266),N(F1266)),Settings!$C$10)=0),"Round amount | ","")="","",LEFT(IF(K1266="No","Does not balance | ","")&amp;IF(I1266="","Not approved | ",IF(UPPER(TRIM(H1266))=UPPER(TRIM(I1266)),"Self-approved | ",""))&amp;IF(J1266="","No support | ","")&amp;IF(WEEKDAY(B1266,2)&gt;5,"Weekend posting | ","")&amp;IF(COUNTIF(Settings!$A$14:$A$43,B1266)&gt;0,"Holiday posting | ","")&amp;IF(B1266&gt;Settings!$C$8,"Posted after close | ","")&amp;IF(OR(B1266&lt;Settings!$C$6,B1266&gt;Settings!$C$7),"Outside period | ","")&amp;IF(COUNTIF(Settings!$E$14:$E$43,C1266&amp;"")&gt;0,"Sensitive account | ","")&amp;IF(AND(MAX(N(E1266),N(F1266))&gt;=Settings!$C$9,MOD(MAX(N(E1266),N(F1266)),Settings!$C$10)=0),"Round amount | ",""),LEN(IF(K1266="No","Does not balance | ","")&amp;IF(I1266="","Not approved | ",IF(UPPER(TRIM(H1266))=UPPER(TRIM(I1266)),"Self-approved | ",""))&amp;IF(J1266="","No support | ","")&amp;IF(WEEKDAY(B1266,2)&gt;5,"Weekend posting | ","")&amp;IF(COUNTIF(Settings!$A$14:$A$43,B1266)&gt;0,"Holiday posting | ","")&amp;IF(B1266&gt;Settings!$C$8,"Posted after close | ","")&amp;IF(OR(B1266&lt;Settings!$C$6,B1266&gt;Settings!$C$7),"Outside period | ","")&amp;IF(COUNTIF(Settings!$E$14:$E$43,C1266&amp;"")&gt;0,"Sensitive account | ","")&amp;IF(AND(MAX(N(E1266),N(F1266))&gt;=Settings!$C$9,MOD(MAX(N(E1266),N(F1266)),Settings!$C$10)=0),"Round amount | ",""))-3)))</f>
        <v/>
      </c>
      <c r="M1266" s="21" t="str">
        <f aca="false">IF(A1266="","",IF(COUNTIF($A$9:A1266,A1266)=1,MAX($M$8:M1265)+1,""))</f>
        <v/>
      </c>
    </row>
    <row r="1267" customFormat="false" ht="15" hidden="false" customHeight="false" outlineLevel="0" collapsed="false">
      <c r="A1267" s="8"/>
      <c r="B1267" s="17"/>
      <c r="C1267" s="19"/>
      <c r="D1267" s="8"/>
      <c r="E1267" s="18"/>
      <c r="F1267" s="18"/>
      <c r="G1267" s="8"/>
      <c r="H1267" s="8"/>
      <c r="I1267" s="8"/>
      <c r="J1267" s="8"/>
      <c r="K1267" s="10" t="str">
        <f aca="false">IF(A1267="","",IF(ABS(SUMIFS($E$9:$E$2008,$A$9:$A$2008,A1267)-SUMIFS($F$9:$F$2008,$A$9:$A$2008,A1267))&lt;0.5,"Yes","No"))</f>
        <v/>
      </c>
      <c r="L1267" s="10" t="str">
        <f aca="false">IF(A1267="","",IF(IF(K1267="No","Does not balance | ","")&amp;IF(I1267="","Not approved | ",IF(UPPER(TRIM(H1267))=UPPER(TRIM(I1267)),"Self-approved | ",""))&amp;IF(J1267="","No support | ","")&amp;IF(WEEKDAY(B1267,2)&gt;5,"Weekend posting | ","")&amp;IF(COUNTIF(Settings!$A$14:$A$43,B1267)&gt;0,"Holiday posting | ","")&amp;IF(B1267&gt;Settings!$C$8,"Posted after close | ","")&amp;IF(OR(B1267&lt;Settings!$C$6,B1267&gt;Settings!$C$7),"Outside period | ","")&amp;IF(COUNTIF(Settings!$E$14:$E$43,C1267&amp;"")&gt;0,"Sensitive account | ","")&amp;IF(AND(MAX(N(E1267),N(F1267))&gt;=Settings!$C$9,MOD(MAX(N(E1267),N(F1267)),Settings!$C$10)=0),"Round amount | ","")="","",LEFT(IF(K1267="No","Does not balance | ","")&amp;IF(I1267="","Not approved | ",IF(UPPER(TRIM(H1267))=UPPER(TRIM(I1267)),"Self-approved | ",""))&amp;IF(J1267="","No support | ","")&amp;IF(WEEKDAY(B1267,2)&gt;5,"Weekend posting | ","")&amp;IF(COUNTIF(Settings!$A$14:$A$43,B1267)&gt;0,"Holiday posting | ","")&amp;IF(B1267&gt;Settings!$C$8,"Posted after close | ","")&amp;IF(OR(B1267&lt;Settings!$C$6,B1267&gt;Settings!$C$7),"Outside period | ","")&amp;IF(COUNTIF(Settings!$E$14:$E$43,C1267&amp;"")&gt;0,"Sensitive account | ","")&amp;IF(AND(MAX(N(E1267),N(F1267))&gt;=Settings!$C$9,MOD(MAX(N(E1267),N(F1267)),Settings!$C$10)=0),"Round amount | ",""),LEN(IF(K1267="No","Does not balance | ","")&amp;IF(I1267="","Not approved | ",IF(UPPER(TRIM(H1267))=UPPER(TRIM(I1267)),"Self-approved | ",""))&amp;IF(J1267="","No support | ","")&amp;IF(WEEKDAY(B1267,2)&gt;5,"Weekend posting | ","")&amp;IF(COUNTIF(Settings!$A$14:$A$43,B1267)&gt;0,"Holiday posting | ","")&amp;IF(B1267&gt;Settings!$C$8,"Posted after close | ","")&amp;IF(OR(B1267&lt;Settings!$C$6,B1267&gt;Settings!$C$7),"Outside period | ","")&amp;IF(COUNTIF(Settings!$E$14:$E$43,C1267&amp;"")&gt;0,"Sensitive account | ","")&amp;IF(AND(MAX(N(E1267),N(F1267))&gt;=Settings!$C$9,MOD(MAX(N(E1267),N(F1267)),Settings!$C$10)=0),"Round amount | ",""))-3)))</f>
        <v/>
      </c>
      <c r="M1267" s="21" t="str">
        <f aca="false">IF(A1267="","",IF(COUNTIF($A$9:A1267,A1267)=1,MAX($M$8:M1266)+1,""))</f>
        <v/>
      </c>
    </row>
    <row r="1268" customFormat="false" ht="15" hidden="false" customHeight="false" outlineLevel="0" collapsed="false">
      <c r="A1268" s="8"/>
      <c r="B1268" s="17"/>
      <c r="C1268" s="19"/>
      <c r="D1268" s="8"/>
      <c r="E1268" s="18"/>
      <c r="F1268" s="18"/>
      <c r="G1268" s="8"/>
      <c r="H1268" s="8"/>
      <c r="I1268" s="8"/>
      <c r="J1268" s="8"/>
      <c r="K1268" s="10" t="str">
        <f aca="false">IF(A1268="","",IF(ABS(SUMIFS($E$9:$E$2008,$A$9:$A$2008,A1268)-SUMIFS($F$9:$F$2008,$A$9:$A$2008,A1268))&lt;0.5,"Yes","No"))</f>
        <v/>
      </c>
      <c r="L1268" s="10" t="str">
        <f aca="false">IF(A1268="","",IF(IF(K1268="No","Does not balance | ","")&amp;IF(I1268="","Not approved | ",IF(UPPER(TRIM(H1268))=UPPER(TRIM(I1268)),"Self-approved | ",""))&amp;IF(J1268="","No support | ","")&amp;IF(WEEKDAY(B1268,2)&gt;5,"Weekend posting | ","")&amp;IF(COUNTIF(Settings!$A$14:$A$43,B1268)&gt;0,"Holiday posting | ","")&amp;IF(B1268&gt;Settings!$C$8,"Posted after close | ","")&amp;IF(OR(B1268&lt;Settings!$C$6,B1268&gt;Settings!$C$7),"Outside period | ","")&amp;IF(COUNTIF(Settings!$E$14:$E$43,C1268&amp;"")&gt;0,"Sensitive account | ","")&amp;IF(AND(MAX(N(E1268),N(F1268))&gt;=Settings!$C$9,MOD(MAX(N(E1268),N(F1268)),Settings!$C$10)=0),"Round amount | ","")="","",LEFT(IF(K1268="No","Does not balance | ","")&amp;IF(I1268="","Not approved | ",IF(UPPER(TRIM(H1268))=UPPER(TRIM(I1268)),"Self-approved | ",""))&amp;IF(J1268="","No support | ","")&amp;IF(WEEKDAY(B1268,2)&gt;5,"Weekend posting | ","")&amp;IF(COUNTIF(Settings!$A$14:$A$43,B1268)&gt;0,"Holiday posting | ","")&amp;IF(B1268&gt;Settings!$C$8,"Posted after close | ","")&amp;IF(OR(B1268&lt;Settings!$C$6,B1268&gt;Settings!$C$7),"Outside period | ","")&amp;IF(COUNTIF(Settings!$E$14:$E$43,C1268&amp;"")&gt;0,"Sensitive account | ","")&amp;IF(AND(MAX(N(E1268),N(F1268))&gt;=Settings!$C$9,MOD(MAX(N(E1268),N(F1268)),Settings!$C$10)=0),"Round amount | ",""),LEN(IF(K1268="No","Does not balance | ","")&amp;IF(I1268="","Not approved | ",IF(UPPER(TRIM(H1268))=UPPER(TRIM(I1268)),"Self-approved | ",""))&amp;IF(J1268="","No support | ","")&amp;IF(WEEKDAY(B1268,2)&gt;5,"Weekend posting | ","")&amp;IF(COUNTIF(Settings!$A$14:$A$43,B1268)&gt;0,"Holiday posting | ","")&amp;IF(B1268&gt;Settings!$C$8,"Posted after close | ","")&amp;IF(OR(B1268&lt;Settings!$C$6,B1268&gt;Settings!$C$7),"Outside period | ","")&amp;IF(COUNTIF(Settings!$E$14:$E$43,C1268&amp;"")&gt;0,"Sensitive account | ","")&amp;IF(AND(MAX(N(E1268),N(F1268))&gt;=Settings!$C$9,MOD(MAX(N(E1268),N(F1268)),Settings!$C$10)=0),"Round amount | ",""))-3)))</f>
        <v/>
      </c>
      <c r="M1268" s="21" t="str">
        <f aca="false">IF(A1268="","",IF(COUNTIF($A$9:A1268,A1268)=1,MAX($M$8:M1267)+1,""))</f>
        <v/>
      </c>
    </row>
    <row r="1269" customFormat="false" ht="15" hidden="false" customHeight="false" outlineLevel="0" collapsed="false">
      <c r="A1269" s="8"/>
      <c r="B1269" s="17"/>
      <c r="C1269" s="19"/>
      <c r="D1269" s="8"/>
      <c r="E1269" s="18"/>
      <c r="F1269" s="18"/>
      <c r="G1269" s="8"/>
      <c r="H1269" s="8"/>
      <c r="I1269" s="8"/>
      <c r="J1269" s="8"/>
      <c r="K1269" s="10" t="str">
        <f aca="false">IF(A1269="","",IF(ABS(SUMIFS($E$9:$E$2008,$A$9:$A$2008,A1269)-SUMIFS($F$9:$F$2008,$A$9:$A$2008,A1269))&lt;0.5,"Yes","No"))</f>
        <v/>
      </c>
      <c r="L1269" s="10" t="str">
        <f aca="false">IF(A1269="","",IF(IF(K1269="No","Does not balance | ","")&amp;IF(I1269="","Not approved | ",IF(UPPER(TRIM(H1269))=UPPER(TRIM(I1269)),"Self-approved | ",""))&amp;IF(J1269="","No support | ","")&amp;IF(WEEKDAY(B1269,2)&gt;5,"Weekend posting | ","")&amp;IF(COUNTIF(Settings!$A$14:$A$43,B1269)&gt;0,"Holiday posting | ","")&amp;IF(B1269&gt;Settings!$C$8,"Posted after close | ","")&amp;IF(OR(B1269&lt;Settings!$C$6,B1269&gt;Settings!$C$7),"Outside period | ","")&amp;IF(COUNTIF(Settings!$E$14:$E$43,C1269&amp;"")&gt;0,"Sensitive account | ","")&amp;IF(AND(MAX(N(E1269),N(F1269))&gt;=Settings!$C$9,MOD(MAX(N(E1269),N(F1269)),Settings!$C$10)=0),"Round amount | ","")="","",LEFT(IF(K1269="No","Does not balance | ","")&amp;IF(I1269="","Not approved | ",IF(UPPER(TRIM(H1269))=UPPER(TRIM(I1269)),"Self-approved | ",""))&amp;IF(J1269="","No support | ","")&amp;IF(WEEKDAY(B1269,2)&gt;5,"Weekend posting | ","")&amp;IF(COUNTIF(Settings!$A$14:$A$43,B1269)&gt;0,"Holiday posting | ","")&amp;IF(B1269&gt;Settings!$C$8,"Posted after close | ","")&amp;IF(OR(B1269&lt;Settings!$C$6,B1269&gt;Settings!$C$7),"Outside period | ","")&amp;IF(COUNTIF(Settings!$E$14:$E$43,C1269&amp;"")&gt;0,"Sensitive account | ","")&amp;IF(AND(MAX(N(E1269),N(F1269))&gt;=Settings!$C$9,MOD(MAX(N(E1269),N(F1269)),Settings!$C$10)=0),"Round amount | ",""),LEN(IF(K1269="No","Does not balance | ","")&amp;IF(I1269="","Not approved | ",IF(UPPER(TRIM(H1269))=UPPER(TRIM(I1269)),"Self-approved | ",""))&amp;IF(J1269="","No support | ","")&amp;IF(WEEKDAY(B1269,2)&gt;5,"Weekend posting | ","")&amp;IF(COUNTIF(Settings!$A$14:$A$43,B1269)&gt;0,"Holiday posting | ","")&amp;IF(B1269&gt;Settings!$C$8,"Posted after close | ","")&amp;IF(OR(B1269&lt;Settings!$C$6,B1269&gt;Settings!$C$7),"Outside period | ","")&amp;IF(COUNTIF(Settings!$E$14:$E$43,C1269&amp;"")&gt;0,"Sensitive account | ","")&amp;IF(AND(MAX(N(E1269),N(F1269))&gt;=Settings!$C$9,MOD(MAX(N(E1269),N(F1269)),Settings!$C$10)=0),"Round amount | ",""))-3)))</f>
        <v/>
      </c>
      <c r="M1269" s="21" t="str">
        <f aca="false">IF(A1269="","",IF(COUNTIF($A$9:A1269,A1269)=1,MAX($M$8:M1268)+1,""))</f>
        <v/>
      </c>
    </row>
    <row r="1270" customFormat="false" ht="15" hidden="false" customHeight="false" outlineLevel="0" collapsed="false">
      <c r="A1270" s="8"/>
      <c r="B1270" s="17"/>
      <c r="C1270" s="19"/>
      <c r="D1270" s="8"/>
      <c r="E1270" s="18"/>
      <c r="F1270" s="18"/>
      <c r="G1270" s="8"/>
      <c r="H1270" s="8"/>
      <c r="I1270" s="8"/>
      <c r="J1270" s="8"/>
      <c r="K1270" s="10" t="str">
        <f aca="false">IF(A1270="","",IF(ABS(SUMIFS($E$9:$E$2008,$A$9:$A$2008,A1270)-SUMIFS($F$9:$F$2008,$A$9:$A$2008,A1270))&lt;0.5,"Yes","No"))</f>
        <v/>
      </c>
      <c r="L1270" s="10" t="str">
        <f aca="false">IF(A1270="","",IF(IF(K1270="No","Does not balance | ","")&amp;IF(I1270="","Not approved | ",IF(UPPER(TRIM(H1270))=UPPER(TRIM(I1270)),"Self-approved | ",""))&amp;IF(J1270="","No support | ","")&amp;IF(WEEKDAY(B1270,2)&gt;5,"Weekend posting | ","")&amp;IF(COUNTIF(Settings!$A$14:$A$43,B1270)&gt;0,"Holiday posting | ","")&amp;IF(B1270&gt;Settings!$C$8,"Posted after close | ","")&amp;IF(OR(B1270&lt;Settings!$C$6,B1270&gt;Settings!$C$7),"Outside period | ","")&amp;IF(COUNTIF(Settings!$E$14:$E$43,C1270&amp;"")&gt;0,"Sensitive account | ","")&amp;IF(AND(MAX(N(E1270),N(F1270))&gt;=Settings!$C$9,MOD(MAX(N(E1270),N(F1270)),Settings!$C$10)=0),"Round amount | ","")="","",LEFT(IF(K1270="No","Does not balance | ","")&amp;IF(I1270="","Not approved | ",IF(UPPER(TRIM(H1270))=UPPER(TRIM(I1270)),"Self-approved | ",""))&amp;IF(J1270="","No support | ","")&amp;IF(WEEKDAY(B1270,2)&gt;5,"Weekend posting | ","")&amp;IF(COUNTIF(Settings!$A$14:$A$43,B1270)&gt;0,"Holiday posting | ","")&amp;IF(B1270&gt;Settings!$C$8,"Posted after close | ","")&amp;IF(OR(B1270&lt;Settings!$C$6,B1270&gt;Settings!$C$7),"Outside period | ","")&amp;IF(COUNTIF(Settings!$E$14:$E$43,C1270&amp;"")&gt;0,"Sensitive account | ","")&amp;IF(AND(MAX(N(E1270),N(F1270))&gt;=Settings!$C$9,MOD(MAX(N(E1270),N(F1270)),Settings!$C$10)=0),"Round amount | ",""),LEN(IF(K1270="No","Does not balance | ","")&amp;IF(I1270="","Not approved | ",IF(UPPER(TRIM(H1270))=UPPER(TRIM(I1270)),"Self-approved | ",""))&amp;IF(J1270="","No support | ","")&amp;IF(WEEKDAY(B1270,2)&gt;5,"Weekend posting | ","")&amp;IF(COUNTIF(Settings!$A$14:$A$43,B1270)&gt;0,"Holiday posting | ","")&amp;IF(B1270&gt;Settings!$C$8,"Posted after close | ","")&amp;IF(OR(B1270&lt;Settings!$C$6,B1270&gt;Settings!$C$7),"Outside period | ","")&amp;IF(COUNTIF(Settings!$E$14:$E$43,C1270&amp;"")&gt;0,"Sensitive account | ","")&amp;IF(AND(MAX(N(E1270),N(F1270))&gt;=Settings!$C$9,MOD(MAX(N(E1270),N(F1270)),Settings!$C$10)=0),"Round amount | ",""))-3)))</f>
        <v/>
      </c>
      <c r="M1270" s="21" t="str">
        <f aca="false">IF(A1270="","",IF(COUNTIF($A$9:A1270,A1270)=1,MAX($M$8:M1269)+1,""))</f>
        <v/>
      </c>
    </row>
    <row r="1271" customFormat="false" ht="15" hidden="false" customHeight="false" outlineLevel="0" collapsed="false">
      <c r="A1271" s="8"/>
      <c r="B1271" s="17"/>
      <c r="C1271" s="19"/>
      <c r="D1271" s="8"/>
      <c r="E1271" s="18"/>
      <c r="F1271" s="18"/>
      <c r="G1271" s="8"/>
      <c r="H1271" s="8"/>
      <c r="I1271" s="8"/>
      <c r="J1271" s="8"/>
      <c r="K1271" s="10" t="str">
        <f aca="false">IF(A1271="","",IF(ABS(SUMIFS($E$9:$E$2008,$A$9:$A$2008,A1271)-SUMIFS($F$9:$F$2008,$A$9:$A$2008,A1271))&lt;0.5,"Yes","No"))</f>
        <v/>
      </c>
      <c r="L1271" s="10" t="str">
        <f aca="false">IF(A1271="","",IF(IF(K1271="No","Does not balance | ","")&amp;IF(I1271="","Not approved | ",IF(UPPER(TRIM(H1271))=UPPER(TRIM(I1271)),"Self-approved | ",""))&amp;IF(J1271="","No support | ","")&amp;IF(WEEKDAY(B1271,2)&gt;5,"Weekend posting | ","")&amp;IF(COUNTIF(Settings!$A$14:$A$43,B1271)&gt;0,"Holiday posting | ","")&amp;IF(B1271&gt;Settings!$C$8,"Posted after close | ","")&amp;IF(OR(B1271&lt;Settings!$C$6,B1271&gt;Settings!$C$7),"Outside period | ","")&amp;IF(COUNTIF(Settings!$E$14:$E$43,C1271&amp;"")&gt;0,"Sensitive account | ","")&amp;IF(AND(MAX(N(E1271),N(F1271))&gt;=Settings!$C$9,MOD(MAX(N(E1271),N(F1271)),Settings!$C$10)=0),"Round amount | ","")="","",LEFT(IF(K1271="No","Does not balance | ","")&amp;IF(I1271="","Not approved | ",IF(UPPER(TRIM(H1271))=UPPER(TRIM(I1271)),"Self-approved | ",""))&amp;IF(J1271="","No support | ","")&amp;IF(WEEKDAY(B1271,2)&gt;5,"Weekend posting | ","")&amp;IF(COUNTIF(Settings!$A$14:$A$43,B1271)&gt;0,"Holiday posting | ","")&amp;IF(B1271&gt;Settings!$C$8,"Posted after close | ","")&amp;IF(OR(B1271&lt;Settings!$C$6,B1271&gt;Settings!$C$7),"Outside period | ","")&amp;IF(COUNTIF(Settings!$E$14:$E$43,C1271&amp;"")&gt;0,"Sensitive account | ","")&amp;IF(AND(MAX(N(E1271),N(F1271))&gt;=Settings!$C$9,MOD(MAX(N(E1271),N(F1271)),Settings!$C$10)=0),"Round amount | ",""),LEN(IF(K1271="No","Does not balance | ","")&amp;IF(I1271="","Not approved | ",IF(UPPER(TRIM(H1271))=UPPER(TRIM(I1271)),"Self-approved | ",""))&amp;IF(J1271="","No support | ","")&amp;IF(WEEKDAY(B1271,2)&gt;5,"Weekend posting | ","")&amp;IF(COUNTIF(Settings!$A$14:$A$43,B1271)&gt;0,"Holiday posting | ","")&amp;IF(B1271&gt;Settings!$C$8,"Posted after close | ","")&amp;IF(OR(B1271&lt;Settings!$C$6,B1271&gt;Settings!$C$7),"Outside period | ","")&amp;IF(COUNTIF(Settings!$E$14:$E$43,C1271&amp;"")&gt;0,"Sensitive account | ","")&amp;IF(AND(MAX(N(E1271),N(F1271))&gt;=Settings!$C$9,MOD(MAX(N(E1271),N(F1271)),Settings!$C$10)=0),"Round amount | ",""))-3)))</f>
        <v/>
      </c>
      <c r="M1271" s="21" t="str">
        <f aca="false">IF(A1271="","",IF(COUNTIF($A$9:A1271,A1271)=1,MAX($M$8:M1270)+1,""))</f>
        <v/>
      </c>
    </row>
    <row r="1272" customFormat="false" ht="15" hidden="false" customHeight="false" outlineLevel="0" collapsed="false">
      <c r="A1272" s="8"/>
      <c r="B1272" s="17"/>
      <c r="C1272" s="19"/>
      <c r="D1272" s="8"/>
      <c r="E1272" s="18"/>
      <c r="F1272" s="18"/>
      <c r="G1272" s="8"/>
      <c r="H1272" s="8"/>
      <c r="I1272" s="8"/>
      <c r="J1272" s="8"/>
      <c r="K1272" s="10" t="str">
        <f aca="false">IF(A1272="","",IF(ABS(SUMIFS($E$9:$E$2008,$A$9:$A$2008,A1272)-SUMIFS($F$9:$F$2008,$A$9:$A$2008,A1272))&lt;0.5,"Yes","No"))</f>
        <v/>
      </c>
      <c r="L1272" s="10" t="str">
        <f aca="false">IF(A1272="","",IF(IF(K1272="No","Does not balance | ","")&amp;IF(I1272="","Not approved | ",IF(UPPER(TRIM(H1272))=UPPER(TRIM(I1272)),"Self-approved | ",""))&amp;IF(J1272="","No support | ","")&amp;IF(WEEKDAY(B1272,2)&gt;5,"Weekend posting | ","")&amp;IF(COUNTIF(Settings!$A$14:$A$43,B1272)&gt;0,"Holiday posting | ","")&amp;IF(B1272&gt;Settings!$C$8,"Posted after close | ","")&amp;IF(OR(B1272&lt;Settings!$C$6,B1272&gt;Settings!$C$7),"Outside period | ","")&amp;IF(COUNTIF(Settings!$E$14:$E$43,C1272&amp;"")&gt;0,"Sensitive account | ","")&amp;IF(AND(MAX(N(E1272),N(F1272))&gt;=Settings!$C$9,MOD(MAX(N(E1272),N(F1272)),Settings!$C$10)=0),"Round amount | ","")="","",LEFT(IF(K1272="No","Does not balance | ","")&amp;IF(I1272="","Not approved | ",IF(UPPER(TRIM(H1272))=UPPER(TRIM(I1272)),"Self-approved | ",""))&amp;IF(J1272="","No support | ","")&amp;IF(WEEKDAY(B1272,2)&gt;5,"Weekend posting | ","")&amp;IF(COUNTIF(Settings!$A$14:$A$43,B1272)&gt;0,"Holiday posting | ","")&amp;IF(B1272&gt;Settings!$C$8,"Posted after close | ","")&amp;IF(OR(B1272&lt;Settings!$C$6,B1272&gt;Settings!$C$7),"Outside period | ","")&amp;IF(COUNTIF(Settings!$E$14:$E$43,C1272&amp;"")&gt;0,"Sensitive account | ","")&amp;IF(AND(MAX(N(E1272),N(F1272))&gt;=Settings!$C$9,MOD(MAX(N(E1272),N(F1272)),Settings!$C$10)=0),"Round amount | ",""),LEN(IF(K1272="No","Does not balance | ","")&amp;IF(I1272="","Not approved | ",IF(UPPER(TRIM(H1272))=UPPER(TRIM(I1272)),"Self-approved | ",""))&amp;IF(J1272="","No support | ","")&amp;IF(WEEKDAY(B1272,2)&gt;5,"Weekend posting | ","")&amp;IF(COUNTIF(Settings!$A$14:$A$43,B1272)&gt;0,"Holiday posting | ","")&amp;IF(B1272&gt;Settings!$C$8,"Posted after close | ","")&amp;IF(OR(B1272&lt;Settings!$C$6,B1272&gt;Settings!$C$7),"Outside period | ","")&amp;IF(COUNTIF(Settings!$E$14:$E$43,C1272&amp;"")&gt;0,"Sensitive account | ","")&amp;IF(AND(MAX(N(E1272),N(F1272))&gt;=Settings!$C$9,MOD(MAX(N(E1272),N(F1272)),Settings!$C$10)=0),"Round amount | ",""))-3)))</f>
        <v/>
      </c>
      <c r="M1272" s="21" t="str">
        <f aca="false">IF(A1272="","",IF(COUNTIF($A$9:A1272,A1272)=1,MAX($M$8:M1271)+1,""))</f>
        <v/>
      </c>
    </row>
    <row r="1273" customFormat="false" ht="15" hidden="false" customHeight="false" outlineLevel="0" collapsed="false">
      <c r="A1273" s="8"/>
      <c r="B1273" s="17"/>
      <c r="C1273" s="19"/>
      <c r="D1273" s="8"/>
      <c r="E1273" s="18"/>
      <c r="F1273" s="18"/>
      <c r="G1273" s="8"/>
      <c r="H1273" s="8"/>
      <c r="I1273" s="8"/>
      <c r="J1273" s="8"/>
      <c r="K1273" s="10" t="str">
        <f aca="false">IF(A1273="","",IF(ABS(SUMIFS($E$9:$E$2008,$A$9:$A$2008,A1273)-SUMIFS($F$9:$F$2008,$A$9:$A$2008,A1273))&lt;0.5,"Yes","No"))</f>
        <v/>
      </c>
      <c r="L1273" s="10" t="str">
        <f aca="false">IF(A1273="","",IF(IF(K1273="No","Does not balance | ","")&amp;IF(I1273="","Not approved | ",IF(UPPER(TRIM(H1273))=UPPER(TRIM(I1273)),"Self-approved | ",""))&amp;IF(J1273="","No support | ","")&amp;IF(WEEKDAY(B1273,2)&gt;5,"Weekend posting | ","")&amp;IF(COUNTIF(Settings!$A$14:$A$43,B1273)&gt;0,"Holiday posting | ","")&amp;IF(B1273&gt;Settings!$C$8,"Posted after close | ","")&amp;IF(OR(B1273&lt;Settings!$C$6,B1273&gt;Settings!$C$7),"Outside period | ","")&amp;IF(COUNTIF(Settings!$E$14:$E$43,C1273&amp;"")&gt;0,"Sensitive account | ","")&amp;IF(AND(MAX(N(E1273),N(F1273))&gt;=Settings!$C$9,MOD(MAX(N(E1273),N(F1273)),Settings!$C$10)=0),"Round amount | ","")="","",LEFT(IF(K1273="No","Does not balance | ","")&amp;IF(I1273="","Not approved | ",IF(UPPER(TRIM(H1273))=UPPER(TRIM(I1273)),"Self-approved | ",""))&amp;IF(J1273="","No support | ","")&amp;IF(WEEKDAY(B1273,2)&gt;5,"Weekend posting | ","")&amp;IF(COUNTIF(Settings!$A$14:$A$43,B1273)&gt;0,"Holiday posting | ","")&amp;IF(B1273&gt;Settings!$C$8,"Posted after close | ","")&amp;IF(OR(B1273&lt;Settings!$C$6,B1273&gt;Settings!$C$7),"Outside period | ","")&amp;IF(COUNTIF(Settings!$E$14:$E$43,C1273&amp;"")&gt;0,"Sensitive account | ","")&amp;IF(AND(MAX(N(E1273),N(F1273))&gt;=Settings!$C$9,MOD(MAX(N(E1273),N(F1273)),Settings!$C$10)=0),"Round amount | ",""),LEN(IF(K1273="No","Does not balance | ","")&amp;IF(I1273="","Not approved | ",IF(UPPER(TRIM(H1273))=UPPER(TRIM(I1273)),"Self-approved | ",""))&amp;IF(J1273="","No support | ","")&amp;IF(WEEKDAY(B1273,2)&gt;5,"Weekend posting | ","")&amp;IF(COUNTIF(Settings!$A$14:$A$43,B1273)&gt;0,"Holiday posting | ","")&amp;IF(B1273&gt;Settings!$C$8,"Posted after close | ","")&amp;IF(OR(B1273&lt;Settings!$C$6,B1273&gt;Settings!$C$7),"Outside period | ","")&amp;IF(COUNTIF(Settings!$E$14:$E$43,C1273&amp;"")&gt;0,"Sensitive account | ","")&amp;IF(AND(MAX(N(E1273),N(F1273))&gt;=Settings!$C$9,MOD(MAX(N(E1273),N(F1273)),Settings!$C$10)=0),"Round amount | ",""))-3)))</f>
        <v/>
      </c>
      <c r="M1273" s="21" t="str">
        <f aca="false">IF(A1273="","",IF(COUNTIF($A$9:A1273,A1273)=1,MAX($M$8:M1272)+1,""))</f>
        <v/>
      </c>
    </row>
    <row r="1274" customFormat="false" ht="15" hidden="false" customHeight="false" outlineLevel="0" collapsed="false">
      <c r="A1274" s="8"/>
      <c r="B1274" s="17"/>
      <c r="C1274" s="19"/>
      <c r="D1274" s="8"/>
      <c r="E1274" s="18"/>
      <c r="F1274" s="18"/>
      <c r="G1274" s="8"/>
      <c r="H1274" s="8"/>
      <c r="I1274" s="8"/>
      <c r="J1274" s="8"/>
      <c r="K1274" s="10" t="str">
        <f aca="false">IF(A1274="","",IF(ABS(SUMIFS($E$9:$E$2008,$A$9:$A$2008,A1274)-SUMIFS($F$9:$F$2008,$A$9:$A$2008,A1274))&lt;0.5,"Yes","No"))</f>
        <v/>
      </c>
      <c r="L1274" s="10" t="str">
        <f aca="false">IF(A1274="","",IF(IF(K1274="No","Does not balance | ","")&amp;IF(I1274="","Not approved | ",IF(UPPER(TRIM(H1274))=UPPER(TRIM(I1274)),"Self-approved | ",""))&amp;IF(J1274="","No support | ","")&amp;IF(WEEKDAY(B1274,2)&gt;5,"Weekend posting | ","")&amp;IF(COUNTIF(Settings!$A$14:$A$43,B1274)&gt;0,"Holiday posting | ","")&amp;IF(B1274&gt;Settings!$C$8,"Posted after close | ","")&amp;IF(OR(B1274&lt;Settings!$C$6,B1274&gt;Settings!$C$7),"Outside period | ","")&amp;IF(COUNTIF(Settings!$E$14:$E$43,C1274&amp;"")&gt;0,"Sensitive account | ","")&amp;IF(AND(MAX(N(E1274),N(F1274))&gt;=Settings!$C$9,MOD(MAX(N(E1274),N(F1274)),Settings!$C$10)=0),"Round amount | ","")="","",LEFT(IF(K1274="No","Does not balance | ","")&amp;IF(I1274="","Not approved | ",IF(UPPER(TRIM(H1274))=UPPER(TRIM(I1274)),"Self-approved | ",""))&amp;IF(J1274="","No support | ","")&amp;IF(WEEKDAY(B1274,2)&gt;5,"Weekend posting | ","")&amp;IF(COUNTIF(Settings!$A$14:$A$43,B1274)&gt;0,"Holiday posting | ","")&amp;IF(B1274&gt;Settings!$C$8,"Posted after close | ","")&amp;IF(OR(B1274&lt;Settings!$C$6,B1274&gt;Settings!$C$7),"Outside period | ","")&amp;IF(COUNTIF(Settings!$E$14:$E$43,C1274&amp;"")&gt;0,"Sensitive account | ","")&amp;IF(AND(MAX(N(E1274),N(F1274))&gt;=Settings!$C$9,MOD(MAX(N(E1274),N(F1274)),Settings!$C$10)=0),"Round amount | ",""),LEN(IF(K1274="No","Does not balance | ","")&amp;IF(I1274="","Not approved | ",IF(UPPER(TRIM(H1274))=UPPER(TRIM(I1274)),"Self-approved | ",""))&amp;IF(J1274="","No support | ","")&amp;IF(WEEKDAY(B1274,2)&gt;5,"Weekend posting | ","")&amp;IF(COUNTIF(Settings!$A$14:$A$43,B1274)&gt;0,"Holiday posting | ","")&amp;IF(B1274&gt;Settings!$C$8,"Posted after close | ","")&amp;IF(OR(B1274&lt;Settings!$C$6,B1274&gt;Settings!$C$7),"Outside period | ","")&amp;IF(COUNTIF(Settings!$E$14:$E$43,C1274&amp;"")&gt;0,"Sensitive account | ","")&amp;IF(AND(MAX(N(E1274),N(F1274))&gt;=Settings!$C$9,MOD(MAX(N(E1274),N(F1274)),Settings!$C$10)=0),"Round amount | ",""))-3)))</f>
        <v/>
      </c>
      <c r="M1274" s="21" t="str">
        <f aca="false">IF(A1274="","",IF(COUNTIF($A$9:A1274,A1274)=1,MAX($M$8:M1273)+1,""))</f>
        <v/>
      </c>
    </row>
    <row r="1275" customFormat="false" ht="15" hidden="false" customHeight="false" outlineLevel="0" collapsed="false">
      <c r="A1275" s="8"/>
      <c r="B1275" s="17"/>
      <c r="C1275" s="19"/>
      <c r="D1275" s="8"/>
      <c r="E1275" s="18"/>
      <c r="F1275" s="18"/>
      <c r="G1275" s="8"/>
      <c r="H1275" s="8"/>
      <c r="I1275" s="8"/>
      <c r="J1275" s="8"/>
      <c r="K1275" s="10" t="str">
        <f aca="false">IF(A1275="","",IF(ABS(SUMIFS($E$9:$E$2008,$A$9:$A$2008,A1275)-SUMIFS($F$9:$F$2008,$A$9:$A$2008,A1275))&lt;0.5,"Yes","No"))</f>
        <v/>
      </c>
      <c r="L1275" s="10" t="str">
        <f aca="false">IF(A1275="","",IF(IF(K1275="No","Does not balance | ","")&amp;IF(I1275="","Not approved | ",IF(UPPER(TRIM(H1275))=UPPER(TRIM(I1275)),"Self-approved | ",""))&amp;IF(J1275="","No support | ","")&amp;IF(WEEKDAY(B1275,2)&gt;5,"Weekend posting | ","")&amp;IF(COUNTIF(Settings!$A$14:$A$43,B1275)&gt;0,"Holiday posting | ","")&amp;IF(B1275&gt;Settings!$C$8,"Posted after close | ","")&amp;IF(OR(B1275&lt;Settings!$C$6,B1275&gt;Settings!$C$7),"Outside period | ","")&amp;IF(COUNTIF(Settings!$E$14:$E$43,C1275&amp;"")&gt;0,"Sensitive account | ","")&amp;IF(AND(MAX(N(E1275),N(F1275))&gt;=Settings!$C$9,MOD(MAX(N(E1275),N(F1275)),Settings!$C$10)=0),"Round amount | ","")="","",LEFT(IF(K1275="No","Does not balance | ","")&amp;IF(I1275="","Not approved | ",IF(UPPER(TRIM(H1275))=UPPER(TRIM(I1275)),"Self-approved | ",""))&amp;IF(J1275="","No support | ","")&amp;IF(WEEKDAY(B1275,2)&gt;5,"Weekend posting | ","")&amp;IF(COUNTIF(Settings!$A$14:$A$43,B1275)&gt;0,"Holiday posting | ","")&amp;IF(B1275&gt;Settings!$C$8,"Posted after close | ","")&amp;IF(OR(B1275&lt;Settings!$C$6,B1275&gt;Settings!$C$7),"Outside period | ","")&amp;IF(COUNTIF(Settings!$E$14:$E$43,C1275&amp;"")&gt;0,"Sensitive account | ","")&amp;IF(AND(MAX(N(E1275),N(F1275))&gt;=Settings!$C$9,MOD(MAX(N(E1275),N(F1275)),Settings!$C$10)=0),"Round amount | ",""),LEN(IF(K1275="No","Does not balance | ","")&amp;IF(I1275="","Not approved | ",IF(UPPER(TRIM(H1275))=UPPER(TRIM(I1275)),"Self-approved | ",""))&amp;IF(J1275="","No support | ","")&amp;IF(WEEKDAY(B1275,2)&gt;5,"Weekend posting | ","")&amp;IF(COUNTIF(Settings!$A$14:$A$43,B1275)&gt;0,"Holiday posting | ","")&amp;IF(B1275&gt;Settings!$C$8,"Posted after close | ","")&amp;IF(OR(B1275&lt;Settings!$C$6,B1275&gt;Settings!$C$7),"Outside period | ","")&amp;IF(COUNTIF(Settings!$E$14:$E$43,C1275&amp;"")&gt;0,"Sensitive account | ","")&amp;IF(AND(MAX(N(E1275),N(F1275))&gt;=Settings!$C$9,MOD(MAX(N(E1275),N(F1275)),Settings!$C$10)=0),"Round amount | ",""))-3)))</f>
        <v/>
      </c>
      <c r="M1275" s="21" t="str">
        <f aca="false">IF(A1275="","",IF(COUNTIF($A$9:A1275,A1275)=1,MAX($M$8:M1274)+1,""))</f>
        <v/>
      </c>
    </row>
    <row r="1276" customFormat="false" ht="15" hidden="false" customHeight="false" outlineLevel="0" collapsed="false">
      <c r="A1276" s="8"/>
      <c r="B1276" s="17"/>
      <c r="C1276" s="19"/>
      <c r="D1276" s="8"/>
      <c r="E1276" s="18"/>
      <c r="F1276" s="18"/>
      <c r="G1276" s="8"/>
      <c r="H1276" s="8"/>
      <c r="I1276" s="8"/>
      <c r="J1276" s="8"/>
      <c r="K1276" s="10" t="str">
        <f aca="false">IF(A1276="","",IF(ABS(SUMIFS($E$9:$E$2008,$A$9:$A$2008,A1276)-SUMIFS($F$9:$F$2008,$A$9:$A$2008,A1276))&lt;0.5,"Yes","No"))</f>
        <v/>
      </c>
      <c r="L1276" s="10" t="str">
        <f aca="false">IF(A1276="","",IF(IF(K1276="No","Does not balance | ","")&amp;IF(I1276="","Not approved | ",IF(UPPER(TRIM(H1276))=UPPER(TRIM(I1276)),"Self-approved | ",""))&amp;IF(J1276="","No support | ","")&amp;IF(WEEKDAY(B1276,2)&gt;5,"Weekend posting | ","")&amp;IF(COUNTIF(Settings!$A$14:$A$43,B1276)&gt;0,"Holiday posting | ","")&amp;IF(B1276&gt;Settings!$C$8,"Posted after close | ","")&amp;IF(OR(B1276&lt;Settings!$C$6,B1276&gt;Settings!$C$7),"Outside period | ","")&amp;IF(COUNTIF(Settings!$E$14:$E$43,C1276&amp;"")&gt;0,"Sensitive account | ","")&amp;IF(AND(MAX(N(E1276),N(F1276))&gt;=Settings!$C$9,MOD(MAX(N(E1276),N(F1276)),Settings!$C$10)=0),"Round amount | ","")="","",LEFT(IF(K1276="No","Does not balance | ","")&amp;IF(I1276="","Not approved | ",IF(UPPER(TRIM(H1276))=UPPER(TRIM(I1276)),"Self-approved | ",""))&amp;IF(J1276="","No support | ","")&amp;IF(WEEKDAY(B1276,2)&gt;5,"Weekend posting | ","")&amp;IF(COUNTIF(Settings!$A$14:$A$43,B1276)&gt;0,"Holiday posting | ","")&amp;IF(B1276&gt;Settings!$C$8,"Posted after close | ","")&amp;IF(OR(B1276&lt;Settings!$C$6,B1276&gt;Settings!$C$7),"Outside period | ","")&amp;IF(COUNTIF(Settings!$E$14:$E$43,C1276&amp;"")&gt;0,"Sensitive account | ","")&amp;IF(AND(MAX(N(E1276),N(F1276))&gt;=Settings!$C$9,MOD(MAX(N(E1276),N(F1276)),Settings!$C$10)=0),"Round amount | ",""),LEN(IF(K1276="No","Does not balance | ","")&amp;IF(I1276="","Not approved | ",IF(UPPER(TRIM(H1276))=UPPER(TRIM(I1276)),"Self-approved | ",""))&amp;IF(J1276="","No support | ","")&amp;IF(WEEKDAY(B1276,2)&gt;5,"Weekend posting | ","")&amp;IF(COUNTIF(Settings!$A$14:$A$43,B1276)&gt;0,"Holiday posting | ","")&amp;IF(B1276&gt;Settings!$C$8,"Posted after close | ","")&amp;IF(OR(B1276&lt;Settings!$C$6,B1276&gt;Settings!$C$7),"Outside period | ","")&amp;IF(COUNTIF(Settings!$E$14:$E$43,C1276&amp;"")&gt;0,"Sensitive account | ","")&amp;IF(AND(MAX(N(E1276),N(F1276))&gt;=Settings!$C$9,MOD(MAX(N(E1276),N(F1276)),Settings!$C$10)=0),"Round amount | ",""))-3)))</f>
        <v/>
      </c>
      <c r="M1276" s="21" t="str">
        <f aca="false">IF(A1276="","",IF(COUNTIF($A$9:A1276,A1276)=1,MAX($M$8:M1275)+1,""))</f>
        <v/>
      </c>
    </row>
    <row r="1277" customFormat="false" ht="15" hidden="false" customHeight="false" outlineLevel="0" collapsed="false">
      <c r="A1277" s="8"/>
      <c r="B1277" s="17"/>
      <c r="C1277" s="19"/>
      <c r="D1277" s="8"/>
      <c r="E1277" s="18"/>
      <c r="F1277" s="18"/>
      <c r="G1277" s="8"/>
      <c r="H1277" s="8"/>
      <c r="I1277" s="8"/>
      <c r="J1277" s="8"/>
      <c r="K1277" s="10" t="str">
        <f aca="false">IF(A1277="","",IF(ABS(SUMIFS($E$9:$E$2008,$A$9:$A$2008,A1277)-SUMIFS($F$9:$F$2008,$A$9:$A$2008,A1277))&lt;0.5,"Yes","No"))</f>
        <v/>
      </c>
      <c r="L1277" s="10" t="str">
        <f aca="false">IF(A1277="","",IF(IF(K1277="No","Does not balance | ","")&amp;IF(I1277="","Not approved | ",IF(UPPER(TRIM(H1277))=UPPER(TRIM(I1277)),"Self-approved | ",""))&amp;IF(J1277="","No support | ","")&amp;IF(WEEKDAY(B1277,2)&gt;5,"Weekend posting | ","")&amp;IF(COUNTIF(Settings!$A$14:$A$43,B1277)&gt;0,"Holiday posting | ","")&amp;IF(B1277&gt;Settings!$C$8,"Posted after close | ","")&amp;IF(OR(B1277&lt;Settings!$C$6,B1277&gt;Settings!$C$7),"Outside period | ","")&amp;IF(COUNTIF(Settings!$E$14:$E$43,C1277&amp;"")&gt;0,"Sensitive account | ","")&amp;IF(AND(MAX(N(E1277),N(F1277))&gt;=Settings!$C$9,MOD(MAX(N(E1277),N(F1277)),Settings!$C$10)=0),"Round amount | ","")="","",LEFT(IF(K1277="No","Does not balance | ","")&amp;IF(I1277="","Not approved | ",IF(UPPER(TRIM(H1277))=UPPER(TRIM(I1277)),"Self-approved | ",""))&amp;IF(J1277="","No support | ","")&amp;IF(WEEKDAY(B1277,2)&gt;5,"Weekend posting | ","")&amp;IF(COUNTIF(Settings!$A$14:$A$43,B1277)&gt;0,"Holiday posting | ","")&amp;IF(B1277&gt;Settings!$C$8,"Posted after close | ","")&amp;IF(OR(B1277&lt;Settings!$C$6,B1277&gt;Settings!$C$7),"Outside period | ","")&amp;IF(COUNTIF(Settings!$E$14:$E$43,C1277&amp;"")&gt;0,"Sensitive account | ","")&amp;IF(AND(MAX(N(E1277),N(F1277))&gt;=Settings!$C$9,MOD(MAX(N(E1277),N(F1277)),Settings!$C$10)=0),"Round amount | ",""),LEN(IF(K1277="No","Does not balance | ","")&amp;IF(I1277="","Not approved | ",IF(UPPER(TRIM(H1277))=UPPER(TRIM(I1277)),"Self-approved | ",""))&amp;IF(J1277="","No support | ","")&amp;IF(WEEKDAY(B1277,2)&gt;5,"Weekend posting | ","")&amp;IF(COUNTIF(Settings!$A$14:$A$43,B1277)&gt;0,"Holiday posting | ","")&amp;IF(B1277&gt;Settings!$C$8,"Posted after close | ","")&amp;IF(OR(B1277&lt;Settings!$C$6,B1277&gt;Settings!$C$7),"Outside period | ","")&amp;IF(COUNTIF(Settings!$E$14:$E$43,C1277&amp;"")&gt;0,"Sensitive account | ","")&amp;IF(AND(MAX(N(E1277),N(F1277))&gt;=Settings!$C$9,MOD(MAX(N(E1277),N(F1277)),Settings!$C$10)=0),"Round amount | ",""))-3)))</f>
        <v/>
      </c>
      <c r="M1277" s="21" t="str">
        <f aca="false">IF(A1277="","",IF(COUNTIF($A$9:A1277,A1277)=1,MAX($M$8:M1276)+1,""))</f>
        <v/>
      </c>
    </row>
    <row r="1278" customFormat="false" ht="15" hidden="false" customHeight="false" outlineLevel="0" collapsed="false">
      <c r="A1278" s="8"/>
      <c r="B1278" s="17"/>
      <c r="C1278" s="19"/>
      <c r="D1278" s="8"/>
      <c r="E1278" s="18"/>
      <c r="F1278" s="18"/>
      <c r="G1278" s="8"/>
      <c r="H1278" s="8"/>
      <c r="I1278" s="8"/>
      <c r="J1278" s="8"/>
      <c r="K1278" s="10" t="str">
        <f aca="false">IF(A1278="","",IF(ABS(SUMIFS($E$9:$E$2008,$A$9:$A$2008,A1278)-SUMIFS($F$9:$F$2008,$A$9:$A$2008,A1278))&lt;0.5,"Yes","No"))</f>
        <v/>
      </c>
      <c r="L1278" s="10" t="str">
        <f aca="false">IF(A1278="","",IF(IF(K1278="No","Does not balance | ","")&amp;IF(I1278="","Not approved | ",IF(UPPER(TRIM(H1278))=UPPER(TRIM(I1278)),"Self-approved | ",""))&amp;IF(J1278="","No support | ","")&amp;IF(WEEKDAY(B1278,2)&gt;5,"Weekend posting | ","")&amp;IF(COUNTIF(Settings!$A$14:$A$43,B1278)&gt;0,"Holiday posting | ","")&amp;IF(B1278&gt;Settings!$C$8,"Posted after close | ","")&amp;IF(OR(B1278&lt;Settings!$C$6,B1278&gt;Settings!$C$7),"Outside period | ","")&amp;IF(COUNTIF(Settings!$E$14:$E$43,C1278&amp;"")&gt;0,"Sensitive account | ","")&amp;IF(AND(MAX(N(E1278),N(F1278))&gt;=Settings!$C$9,MOD(MAX(N(E1278),N(F1278)),Settings!$C$10)=0),"Round amount | ","")="","",LEFT(IF(K1278="No","Does not balance | ","")&amp;IF(I1278="","Not approved | ",IF(UPPER(TRIM(H1278))=UPPER(TRIM(I1278)),"Self-approved | ",""))&amp;IF(J1278="","No support | ","")&amp;IF(WEEKDAY(B1278,2)&gt;5,"Weekend posting | ","")&amp;IF(COUNTIF(Settings!$A$14:$A$43,B1278)&gt;0,"Holiday posting | ","")&amp;IF(B1278&gt;Settings!$C$8,"Posted after close | ","")&amp;IF(OR(B1278&lt;Settings!$C$6,B1278&gt;Settings!$C$7),"Outside period | ","")&amp;IF(COUNTIF(Settings!$E$14:$E$43,C1278&amp;"")&gt;0,"Sensitive account | ","")&amp;IF(AND(MAX(N(E1278),N(F1278))&gt;=Settings!$C$9,MOD(MAX(N(E1278),N(F1278)),Settings!$C$10)=0),"Round amount | ",""),LEN(IF(K1278="No","Does not balance | ","")&amp;IF(I1278="","Not approved | ",IF(UPPER(TRIM(H1278))=UPPER(TRIM(I1278)),"Self-approved | ",""))&amp;IF(J1278="","No support | ","")&amp;IF(WEEKDAY(B1278,2)&gt;5,"Weekend posting | ","")&amp;IF(COUNTIF(Settings!$A$14:$A$43,B1278)&gt;0,"Holiday posting | ","")&amp;IF(B1278&gt;Settings!$C$8,"Posted after close | ","")&amp;IF(OR(B1278&lt;Settings!$C$6,B1278&gt;Settings!$C$7),"Outside period | ","")&amp;IF(COUNTIF(Settings!$E$14:$E$43,C1278&amp;"")&gt;0,"Sensitive account | ","")&amp;IF(AND(MAX(N(E1278),N(F1278))&gt;=Settings!$C$9,MOD(MAX(N(E1278),N(F1278)),Settings!$C$10)=0),"Round amount | ",""))-3)))</f>
        <v/>
      </c>
      <c r="M1278" s="21" t="str">
        <f aca="false">IF(A1278="","",IF(COUNTIF($A$9:A1278,A1278)=1,MAX($M$8:M1277)+1,""))</f>
        <v/>
      </c>
    </row>
    <row r="1279" customFormat="false" ht="15" hidden="false" customHeight="false" outlineLevel="0" collapsed="false">
      <c r="A1279" s="8"/>
      <c r="B1279" s="17"/>
      <c r="C1279" s="19"/>
      <c r="D1279" s="8"/>
      <c r="E1279" s="18"/>
      <c r="F1279" s="18"/>
      <c r="G1279" s="8"/>
      <c r="H1279" s="8"/>
      <c r="I1279" s="8"/>
      <c r="J1279" s="8"/>
      <c r="K1279" s="10" t="str">
        <f aca="false">IF(A1279="","",IF(ABS(SUMIFS($E$9:$E$2008,$A$9:$A$2008,A1279)-SUMIFS($F$9:$F$2008,$A$9:$A$2008,A1279))&lt;0.5,"Yes","No"))</f>
        <v/>
      </c>
      <c r="L1279" s="10" t="str">
        <f aca="false">IF(A1279="","",IF(IF(K1279="No","Does not balance | ","")&amp;IF(I1279="","Not approved | ",IF(UPPER(TRIM(H1279))=UPPER(TRIM(I1279)),"Self-approved | ",""))&amp;IF(J1279="","No support | ","")&amp;IF(WEEKDAY(B1279,2)&gt;5,"Weekend posting | ","")&amp;IF(COUNTIF(Settings!$A$14:$A$43,B1279)&gt;0,"Holiday posting | ","")&amp;IF(B1279&gt;Settings!$C$8,"Posted after close | ","")&amp;IF(OR(B1279&lt;Settings!$C$6,B1279&gt;Settings!$C$7),"Outside period | ","")&amp;IF(COUNTIF(Settings!$E$14:$E$43,C1279&amp;"")&gt;0,"Sensitive account | ","")&amp;IF(AND(MAX(N(E1279),N(F1279))&gt;=Settings!$C$9,MOD(MAX(N(E1279),N(F1279)),Settings!$C$10)=0),"Round amount | ","")="","",LEFT(IF(K1279="No","Does not balance | ","")&amp;IF(I1279="","Not approved | ",IF(UPPER(TRIM(H1279))=UPPER(TRIM(I1279)),"Self-approved | ",""))&amp;IF(J1279="","No support | ","")&amp;IF(WEEKDAY(B1279,2)&gt;5,"Weekend posting | ","")&amp;IF(COUNTIF(Settings!$A$14:$A$43,B1279)&gt;0,"Holiday posting | ","")&amp;IF(B1279&gt;Settings!$C$8,"Posted after close | ","")&amp;IF(OR(B1279&lt;Settings!$C$6,B1279&gt;Settings!$C$7),"Outside period | ","")&amp;IF(COUNTIF(Settings!$E$14:$E$43,C1279&amp;"")&gt;0,"Sensitive account | ","")&amp;IF(AND(MAX(N(E1279),N(F1279))&gt;=Settings!$C$9,MOD(MAX(N(E1279),N(F1279)),Settings!$C$10)=0),"Round amount | ",""),LEN(IF(K1279="No","Does not balance | ","")&amp;IF(I1279="","Not approved | ",IF(UPPER(TRIM(H1279))=UPPER(TRIM(I1279)),"Self-approved | ",""))&amp;IF(J1279="","No support | ","")&amp;IF(WEEKDAY(B1279,2)&gt;5,"Weekend posting | ","")&amp;IF(COUNTIF(Settings!$A$14:$A$43,B1279)&gt;0,"Holiday posting | ","")&amp;IF(B1279&gt;Settings!$C$8,"Posted after close | ","")&amp;IF(OR(B1279&lt;Settings!$C$6,B1279&gt;Settings!$C$7),"Outside period | ","")&amp;IF(COUNTIF(Settings!$E$14:$E$43,C1279&amp;"")&gt;0,"Sensitive account | ","")&amp;IF(AND(MAX(N(E1279),N(F1279))&gt;=Settings!$C$9,MOD(MAX(N(E1279),N(F1279)),Settings!$C$10)=0),"Round amount | ",""))-3)))</f>
        <v/>
      </c>
      <c r="M1279" s="21" t="str">
        <f aca="false">IF(A1279="","",IF(COUNTIF($A$9:A1279,A1279)=1,MAX($M$8:M1278)+1,""))</f>
        <v/>
      </c>
    </row>
    <row r="1280" customFormat="false" ht="15" hidden="false" customHeight="false" outlineLevel="0" collapsed="false">
      <c r="A1280" s="8"/>
      <c r="B1280" s="17"/>
      <c r="C1280" s="19"/>
      <c r="D1280" s="8"/>
      <c r="E1280" s="18"/>
      <c r="F1280" s="18"/>
      <c r="G1280" s="8"/>
      <c r="H1280" s="8"/>
      <c r="I1280" s="8"/>
      <c r="J1280" s="8"/>
      <c r="K1280" s="10" t="str">
        <f aca="false">IF(A1280="","",IF(ABS(SUMIFS($E$9:$E$2008,$A$9:$A$2008,A1280)-SUMIFS($F$9:$F$2008,$A$9:$A$2008,A1280))&lt;0.5,"Yes","No"))</f>
        <v/>
      </c>
      <c r="L1280" s="10" t="str">
        <f aca="false">IF(A1280="","",IF(IF(K1280="No","Does not balance | ","")&amp;IF(I1280="","Not approved | ",IF(UPPER(TRIM(H1280))=UPPER(TRIM(I1280)),"Self-approved | ",""))&amp;IF(J1280="","No support | ","")&amp;IF(WEEKDAY(B1280,2)&gt;5,"Weekend posting | ","")&amp;IF(COUNTIF(Settings!$A$14:$A$43,B1280)&gt;0,"Holiday posting | ","")&amp;IF(B1280&gt;Settings!$C$8,"Posted after close | ","")&amp;IF(OR(B1280&lt;Settings!$C$6,B1280&gt;Settings!$C$7),"Outside period | ","")&amp;IF(COUNTIF(Settings!$E$14:$E$43,C1280&amp;"")&gt;0,"Sensitive account | ","")&amp;IF(AND(MAX(N(E1280),N(F1280))&gt;=Settings!$C$9,MOD(MAX(N(E1280),N(F1280)),Settings!$C$10)=0),"Round amount | ","")="","",LEFT(IF(K1280="No","Does not balance | ","")&amp;IF(I1280="","Not approved | ",IF(UPPER(TRIM(H1280))=UPPER(TRIM(I1280)),"Self-approved | ",""))&amp;IF(J1280="","No support | ","")&amp;IF(WEEKDAY(B1280,2)&gt;5,"Weekend posting | ","")&amp;IF(COUNTIF(Settings!$A$14:$A$43,B1280)&gt;0,"Holiday posting | ","")&amp;IF(B1280&gt;Settings!$C$8,"Posted after close | ","")&amp;IF(OR(B1280&lt;Settings!$C$6,B1280&gt;Settings!$C$7),"Outside period | ","")&amp;IF(COUNTIF(Settings!$E$14:$E$43,C1280&amp;"")&gt;0,"Sensitive account | ","")&amp;IF(AND(MAX(N(E1280),N(F1280))&gt;=Settings!$C$9,MOD(MAX(N(E1280),N(F1280)),Settings!$C$10)=0),"Round amount | ",""),LEN(IF(K1280="No","Does not balance | ","")&amp;IF(I1280="","Not approved | ",IF(UPPER(TRIM(H1280))=UPPER(TRIM(I1280)),"Self-approved | ",""))&amp;IF(J1280="","No support | ","")&amp;IF(WEEKDAY(B1280,2)&gt;5,"Weekend posting | ","")&amp;IF(COUNTIF(Settings!$A$14:$A$43,B1280)&gt;0,"Holiday posting | ","")&amp;IF(B1280&gt;Settings!$C$8,"Posted after close | ","")&amp;IF(OR(B1280&lt;Settings!$C$6,B1280&gt;Settings!$C$7),"Outside period | ","")&amp;IF(COUNTIF(Settings!$E$14:$E$43,C1280&amp;"")&gt;0,"Sensitive account | ","")&amp;IF(AND(MAX(N(E1280),N(F1280))&gt;=Settings!$C$9,MOD(MAX(N(E1280),N(F1280)),Settings!$C$10)=0),"Round amount | ",""))-3)))</f>
        <v/>
      </c>
      <c r="M1280" s="21" t="str">
        <f aca="false">IF(A1280="","",IF(COUNTIF($A$9:A1280,A1280)=1,MAX($M$8:M1279)+1,""))</f>
        <v/>
      </c>
    </row>
    <row r="1281" customFormat="false" ht="15" hidden="false" customHeight="false" outlineLevel="0" collapsed="false">
      <c r="A1281" s="8"/>
      <c r="B1281" s="17"/>
      <c r="C1281" s="19"/>
      <c r="D1281" s="8"/>
      <c r="E1281" s="18"/>
      <c r="F1281" s="18"/>
      <c r="G1281" s="8"/>
      <c r="H1281" s="8"/>
      <c r="I1281" s="8"/>
      <c r="J1281" s="8"/>
      <c r="K1281" s="10" t="str">
        <f aca="false">IF(A1281="","",IF(ABS(SUMIFS($E$9:$E$2008,$A$9:$A$2008,A1281)-SUMIFS($F$9:$F$2008,$A$9:$A$2008,A1281))&lt;0.5,"Yes","No"))</f>
        <v/>
      </c>
      <c r="L1281" s="10" t="str">
        <f aca="false">IF(A1281="","",IF(IF(K1281="No","Does not balance | ","")&amp;IF(I1281="","Not approved | ",IF(UPPER(TRIM(H1281))=UPPER(TRIM(I1281)),"Self-approved | ",""))&amp;IF(J1281="","No support | ","")&amp;IF(WEEKDAY(B1281,2)&gt;5,"Weekend posting | ","")&amp;IF(COUNTIF(Settings!$A$14:$A$43,B1281)&gt;0,"Holiday posting | ","")&amp;IF(B1281&gt;Settings!$C$8,"Posted after close | ","")&amp;IF(OR(B1281&lt;Settings!$C$6,B1281&gt;Settings!$C$7),"Outside period | ","")&amp;IF(COUNTIF(Settings!$E$14:$E$43,C1281&amp;"")&gt;0,"Sensitive account | ","")&amp;IF(AND(MAX(N(E1281),N(F1281))&gt;=Settings!$C$9,MOD(MAX(N(E1281),N(F1281)),Settings!$C$10)=0),"Round amount | ","")="","",LEFT(IF(K1281="No","Does not balance | ","")&amp;IF(I1281="","Not approved | ",IF(UPPER(TRIM(H1281))=UPPER(TRIM(I1281)),"Self-approved | ",""))&amp;IF(J1281="","No support | ","")&amp;IF(WEEKDAY(B1281,2)&gt;5,"Weekend posting | ","")&amp;IF(COUNTIF(Settings!$A$14:$A$43,B1281)&gt;0,"Holiday posting | ","")&amp;IF(B1281&gt;Settings!$C$8,"Posted after close | ","")&amp;IF(OR(B1281&lt;Settings!$C$6,B1281&gt;Settings!$C$7),"Outside period | ","")&amp;IF(COUNTIF(Settings!$E$14:$E$43,C1281&amp;"")&gt;0,"Sensitive account | ","")&amp;IF(AND(MAX(N(E1281),N(F1281))&gt;=Settings!$C$9,MOD(MAX(N(E1281),N(F1281)),Settings!$C$10)=0),"Round amount | ",""),LEN(IF(K1281="No","Does not balance | ","")&amp;IF(I1281="","Not approved | ",IF(UPPER(TRIM(H1281))=UPPER(TRIM(I1281)),"Self-approved | ",""))&amp;IF(J1281="","No support | ","")&amp;IF(WEEKDAY(B1281,2)&gt;5,"Weekend posting | ","")&amp;IF(COUNTIF(Settings!$A$14:$A$43,B1281)&gt;0,"Holiday posting | ","")&amp;IF(B1281&gt;Settings!$C$8,"Posted after close | ","")&amp;IF(OR(B1281&lt;Settings!$C$6,B1281&gt;Settings!$C$7),"Outside period | ","")&amp;IF(COUNTIF(Settings!$E$14:$E$43,C1281&amp;"")&gt;0,"Sensitive account | ","")&amp;IF(AND(MAX(N(E1281),N(F1281))&gt;=Settings!$C$9,MOD(MAX(N(E1281),N(F1281)),Settings!$C$10)=0),"Round amount | ",""))-3)))</f>
        <v/>
      </c>
      <c r="M1281" s="21" t="str">
        <f aca="false">IF(A1281="","",IF(COUNTIF($A$9:A1281,A1281)=1,MAX($M$8:M1280)+1,""))</f>
        <v/>
      </c>
    </row>
    <row r="1282" customFormat="false" ht="15" hidden="false" customHeight="false" outlineLevel="0" collapsed="false">
      <c r="A1282" s="8"/>
      <c r="B1282" s="17"/>
      <c r="C1282" s="19"/>
      <c r="D1282" s="8"/>
      <c r="E1282" s="18"/>
      <c r="F1282" s="18"/>
      <c r="G1282" s="8"/>
      <c r="H1282" s="8"/>
      <c r="I1282" s="8"/>
      <c r="J1282" s="8"/>
      <c r="K1282" s="10" t="str">
        <f aca="false">IF(A1282="","",IF(ABS(SUMIFS($E$9:$E$2008,$A$9:$A$2008,A1282)-SUMIFS($F$9:$F$2008,$A$9:$A$2008,A1282))&lt;0.5,"Yes","No"))</f>
        <v/>
      </c>
      <c r="L1282" s="10" t="str">
        <f aca="false">IF(A1282="","",IF(IF(K1282="No","Does not balance | ","")&amp;IF(I1282="","Not approved | ",IF(UPPER(TRIM(H1282))=UPPER(TRIM(I1282)),"Self-approved | ",""))&amp;IF(J1282="","No support | ","")&amp;IF(WEEKDAY(B1282,2)&gt;5,"Weekend posting | ","")&amp;IF(COUNTIF(Settings!$A$14:$A$43,B1282)&gt;0,"Holiday posting | ","")&amp;IF(B1282&gt;Settings!$C$8,"Posted after close | ","")&amp;IF(OR(B1282&lt;Settings!$C$6,B1282&gt;Settings!$C$7),"Outside period | ","")&amp;IF(COUNTIF(Settings!$E$14:$E$43,C1282&amp;"")&gt;0,"Sensitive account | ","")&amp;IF(AND(MAX(N(E1282),N(F1282))&gt;=Settings!$C$9,MOD(MAX(N(E1282),N(F1282)),Settings!$C$10)=0),"Round amount | ","")="","",LEFT(IF(K1282="No","Does not balance | ","")&amp;IF(I1282="","Not approved | ",IF(UPPER(TRIM(H1282))=UPPER(TRIM(I1282)),"Self-approved | ",""))&amp;IF(J1282="","No support | ","")&amp;IF(WEEKDAY(B1282,2)&gt;5,"Weekend posting | ","")&amp;IF(COUNTIF(Settings!$A$14:$A$43,B1282)&gt;0,"Holiday posting | ","")&amp;IF(B1282&gt;Settings!$C$8,"Posted after close | ","")&amp;IF(OR(B1282&lt;Settings!$C$6,B1282&gt;Settings!$C$7),"Outside period | ","")&amp;IF(COUNTIF(Settings!$E$14:$E$43,C1282&amp;"")&gt;0,"Sensitive account | ","")&amp;IF(AND(MAX(N(E1282),N(F1282))&gt;=Settings!$C$9,MOD(MAX(N(E1282),N(F1282)),Settings!$C$10)=0),"Round amount | ",""),LEN(IF(K1282="No","Does not balance | ","")&amp;IF(I1282="","Not approved | ",IF(UPPER(TRIM(H1282))=UPPER(TRIM(I1282)),"Self-approved | ",""))&amp;IF(J1282="","No support | ","")&amp;IF(WEEKDAY(B1282,2)&gt;5,"Weekend posting | ","")&amp;IF(COUNTIF(Settings!$A$14:$A$43,B1282)&gt;0,"Holiday posting | ","")&amp;IF(B1282&gt;Settings!$C$8,"Posted after close | ","")&amp;IF(OR(B1282&lt;Settings!$C$6,B1282&gt;Settings!$C$7),"Outside period | ","")&amp;IF(COUNTIF(Settings!$E$14:$E$43,C1282&amp;"")&gt;0,"Sensitive account | ","")&amp;IF(AND(MAX(N(E1282),N(F1282))&gt;=Settings!$C$9,MOD(MAX(N(E1282),N(F1282)),Settings!$C$10)=0),"Round amount | ",""))-3)))</f>
        <v/>
      </c>
      <c r="M1282" s="21" t="str">
        <f aca="false">IF(A1282="","",IF(COUNTIF($A$9:A1282,A1282)=1,MAX($M$8:M1281)+1,""))</f>
        <v/>
      </c>
    </row>
    <row r="1283" customFormat="false" ht="15" hidden="false" customHeight="false" outlineLevel="0" collapsed="false">
      <c r="A1283" s="8"/>
      <c r="B1283" s="17"/>
      <c r="C1283" s="19"/>
      <c r="D1283" s="8"/>
      <c r="E1283" s="18"/>
      <c r="F1283" s="18"/>
      <c r="G1283" s="8"/>
      <c r="H1283" s="8"/>
      <c r="I1283" s="8"/>
      <c r="J1283" s="8"/>
      <c r="K1283" s="10" t="str">
        <f aca="false">IF(A1283="","",IF(ABS(SUMIFS($E$9:$E$2008,$A$9:$A$2008,A1283)-SUMIFS($F$9:$F$2008,$A$9:$A$2008,A1283))&lt;0.5,"Yes","No"))</f>
        <v/>
      </c>
      <c r="L1283" s="10" t="str">
        <f aca="false">IF(A1283="","",IF(IF(K1283="No","Does not balance | ","")&amp;IF(I1283="","Not approved | ",IF(UPPER(TRIM(H1283))=UPPER(TRIM(I1283)),"Self-approved | ",""))&amp;IF(J1283="","No support | ","")&amp;IF(WEEKDAY(B1283,2)&gt;5,"Weekend posting | ","")&amp;IF(COUNTIF(Settings!$A$14:$A$43,B1283)&gt;0,"Holiday posting | ","")&amp;IF(B1283&gt;Settings!$C$8,"Posted after close | ","")&amp;IF(OR(B1283&lt;Settings!$C$6,B1283&gt;Settings!$C$7),"Outside period | ","")&amp;IF(COUNTIF(Settings!$E$14:$E$43,C1283&amp;"")&gt;0,"Sensitive account | ","")&amp;IF(AND(MAX(N(E1283),N(F1283))&gt;=Settings!$C$9,MOD(MAX(N(E1283),N(F1283)),Settings!$C$10)=0),"Round amount | ","")="","",LEFT(IF(K1283="No","Does not balance | ","")&amp;IF(I1283="","Not approved | ",IF(UPPER(TRIM(H1283))=UPPER(TRIM(I1283)),"Self-approved | ",""))&amp;IF(J1283="","No support | ","")&amp;IF(WEEKDAY(B1283,2)&gt;5,"Weekend posting | ","")&amp;IF(COUNTIF(Settings!$A$14:$A$43,B1283)&gt;0,"Holiday posting | ","")&amp;IF(B1283&gt;Settings!$C$8,"Posted after close | ","")&amp;IF(OR(B1283&lt;Settings!$C$6,B1283&gt;Settings!$C$7),"Outside period | ","")&amp;IF(COUNTIF(Settings!$E$14:$E$43,C1283&amp;"")&gt;0,"Sensitive account | ","")&amp;IF(AND(MAX(N(E1283),N(F1283))&gt;=Settings!$C$9,MOD(MAX(N(E1283),N(F1283)),Settings!$C$10)=0),"Round amount | ",""),LEN(IF(K1283="No","Does not balance | ","")&amp;IF(I1283="","Not approved | ",IF(UPPER(TRIM(H1283))=UPPER(TRIM(I1283)),"Self-approved | ",""))&amp;IF(J1283="","No support | ","")&amp;IF(WEEKDAY(B1283,2)&gt;5,"Weekend posting | ","")&amp;IF(COUNTIF(Settings!$A$14:$A$43,B1283)&gt;0,"Holiday posting | ","")&amp;IF(B1283&gt;Settings!$C$8,"Posted after close | ","")&amp;IF(OR(B1283&lt;Settings!$C$6,B1283&gt;Settings!$C$7),"Outside period | ","")&amp;IF(COUNTIF(Settings!$E$14:$E$43,C1283&amp;"")&gt;0,"Sensitive account | ","")&amp;IF(AND(MAX(N(E1283),N(F1283))&gt;=Settings!$C$9,MOD(MAX(N(E1283),N(F1283)),Settings!$C$10)=0),"Round amount | ",""))-3)))</f>
        <v/>
      </c>
      <c r="M1283" s="21" t="str">
        <f aca="false">IF(A1283="","",IF(COUNTIF($A$9:A1283,A1283)=1,MAX($M$8:M1282)+1,""))</f>
        <v/>
      </c>
    </row>
    <row r="1284" customFormat="false" ht="15" hidden="false" customHeight="false" outlineLevel="0" collapsed="false">
      <c r="A1284" s="8"/>
      <c r="B1284" s="17"/>
      <c r="C1284" s="19"/>
      <c r="D1284" s="8"/>
      <c r="E1284" s="18"/>
      <c r="F1284" s="18"/>
      <c r="G1284" s="8"/>
      <c r="H1284" s="8"/>
      <c r="I1284" s="8"/>
      <c r="J1284" s="8"/>
      <c r="K1284" s="10" t="str">
        <f aca="false">IF(A1284="","",IF(ABS(SUMIFS($E$9:$E$2008,$A$9:$A$2008,A1284)-SUMIFS($F$9:$F$2008,$A$9:$A$2008,A1284))&lt;0.5,"Yes","No"))</f>
        <v/>
      </c>
      <c r="L1284" s="10" t="str">
        <f aca="false">IF(A1284="","",IF(IF(K1284="No","Does not balance | ","")&amp;IF(I1284="","Not approved | ",IF(UPPER(TRIM(H1284))=UPPER(TRIM(I1284)),"Self-approved | ",""))&amp;IF(J1284="","No support | ","")&amp;IF(WEEKDAY(B1284,2)&gt;5,"Weekend posting | ","")&amp;IF(COUNTIF(Settings!$A$14:$A$43,B1284)&gt;0,"Holiday posting | ","")&amp;IF(B1284&gt;Settings!$C$8,"Posted after close | ","")&amp;IF(OR(B1284&lt;Settings!$C$6,B1284&gt;Settings!$C$7),"Outside period | ","")&amp;IF(COUNTIF(Settings!$E$14:$E$43,C1284&amp;"")&gt;0,"Sensitive account | ","")&amp;IF(AND(MAX(N(E1284),N(F1284))&gt;=Settings!$C$9,MOD(MAX(N(E1284),N(F1284)),Settings!$C$10)=0),"Round amount | ","")="","",LEFT(IF(K1284="No","Does not balance | ","")&amp;IF(I1284="","Not approved | ",IF(UPPER(TRIM(H1284))=UPPER(TRIM(I1284)),"Self-approved | ",""))&amp;IF(J1284="","No support | ","")&amp;IF(WEEKDAY(B1284,2)&gt;5,"Weekend posting | ","")&amp;IF(COUNTIF(Settings!$A$14:$A$43,B1284)&gt;0,"Holiday posting | ","")&amp;IF(B1284&gt;Settings!$C$8,"Posted after close | ","")&amp;IF(OR(B1284&lt;Settings!$C$6,B1284&gt;Settings!$C$7),"Outside period | ","")&amp;IF(COUNTIF(Settings!$E$14:$E$43,C1284&amp;"")&gt;0,"Sensitive account | ","")&amp;IF(AND(MAX(N(E1284),N(F1284))&gt;=Settings!$C$9,MOD(MAX(N(E1284),N(F1284)),Settings!$C$10)=0),"Round amount | ",""),LEN(IF(K1284="No","Does not balance | ","")&amp;IF(I1284="","Not approved | ",IF(UPPER(TRIM(H1284))=UPPER(TRIM(I1284)),"Self-approved | ",""))&amp;IF(J1284="","No support | ","")&amp;IF(WEEKDAY(B1284,2)&gt;5,"Weekend posting | ","")&amp;IF(COUNTIF(Settings!$A$14:$A$43,B1284)&gt;0,"Holiday posting | ","")&amp;IF(B1284&gt;Settings!$C$8,"Posted after close | ","")&amp;IF(OR(B1284&lt;Settings!$C$6,B1284&gt;Settings!$C$7),"Outside period | ","")&amp;IF(COUNTIF(Settings!$E$14:$E$43,C1284&amp;"")&gt;0,"Sensitive account | ","")&amp;IF(AND(MAX(N(E1284),N(F1284))&gt;=Settings!$C$9,MOD(MAX(N(E1284),N(F1284)),Settings!$C$10)=0),"Round amount | ",""))-3)))</f>
        <v/>
      </c>
      <c r="M1284" s="21" t="str">
        <f aca="false">IF(A1284="","",IF(COUNTIF($A$9:A1284,A1284)=1,MAX($M$8:M1283)+1,""))</f>
        <v/>
      </c>
    </row>
    <row r="1285" customFormat="false" ht="15" hidden="false" customHeight="false" outlineLevel="0" collapsed="false">
      <c r="A1285" s="8"/>
      <c r="B1285" s="17"/>
      <c r="C1285" s="19"/>
      <c r="D1285" s="8"/>
      <c r="E1285" s="18"/>
      <c r="F1285" s="18"/>
      <c r="G1285" s="8"/>
      <c r="H1285" s="8"/>
      <c r="I1285" s="8"/>
      <c r="J1285" s="8"/>
      <c r="K1285" s="10" t="str">
        <f aca="false">IF(A1285="","",IF(ABS(SUMIFS($E$9:$E$2008,$A$9:$A$2008,A1285)-SUMIFS($F$9:$F$2008,$A$9:$A$2008,A1285))&lt;0.5,"Yes","No"))</f>
        <v/>
      </c>
      <c r="L1285" s="10" t="str">
        <f aca="false">IF(A1285="","",IF(IF(K1285="No","Does not balance | ","")&amp;IF(I1285="","Not approved | ",IF(UPPER(TRIM(H1285))=UPPER(TRIM(I1285)),"Self-approved | ",""))&amp;IF(J1285="","No support | ","")&amp;IF(WEEKDAY(B1285,2)&gt;5,"Weekend posting | ","")&amp;IF(COUNTIF(Settings!$A$14:$A$43,B1285)&gt;0,"Holiday posting | ","")&amp;IF(B1285&gt;Settings!$C$8,"Posted after close | ","")&amp;IF(OR(B1285&lt;Settings!$C$6,B1285&gt;Settings!$C$7),"Outside period | ","")&amp;IF(COUNTIF(Settings!$E$14:$E$43,C1285&amp;"")&gt;0,"Sensitive account | ","")&amp;IF(AND(MAX(N(E1285),N(F1285))&gt;=Settings!$C$9,MOD(MAX(N(E1285),N(F1285)),Settings!$C$10)=0),"Round amount | ","")="","",LEFT(IF(K1285="No","Does not balance | ","")&amp;IF(I1285="","Not approved | ",IF(UPPER(TRIM(H1285))=UPPER(TRIM(I1285)),"Self-approved | ",""))&amp;IF(J1285="","No support | ","")&amp;IF(WEEKDAY(B1285,2)&gt;5,"Weekend posting | ","")&amp;IF(COUNTIF(Settings!$A$14:$A$43,B1285)&gt;0,"Holiday posting | ","")&amp;IF(B1285&gt;Settings!$C$8,"Posted after close | ","")&amp;IF(OR(B1285&lt;Settings!$C$6,B1285&gt;Settings!$C$7),"Outside period | ","")&amp;IF(COUNTIF(Settings!$E$14:$E$43,C1285&amp;"")&gt;0,"Sensitive account | ","")&amp;IF(AND(MAX(N(E1285),N(F1285))&gt;=Settings!$C$9,MOD(MAX(N(E1285),N(F1285)),Settings!$C$10)=0),"Round amount | ",""),LEN(IF(K1285="No","Does not balance | ","")&amp;IF(I1285="","Not approved | ",IF(UPPER(TRIM(H1285))=UPPER(TRIM(I1285)),"Self-approved | ",""))&amp;IF(J1285="","No support | ","")&amp;IF(WEEKDAY(B1285,2)&gt;5,"Weekend posting | ","")&amp;IF(COUNTIF(Settings!$A$14:$A$43,B1285)&gt;0,"Holiday posting | ","")&amp;IF(B1285&gt;Settings!$C$8,"Posted after close | ","")&amp;IF(OR(B1285&lt;Settings!$C$6,B1285&gt;Settings!$C$7),"Outside period | ","")&amp;IF(COUNTIF(Settings!$E$14:$E$43,C1285&amp;"")&gt;0,"Sensitive account | ","")&amp;IF(AND(MAX(N(E1285),N(F1285))&gt;=Settings!$C$9,MOD(MAX(N(E1285),N(F1285)),Settings!$C$10)=0),"Round amount | ",""))-3)))</f>
        <v/>
      </c>
      <c r="M1285" s="21" t="str">
        <f aca="false">IF(A1285="","",IF(COUNTIF($A$9:A1285,A1285)=1,MAX($M$8:M1284)+1,""))</f>
        <v/>
      </c>
    </row>
    <row r="1286" customFormat="false" ht="15" hidden="false" customHeight="false" outlineLevel="0" collapsed="false">
      <c r="A1286" s="8"/>
      <c r="B1286" s="17"/>
      <c r="C1286" s="19"/>
      <c r="D1286" s="8"/>
      <c r="E1286" s="18"/>
      <c r="F1286" s="18"/>
      <c r="G1286" s="8"/>
      <c r="H1286" s="8"/>
      <c r="I1286" s="8"/>
      <c r="J1286" s="8"/>
      <c r="K1286" s="10" t="str">
        <f aca="false">IF(A1286="","",IF(ABS(SUMIFS($E$9:$E$2008,$A$9:$A$2008,A1286)-SUMIFS($F$9:$F$2008,$A$9:$A$2008,A1286))&lt;0.5,"Yes","No"))</f>
        <v/>
      </c>
      <c r="L1286" s="10" t="str">
        <f aca="false">IF(A1286="","",IF(IF(K1286="No","Does not balance | ","")&amp;IF(I1286="","Not approved | ",IF(UPPER(TRIM(H1286))=UPPER(TRIM(I1286)),"Self-approved | ",""))&amp;IF(J1286="","No support | ","")&amp;IF(WEEKDAY(B1286,2)&gt;5,"Weekend posting | ","")&amp;IF(COUNTIF(Settings!$A$14:$A$43,B1286)&gt;0,"Holiday posting | ","")&amp;IF(B1286&gt;Settings!$C$8,"Posted after close | ","")&amp;IF(OR(B1286&lt;Settings!$C$6,B1286&gt;Settings!$C$7),"Outside period | ","")&amp;IF(COUNTIF(Settings!$E$14:$E$43,C1286&amp;"")&gt;0,"Sensitive account | ","")&amp;IF(AND(MAX(N(E1286),N(F1286))&gt;=Settings!$C$9,MOD(MAX(N(E1286),N(F1286)),Settings!$C$10)=0),"Round amount | ","")="","",LEFT(IF(K1286="No","Does not balance | ","")&amp;IF(I1286="","Not approved | ",IF(UPPER(TRIM(H1286))=UPPER(TRIM(I1286)),"Self-approved | ",""))&amp;IF(J1286="","No support | ","")&amp;IF(WEEKDAY(B1286,2)&gt;5,"Weekend posting | ","")&amp;IF(COUNTIF(Settings!$A$14:$A$43,B1286)&gt;0,"Holiday posting | ","")&amp;IF(B1286&gt;Settings!$C$8,"Posted after close | ","")&amp;IF(OR(B1286&lt;Settings!$C$6,B1286&gt;Settings!$C$7),"Outside period | ","")&amp;IF(COUNTIF(Settings!$E$14:$E$43,C1286&amp;"")&gt;0,"Sensitive account | ","")&amp;IF(AND(MAX(N(E1286),N(F1286))&gt;=Settings!$C$9,MOD(MAX(N(E1286),N(F1286)),Settings!$C$10)=0),"Round amount | ",""),LEN(IF(K1286="No","Does not balance | ","")&amp;IF(I1286="","Not approved | ",IF(UPPER(TRIM(H1286))=UPPER(TRIM(I1286)),"Self-approved | ",""))&amp;IF(J1286="","No support | ","")&amp;IF(WEEKDAY(B1286,2)&gt;5,"Weekend posting | ","")&amp;IF(COUNTIF(Settings!$A$14:$A$43,B1286)&gt;0,"Holiday posting | ","")&amp;IF(B1286&gt;Settings!$C$8,"Posted after close | ","")&amp;IF(OR(B1286&lt;Settings!$C$6,B1286&gt;Settings!$C$7),"Outside period | ","")&amp;IF(COUNTIF(Settings!$E$14:$E$43,C1286&amp;"")&gt;0,"Sensitive account | ","")&amp;IF(AND(MAX(N(E1286),N(F1286))&gt;=Settings!$C$9,MOD(MAX(N(E1286),N(F1286)),Settings!$C$10)=0),"Round amount | ",""))-3)))</f>
        <v/>
      </c>
      <c r="M1286" s="21" t="str">
        <f aca="false">IF(A1286="","",IF(COUNTIF($A$9:A1286,A1286)=1,MAX($M$8:M1285)+1,""))</f>
        <v/>
      </c>
    </row>
    <row r="1287" customFormat="false" ht="15" hidden="false" customHeight="false" outlineLevel="0" collapsed="false">
      <c r="A1287" s="8"/>
      <c r="B1287" s="17"/>
      <c r="C1287" s="19"/>
      <c r="D1287" s="8"/>
      <c r="E1287" s="18"/>
      <c r="F1287" s="18"/>
      <c r="G1287" s="8"/>
      <c r="H1287" s="8"/>
      <c r="I1287" s="8"/>
      <c r="J1287" s="8"/>
      <c r="K1287" s="10" t="str">
        <f aca="false">IF(A1287="","",IF(ABS(SUMIFS($E$9:$E$2008,$A$9:$A$2008,A1287)-SUMIFS($F$9:$F$2008,$A$9:$A$2008,A1287))&lt;0.5,"Yes","No"))</f>
        <v/>
      </c>
      <c r="L1287" s="10" t="str">
        <f aca="false">IF(A1287="","",IF(IF(K1287="No","Does not balance | ","")&amp;IF(I1287="","Not approved | ",IF(UPPER(TRIM(H1287))=UPPER(TRIM(I1287)),"Self-approved | ",""))&amp;IF(J1287="","No support | ","")&amp;IF(WEEKDAY(B1287,2)&gt;5,"Weekend posting | ","")&amp;IF(COUNTIF(Settings!$A$14:$A$43,B1287)&gt;0,"Holiday posting | ","")&amp;IF(B1287&gt;Settings!$C$8,"Posted after close | ","")&amp;IF(OR(B1287&lt;Settings!$C$6,B1287&gt;Settings!$C$7),"Outside period | ","")&amp;IF(COUNTIF(Settings!$E$14:$E$43,C1287&amp;"")&gt;0,"Sensitive account | ","")&amp;IF(AND(MAX(N(E1287),N(F1287))&gt;=Settings!$C$9,MOD(MAX(N(E1287),N(F1287)),Settings!$C$10)=0),"Round amount | ","")="","",LEFT(IF(K1287="No","Does not balance | ","")&amp;IF(I1287="","Not approved | ",IF(UPPER(TRIM(H1287))=UPPER(TRIM(I1287)),"Self-approved | ",""))&amp;IF(J1287="","No support | ","")&amp;IF(WEEKDAY(B1287,2)&gt;5,"Weekend posting | ","")&amp;IF(COUNTIF(Settings!$A$14:$A$43,B1287)&gt;0,"Holiday posting | ","")&amp;IF(B1287&gt;Settings!$C$8,"Posted after close | ","")&amp;IF(OR(B1287&lt;Settings!$C$6,B1287&gt;Settings!$C$7),"Outside period | ","")&amp;IF(COUNTIF(Settings!$E$14:$E$43,C1287&amp;"")&gt;0,"Sensitive account | ","")&amp;IF(AND(MAX(N(E1287),N(F1287))&gt;=Settings!$C$9,MOD(MAX(N(E1287),N(F1287)),Settings!$C$10)=0),"Round amount | ",""),LEN(IF(K1287="No","Does not balance | ","")&amp;IF(I1287="","Not approved | ",IF(UPPER(TRIM(H1287))=UPPER(TRIM(I1287)),"Self-approved | ",""))&amp;IF(J1287="","No support | ","")&amp;IF(WEEKDAY(B1287,2)&gt;5,"Weekend posting | ","")&amp;IF(COUNTIF(Settings!$A$14:$A$43,B1287)&gt;0,"Holiday posting | ","")&amp;IF(B1287&gt;Settings!$C$8,"Posted after close | ","")&amp;IF(OR(B1287&lt;Settings!$C$6,B1287&gt;Settings!$C$7),"Outside period | ","")&amp;IF(COUNTIF(Settings!$E$14:$E$43,C1287&amp;"")&gt;0,"Sensitive account | ","")&amp;IF(AND(MAX(N(E1287),N(F1287))&gt;=Settings!$C$9,MOD(MAX(N(E1287),N(F1287)),Settings!$C$10)=0),"Round amount | ",""))-3)))</f>
        <v/>
      </c>
      <c r="M1287" s="21" t="str">
        <f aca="false">IF(A1287="","",IF(COUNTIF($A$9:A1287,A1287)=1,MAX($M$8:M1286)+1,""))</f>
        <v/>
      </c>
    </row>
    <row r="1288" customFormat="false" ht="15" hidden="false" customHeight="false" outlineLevel="0" collapsed="false">
      <c r="A1288" s="8"/>
      <c r="B1288" s="17"/>
      <c r="C1288" s="19"/>
      <c r="D1288" s="8"/>
      <c r="E1288" s="18"/>
      <c r="F1288" s="18"/>
      <c r="G1288" s="8"/>
      <c r="H1288" s="8"/>
      <c r="I1288" s="8"/>
      <c r="J1288" s="8"/>
      <c r="K1288" s="10" t="str">
        <f aca="false">IF(A1288="","",IF(ABS(SUMIFS($E$9:$E$2008,$A$9:$A$2008,A1288)-SUMIFS($F$9:$F$2008,$A$9:$A$2008,A1288))&lt;0.5,"Yes","No"))</f>
        <v/>
      </c>
      <c r="L1288" s="10" t="str">
        <f aca="false">IF(A1288="","",IF(IF(K1288="No","Does not balance | ","")&amp;IF(I1288="","Not approved | ",IF(UPPER(TRIM(H1288))=UPPER(TRIM(I1288)),"Self-approved | ",""))&amp;IF(J1288="","No support | ","")&amp;IF(WEEKDAY(B1288,2)&gt;5,"Weekend posting | ","")&amp;IF(COUNTIF(Settings!$A$14:$A$43,B1288)&gt;0,"Holiday posting | ","")&amp;IF(B1288&gt;Settings!$C$8,"Posted after close | ","")&amp;IF(OR(B1288&lt;Settings!$C$6,B1288&gt;Settings!$C$7),"Outside period | ","")&amp;IF(COUNTIF(Settings!$E$14:$E$43,C1288&amp;"")&gt;0,"Sensitive account | ","")&amp;IF(AND(MAX(N(E1288),N(F1288))&gt;=Settings!$C$9,MOD(MAX(N(E1288),N(F1288)),Settings!$C$10)=0),"Round amount | ","")="","",LEFT(IF(K1288="No","Does not balance | ","")&amp;IF(I1288="","Not approved | ",IF(UPPER(TRIM(H1288))=UPPER(TRIM(I1288)),"Self-approved | ",""))&amp;IF(J1288="","No support | ","")&amp;IF(WEEKDAY(B1288,2)&gt;5,"Weekend posting | ","")&amp;IF(COUNTIF(Settings!$A$14:$A$43,B1288)&gt;0,"Holiday posting | ","")&amp;IF(B1288&gt;Settings!$C$8,"Posted after close | ","")&amp;IF(OR(B1288&lt;Settings!$C$6,B1288&gt;Settings!$C$7),"Outside period | ","")&amp;IF(COUNTIF(Settings!$E$14:$E$43,C1288&amp;"")&gt;0,"Sensitive account | ","")&amp;IF(AND(MAX(N(E1288),N(F1288))&gt;=Settings!$C$9,MOD(MAX(N(E1288),N(F1288)),Settings!$C$10)=0),"Round amount | ",""),LEN(IF(K1288="No","Does not balance | ","")&amp;IF(I1288="","Not approved | ",IF(UPPER(TRIM(H1288))=UPPER(TRIM(I1288)),"Self-approved | ",""))&amp;IF(J1288="","No support | ","")&amp;IF(WEEKDAY(B1288,2)&gt;5,"Weekend posting | ","")&amp;IF(COUNTIF(Settings!$A$14:$A$43,B1288)&gt;0,"Holiday posting | ","")&amp;IF(B1288&gt;Settings!$C$8,"Posted after close | ","")&amp;IF(OR(B1288&lt;Settings!$C$6,B1288&gt;Settings!$C$7),"Outside period | ","")&amp;IF(COUNTIF(Settings!$E$14:$E$43,C1288&amp;"")&gt;0,"Sensitive account | ","")&amp;IF(AND(MAX(N(E1288),N(F1288))&gt;=Settings!$C$9,MOD(MAX(N(E1288),N(F1288)),Settings!$C$10)=0),"Round amount | ",""))-3)))</f>
        <v/>
      </c>
      <c r="M1288" s="21" t="str">
        <f aca="false">IF(A1288="","",IF(COUNTIF($A$9:A1288,A1288)=1,MAX($M$8:M1287)+1,""))</f>
        <v/>
      </c>
    </row>
    <row r="1289" customFormat="false" ht="15" hidden="false" customHeight="false" outlineLevel="0" collapsed="false">
      <c r="A1289" s="8"/>
      <c r="B1289" s="17"/>
      <c r="C1289" s="19"/>
      <c r="D1289" s="8"/>
      <c r="E1289" s="18"/>
      <c r="F1289" s="18"/>
      <c r="G1289" s="8"/>
      <c r="H1289" s="8"/>
      <c r="I1289" s="8"/>
      <c r="J1289" s="8"/>
      <c r="K1289" s="10" t="str">
        <f aca="false">IF(A1289="","",IF(ABS(SUMIFS($E$9:$E$2008,$A$9:$A$2008,A1289)-SUMIFS($F$9:$F$2008,$A$9:$A$2008,A1289))&lt;0.5,"Yes","No"))</f>
        <v/>
      </c>
      <c r="L1289" s="10" t="str">
        <f aca="false">IF(A1289="","",IF(IF(K1289="No","Does not balance | ","")&amp;IF(I1289="","Not approved | ",IF(UPPER(TRIM(H1289))=UPPER(TRIM(I1289)),"Self-approved | ",""))&amp;IF(J1289="","No support | ","")&amp;IF(WEEKDAY(B1289,2)&gt;5,"Weekend posting | ","")&amp;IF(COUNTIF(Settings!$A$14:$A$43,B1289)&gt;0,"Holiday posting | ","")&amp;IF(B1289&gt;Settings!$C$8,"Posted after close | ","")&amp;IF(OR(B1289&lt;Settings!$C$6,B1289&gt;Settings!$C$7),"Outside period | ","")&amp;IF(COUNTIF(Settings!$E$14:$E$43,C1289&amp;"")&gt;0,"Sensitive account | ","")&amp;IF(AND(MAX(N(E1289),N(F1289))&gt;=Settings!$C$9,MOD(MAX(N(E1289),N(F1289)),Settings!$C$10)=0),"Round amount | ","")="","",LEFT(IF(K1289="No","Does not balance | ","")&amp;IF(I1289="","Not approved | ",IF(UPPER(TRIM(H1289))=UPPER(TRIM(I1289)),"Self-approved | ",""))&amp;IF(J1289="","No support | ","")&amp;IF(WEEKDAY(B1289,2)&gt;5,"Weekend posting | ","")&amp;IF(COUNTIF(Settings!$A$14:$A$43,B1289)&gt;0,"Holiday posting | ","")&amp;IF(B1289&gt;Settings!$C$8,"Posted after close | ","")&amp;IF(OR(B1289&lt;Settings!$C$6,B1289&gt;Settings!$C$7),"Outside period | ","")&amp;IF(COUNTIF(Settings!$E$14:$E$43,C1289&amp;"")&gt;0,"Sensitive account | ","")&amp;IF(AND(MAX(N(E1289),N(F1289))&gt;=Settings!$C$9,MOD(MAX(N(E1289),N(F1289)),Settings!$C$10)=0),"Round amount | ",""),LEN(IF(K1289="No","Does not balance | ","")&amp;IF(I1289="","Not approved | ",IF(UPPER(TRIM(H1289))=UPPER(TRIM(I1289)),"Self-approved | ",""))&amp;IF(J1289="","No support | ","")&amp;IF(WEEKDAY(B1289,2)&gt;5,"Weekend posting | ","")&amp;IF(COUNTIF(Settings!$A$14:$A$43,B1289)&gt;0,"Holiday posting | ","")&amp;IF(B1289&gt;Settings!$C$8,"Posted after close | ","")&amp;IF(OR(B1289&lt;Settings!$C$6,B1289&gt;Settings!$C$7),"Outside period | ","")&amp;IF(COUNTIF(Settings!$E$14:$E$43,C1289&amp;"")&gt;0,"Sensitive account | ","")&amp;IF(AND(MAX(N(E1289),N(F1289))&gt;=Settings!$C$9,MOD(MAX(N(E1289),N(F1289)),Settings!$C$10)=0),"Round amount | ",""))-3)))</f>
        <v/>
      </c>
      <c r="M1289" s="21" t="str">
        <f aca="false">IF(A1289="","",IF(COUNTIF($A$9:A1289,A1289)=1,MAX($M$8:M1288)+1,""))</f>
        <v/>
      </c>
    </row>
    <row r="1290" customFormat="false" ht="15" hidden="false" customHeight="false" outlineLevel="0" collapsed="false">
      <c r="A1290" s="8"/>
      <c r="B1290" s="17"/>
      <c r="C1290" s="19"/>
      <c r="D1290" s="8"/>
      <c r="E1290" s="18"/>
      <c r="F1290" s="18"/>
      <c r="G1290" s="8"/>
      <c r="H1290" s="8"/>
      <c r="I1290" s="8"/>
      <c r="J1290" s="8"/>
      <c r="K1290" s="10" t="str">
        <f aca="false">IF(A1290="","",IF(ABS(SUMIFS($E$9:$E$2008,$A$9:$A$2008,A1290)-SUMIFS($F$9:$F$2008,$A$9:$A$2008,A1290))&lt;0.5,"Yes","No"))</f>
        <v/>
      </c>
      <c r="L1290" s="10" t="str">
        <f aca="false">IF(A1290="","",IF(IF(K1290="No","Does not balance | ","")&amp;IF(I1290="","Not approved | ",IF(UPPER(TRIM(H1290))=UPPER(TRIM(I1290)),"Self-approved | ",""))&amp;IF(J1290="","No support | ","")&amp;IF(WEEKDAY(B1290,2)&gt;5,"Weekend posting | ","")&amp;IF(COUNTIF(Settings!$A$14:$A$43,B1290)&gt;0,"Holiday posting | ","")&amp;IF(B1290&gt;Settings!$C$8,"Posted after close | ","")&amp;IF(OR(B1290&lt;Settings!$C$6,B1290&gt;Settings!$C$7),"Outside period | ","")&amp;IF(COUNTIF(Settings!$E$14:$E$43,C1290&amp;"")&gt;0,"Sensitive account | ","")&amp;IF(AND(MAX(N(E1290),N(F1290))&gt;=Settings!$C$9,MOD(MAX(N(E1290),N(F1290)),Settings!$C$10)=0),"Round amount | ","")="","",LEFT(IF(K1290="No","Does not balance | ","")&amp;IF(I1290="","Not approved | ",IF(UPPER(TRIM(H1290))=UPPER(TRIM(I1290)),"Self-approved | ",""))&amp;IF(J1290="","No support | ","")&amp;IF(WEEKDAY(B1290,2)&gt;5,"Weekend posting | ","")&amp;IF(COUNTIF(Settings!$A$14:$A$43,B1290)&gt;0,"Holiday posting | ","")&amp;IF(B1290&gt;Settings!$C$8,"Posted after close | ","")&amp;IF(OR(B1290&lt;Settings!$C$6,B1290&gt;Settings!$C$7),"Outside period | ","")&amp;IF(COUNTIF(Settings!$E$14:$E$43,C1290&amp;"")&gt;0,"Sensitive account | ","")&amp;IF(AND(MAX(N(E1290),N(F1290))&gt;=Settings!$C$9,MOD(MAX(N(E1290),N(F1290)),Settings!$C$10)=0),"Round amount | ",""),LEN(IF(K1290="No","Does not balance | ","")&amp;IF(I1290="","Not approved | ",IF(UPPER(TRIM(H1290))=UPPER(TRIM(I1290)),"Self-approved | ",""))&amp;IF(J1290="","No support | ","")&amp;IF(WEEKDAY(B1290,2)&gt;5,"Weekend posting | ","")&amp;IF(COUNTIF(Settings!$A$14:$A$43,B1290)&gt;0,"Holiday posting | ","")&amp;IF(B1290&gt;Settings!$C$8,"Posted after close | ","")&amp;IF(OR(B1290&lt;Settings!$C$6,B1290&gt;Settings!$C$7),"Outside period | ","")&amp;IF(COUNTIF(Settings!$E$14:$E$43,C1290&amp;"")&gt;0,"Sensitive account | ","")&amp;IF(AND(MAX(N(E1290),N(F1290))&gt;=Settings!$C$9,MOD(MAX(N(E1290),N(F1290)),Settings!$C$10)=0),"Round amount | ",""))-3)))</f>
        <v/>
      </c>
      <c r="M1290" s="21" t="str">
        <f aca="false">IF(A1290="","",IF(COUNTIF($A$9:A1290,A1290)=1,MAX($M$8:M1289)+1,""))</f>
        <v/>
      </c>
    </row>
    <row r="1291" customFormat="false" ht="15" hidden="false" customHeight="false" outlineLevel="0" collapsed="false">
      <c r="A1291" s="8"/>
      <c r="B1291" s="17"/>
      <c r="C1291" s="19"/>
      <c r="D1291" s="8"/>
      <c r="E1291" s="18"/>
      <c r="F1291" s="18"/>
      <c r="G1291" s="8"/>
      <c r="H1291" s="8"/>
      <c r="I1291" s="8"/>
      <c r="J1291" s="8"/>
      <c r="K1291" s="10" t="str">
        <f aca="false">IF(A1291="","",IF(ABS(SUMIFS($E$9:$E$2008,$A$9:$A$2008,A1291)-SUMIFS($F$9:$F$2008,$A$9:$A$2008,A1291))&lt;0.5,"Yes","No"))</f>
        <v/>
      </c>
      <c r="L1291" s="10" t="str">
        <f aca="false">IF(A1291="","",IF(IF(K1291="No","Does not balance | ","")&amp;IF(I1291="","Not approved | ",IF(UPPER(TRIM(H1291))=UPPER(TRIM(I1291)),"Self-approved | ",""))&amp;IF(J1291="","No support | ","")&amp;IF(WEEKDAY(B1291,2)&gt;5,"Weekend posting | ","")&amp;IF(COUNTIF(Settings!$A$14:$A$43,B1291)&gt;0,"Holiday posting | ","")&amp;IF(B1291&gt;Settings!$C$8,"Posted after close | ","")&amp;IF(OR(B1291&lt;Settings!$C$6,B1291&gt;Settings!$C$7),"Outside period | ","")&amp;IF(COUNTIF(Settings!$E$14:$E$43,C1291&amp;"")&gt;0,"Sensitive account | ","")&amp;IF(AND(MAX(N(E1291),N(F1291))&gt;=Settings!$C$9,MOD(MAX(N(E1291),N(F1291)),Settings!$C$10)=0),"Round amount | ","")="","",LEFT(IF(K1291="No","Does not balance | ","")&amp;IF(I1291="","Not approved | ",IF(UPPER(TRIM(H1291))=UPPER(TRIM(I1291)),"Self-approved | ",""))&amp;IF(J1291="","No support | ","")&amp;IF(WEEKDAY(B1291,2)&gt;5,"Weekend posting | ","")&amp;IF(COUNTIF(Settings!$A$14:$A$43,B1291)&gt;0,"Holiday posting | ","")&amp;IF(B1291&gt;Settings!$C$8,"Posted after close | ","")&amp;IF(OR(B1291&lt;Settings!$C$6,B1291&gt;Settings!$C$7),"Outside period | ","")&amp;IF(COUNTIF(Settings!$E$14:$E$43,C1291&amp;"")&gt;0,"Sensitive account | ","")&amp;IF(AND(MAX(N(E1291),N(F1291))&gt;=Settings!$C$9,MOD(MAX(N(E1291),N(F1291)),Settings!$C$10)=0),"Round amount | ",""),LEN(IF(K1291="No","Does not balance | ","")&amp;IF(I1291="","Not approved | ",IF(UPPER(TRIM(H1291))=UPPER(TRIM(I1291)),"Self-approved | ",""))&amp;IF(J1291="","No support | ","")&amp;IF(WEEKDAY(B1291,2)&gt;5,"Weekend posting | ","")&amp;IF(COUNTIF(Settings!$A$14:$A$43,B1291)&gt;0,"Holiday posting | ","")&amp;IF(B1291&gt;Settings!$C$8,"Posted after close | ","")&amp;IF(OR(B1291&lt;Settings!$C$6,B1291&gt;Settings!$C$7),"Outside period | ","")&amp;IF(COUNTIF(Settings!$E$14:$E$43,C1291&amp;"")&gt;0,"Sensitive account | ","")&amp;IF(AND(MAX(N(E1291),N(F1291))&gt;=Settings!$C$9,MOD(MAX(N(E1291),N(F1291)),Settings!$C$10)=0),"Round amount | ",""))-3)))</f>
        <v/>
      </c>
      <c r="M1291" s="21" t="str">
        <f aca="false">IF(A1291="","",IF(COUNTIF($A$9:A1291,A1291)=1,MAX($M$8:M1290)+1,""))</f>
        <v/>
      </c>
    </row>
    <row r="1292" customFormat="false" ht="15" hidden="false" customHeight="false" outlineLevel="0" collapsed="false">
      <c r="A1292" s="8"/>
      <c r="B1292" s="17"/>
      <c r="C1292" s="19"/>
      <c r="D1292" s="8"/>
      <c r="E1292" s="18"/>
      <c r="F1292" s="18"/>
      <c r="G1292" s="8"/>
      <c r="H1292" s="8"/>
      <c r="I1292" s="8"/>
      <c r="J1292" s="8"/>
      <c r="K1292" s="10" t="str">
        <f aca="false">IF(A1292="","",IF(ABS(SUMIFS($E$9:$E$2008,$A$9:$A$2008,A1292)-SUMIFS($F$9:$F$2008,$A$9:$A$2008,A1292))&lt;0.5,"Yes","No"))</f>
        <v/>
      </c>
      <c r="L1292" s="10" t="str">
        <f aca="false">IF(A1292="","",IF(IF(K1292="No","Does not balance | ","")&amp;IF(I1292="","Not approved | ",IF(UPPER(TRIM(H1292))=UPPER(TRIM(I1292)),"Self-approved | ",""))&amp;IF(J1292="","No support | ","")&amp;IF(WEEKDAY(B1292,2)&gt;5,"Weekend posting | ","")&amp;IF(COUNTIF(Settings!$A$14:$A$43,B1292)&gt;0,"Holiday posting | ","")&amp;IF(B1292&gt;Settings!$C$8,"Posted after close | ","")&amp;IF(OR(B1292&lt;Settings!$C$6,B1292&gt;Settings!$C$7),"Outside period | ","")&amp;IF(COUNTIF(Settings!$E$14:$E$43,C1292&amp;"")&gt;0,"Sensitive account | ","")&amp;IF(AND(MAX(N(E1292),N(F1292))&gt;=Settings!$C$9,MOD(MAX(N(E1292),N(F1292)),Settings!$C$10)=0),"Round amount | ","")="","",LEFT(IF(K1292="No","Does not balance | ","")&amp;IF(I1292="","Not approved | ",IF(UPPER(TRIM(H1292))=UPPER(TRIM(I1292)),"Self-approved | ",""))&amp;IF(J1292="","No support | ","")&amp;IF(WEEKDAY(B1292,2)&gt;5,"Weekend posting | ","")&amp;IF(COUNTIF(Settings!$A$14:$A$43,B1292)&gt;0,"Holiday posting | ","")&amp;IF(B1292&gt;Settings!$C$8,"Posted after close | ","")&amp;IF(OR(B1292&lt;Settings!$C$6,B1292&gt;Settings!$C$7),"Outside period | ","")&amp;IF(COUNTIF(Settings!$E$14:$E$43,C1292&amp;"")&gt;0,"Sensitive account | ","")&amp;IF(AND(MAX(N(E1292),N(F1292))&gt;=Settings!$C$9,MOD(MAX(N(E1292),N(F1292)),Settings!$C$10)=0),"Round amount | ",""),LEN(IF(K1292="No","Does not balance | ","")&amp;IF(I1292="","Not approved | ",IF(UPPER(TRIM(H1292))=UPPER(TRIM(I1292)),"Self-approved | ",""))&amp;IF(J1292="","No support | ","")&amp;IF(WEEKDAY(B1292,2)&gt;5,"Weekend posting | ","")&amp;IF(COUNTIF(Settings!$A$14:$A$43,B1292)&gt;0,"Holiday posting | ","")&amp;IF(B1292&gt;Settings!$C$8,"Posted after close | ","")&amp;IF(OR(B1292&lt;Settings!$C$6,B1292&gt;Settings!$C$7),"Outside period | ","")&amp;IF(COUNTIF(Settings!$E$14:$E$43,C1292&amp;"")&gt;0,"Sensitive account | ","")&amp;IF(AND(MAX(N(E1292),N(F1292))&gt;=Settings!$C$9,MOD(MAX(N(E1292),N(F1292)),Settings!$C$10)=0),"Round amount | ",""))-3)))</f>
        <v/>
      </c>
      <c r="M1292" s="21" t="str">
        <f aca="false">IF(A1292="","",IF(COUNTIF($A$9:A1292,A1292)=1,MAX($M$8:M1291)+1,""))</f>
        <v/>
      </c>
    </row>
    <row r="1293" customFormat="false" ht="15" hidden="false" customHeight="false" outlineLevel="0" collapsed="false">
      <c r="A1293" s="8"/>
      <c r="B1293" s="17"/>
      <c r="C1293" s="19"/>
      <c r="D1293" s="8"/>
      <c r="E1293" s="18"/>
      <c r="F1293" s="18"/>
      <c r="G1293" s="8"/>
      <c r="H1293" s="8"/>
      <c r="I1293" s="8"/>
      <c r="J1293" s="8"/>
      <c r="K1293" s="10" t="str">
        <f aca="false">IF(A1293="","",IF(ABS(SUMIFS($E$9:$E$2008,$A$9:$A$2008,A1293)-SUMIFS($F$9:$F$2008,$A$9:$A$2008,A1293))&lt;0.5,"Yes","No"))</f>
        <v/>
      </c>
      <c r="L1293" s="10" t="str">
        <f aca="false">IF(A1293="","",IF(IF(K1293="No","Does not balance | ","")&amp;IF(I1293="","Not approved | ",IF(UPPER(TRIM(H1293))=UPPER(TRIM(I1293)),"Self-approved | ",""))&amp;IF(J1293="","No support | ","")&amp;IF(WEEKDAY(B1293,2)&gt;5,"Weekend posting | ","")&amp;IF(COUNTIF(Settings!$A$14:$A$43,B1293)&gt;0,"Holiday posting | ","")&amp;IF(B1293&gt;Settings!$C$8,"Posted after close | ","")&amp;IF(OR(B1293&lt;Settings!$C$6,B1293&gt;Settings!$C$7),"Outside period | ","")&amp;IF(COUNTIF(Settings!$E$14:$E$43,C1293&amp;"")&gt;0,"Sensitive account | ","")&amp;IF(AND(MAX(N(E1293),N(F1293))&gt;=Settings!$C$9,MOD(MAX(N(E1293),N(F1293)),Settings!$C$10)=0),"Round amount | ","")="","",LEFT(IF(K1293="No","Does not balance | ","")&amp;IF(I1293="","Not approved | ",IF(UPPER(TRIM(H1293))=UPPER(TRIM(I1293)),"Self-approved | ",""))&amp;IF(J1293="","No support | ","")&amp;IF(WEEKDAY(B1293,2)&gt;5,"Weekend posting | ","")&amp;IF(COUNTIF(Settings!$A$14:$A$43,B1293)&gt;0,"Holiday posting | ","")&amp;IF(B1293&gt;Settings!$C$8,"Posted after close | ","")&amp;IF(OR(B1293&lt;Settings!$C$6,B1293&gt;Settings!$C$7),"Outside period | ","")&amp;IF(COUNTIF(Settings!$E$14:$E$43,C1293&amp;"")&gt;0,"Sensitive account | ","")&amp;IF(AND(MAX(N(E1293),N(F1293))&gt;=Settings!$C$9,MOD(MAX(N(E1293),N(F1293)),Settings!$C$10)=0),"Round amount | ",""),LEN(IF(K1293="No","Does not balance | ","")&amp;IF(I1293="","Not approved | ",IF(UPPER(TRIM(H1293))=UPPER(TRIM(I1293)),"Self-approved | ",""))&amp;IF(J1293="","No support | ","")&amp;IF(WEEKDAY(B1293,2)&gt;5,"Weekend posting | ","")&amp;IF(COUNTIF(Settings!$A$14:$A$43,B1293)&gt;0,"Holiday posting | ","")&amp;IF(B1293&gt;Settings!$C$8,"Posted after close | ","")&amp;IF(OR(B1293&lt;Settings!$C$6,B1293&gt;Settings!$C$7),"Outside period | ","")&amp;IF(COUNTIF(Settings!$E$14:$E$43,C1293&amp;"")&gt;0,"Sensitive account | ","")&amp;IF(AND(MAX(N(E1293),N(F1293))&gt;=Settings!$C$9,MOD(MAX(N(E1293),N(F1293)),Settings!$C$10)=0),"Round amount | ",""))-3)))</f>
        <v/>
      </c>
      <c r="M1293" s="21" t="str">
        <f aca="false">IF(A1293="","",IF(COUNTIF($A$9:A1293,A1293)=1,MAX($M$8:M1292)+1,""))</f>
        <v/>
      </c>
    </row>
    <row r="1294" customFormat="false" ht="15" hidden="false" customHeight="false" outlineLevel="0" collapsed="false">
      <c r="A1294" s="8"/>
      <c r="B1294" s="17"/>
      <c r="C1294" s="19"/>
      <c r="D1294" s="8"/>
      <c r="E1294" s="18"/>
      <c r="F1294" s="18"/>
      <c r="G1294" s="8"/>
      <c r="H1294" s="8"/>
      <c r="I1294" s="8"/>
      <c r="J1294" s="8"/>
      <c r="K1294" s="10" t="str">
        <f aca="false">IF(A1294="","",IF(ABS(SUMIFS($E$9:$E$2008,$A$9:$A$2008,A1294)-SUMIFS($F$9:$F$2008,$A$9:$A$2008,A1294))&lt;0.5,"Yes","No"))</f>
        <v/>
      </c>
      <c r="L1294" s="10" t="str">
        <f aca="false">IF(A1294="","",IF(IF(K1294="No","Does not balance | ","")&amp;IF(I1294="","Not approved | ",IF(UPPER(TRIM(H1294))=UPPER(TRIM(I1294)),"Self-approved | ",""))&amp;IF(J1294="","No support | ","")&amp;IF(WEEKDAY(B1294,2)&gt;5,"Weekend posting | ","")&amp;IF(COUNTIF(Settings!$A$14:$A$43,B1294)&gt;0,"Holiday posting | ","")&amp;IF(B1294&gt;Settings!$C$8,"Posted after close | ","")&amp;IF(OR(B1294&lt;Settings!$C$6,B1294&gt;Settings!$C$7),"Outside period | ","")&amp;IF(COUNTIF(Settings!$E$14:$E$43,C1294&amp;"")&gt;0,"Sensitive account | ","")&amp;IF(AND(MAX(N(E1294),N(F1294))&gt;=Settings!$C$9,MOD(MAX(N(E1294),N(F1294)),Settings!$C$10)=0),"Round amount | ","")="","",LEFT(IF(K1294="No","Does not balance | ","")&amp;IF(I1294="","Not approved | ",IF(UPPER(TRIM(H1294))=UPPER(TRIM(I1294)),"Self-approved | ",""))&amp;IF(J1294="","No support | ","")&amp;IF(WEEKDAY(B1294,2)&gt;5,"Weekend posting | ","")&amp;IF(COUNTIF(Settings!$A$14:$A$43,B1294)&gt;0,"Holiday posting | ","")&amp;IF(B1294&gt;Settings!$C$8,"Posted after close | ","")&amp;IF(OR(B1294&lt;Settings!$C$6,B1294&gt;Settings!$C$7),"Outside period | ","")&amp;IF(COUNTIF(Settings!$E$14:$E$43,C1294&amp;"")&gt;0,"Sensitive account | ","")&amp;IF(AND(MAX(N(E1294),N(F1294))&gt;=Settings!$C$9,MOD(MAX(N(E1294),N(F1294)),Settings!$C$10)=0),"Round amount | ",""),LEN(IF(K1294="No","Does not balance | ","")&amp;IF(I1294="","Not approved | ",IF(UPPER(TRIM(H1294))=UPPER(TRIM(I1294)),"Self-approved | ",""))&amp;IF(J1294="","No support | ","")&amp;IF(WEEKDAY(B1294,2)&gt;5,"Weekend posting | ","")&amp;IF(COUNTIF(Settings!$A$14:$A$43,B1294)&gt;0,"Holiday posting | ","")&amp;IF(B1294&gt;Settings!$C$8,"Posted after close | ","")&amp;IF(OR(B1294&lt;Settings!$C$6,B1294&gt;Settings!$C$7),"Outside period | ","")&amp;IF(COUNTIF(Settings!$E$14:$E$43,C1294&amp;"")&gt;0,"Sensitive account | ","")&amp;IF(AND(MAX(N(E1294),N(F1294))&gt;=Settings!$C$9,MOD(MAX(N(E1294),N(F1294)),Settings!$C$10)=0),"Round amount | ",""))-3)))</f>
        <v/>
      </c>
      <c r="M1294" s="21" t="str">
        <f aca="false">IF(A1294="","",IF(COUNTIF($A$9:A1294,A1294)=1,MAX($M$8:M1293)+1,""))</f>
        <v/>
      </c>
    </row>
    <row r="1295" customFormat="false" ht="15" hidden="false" customHeight="false" outlineLevel="0" collapsed="false">
      <c r="A1295" s="8"/>
      <c r="B1295" s="17"/>
      <c r="C1295" s="19"/>
      <c r="D1295" s="8"/>
      <c r="E1295" s="18"/>
      <c r="F1295" s="18"/>
      <c r="G1295" s="8"/>
      <c r="H1295" s="8"/>
      <c r="I1295" s="8"/>
      <c r="J1295" s="8"/>
      <c r="K1295" s="10" t="str">
        <f aca="false">IF(A1295="","",IF(ABS(SUMIFS($E$9:$E$2008,$A$9:$A$2008,A1295)-SUMIFS($F$9:$F$2008,$A$9:$A$2008,A1295))&lt;0.5,"Yes","No"))</f>
        <v/>
      </c>
      <c r="L1295" s="10" t="str">
        <f aca="false">IF(A1295="","",IF(IF(K1295="No","Does not balance | ","")&amp;IF(I1295="","Not approved | ",IF(UPPER(TRIM(H1295))=UPPER(TRIM(I1295)),"Self-approved | ",""))&amp;IF(J1295="","No support | ","")&amp;IF(WEEKDAY(B1295,2)&gt;5,"Weekend posting | ","")&amp;IF(COUNTIF(Settings!$A$14:$A$43,B1295)&gt;0,"Holiday posting | ","")&amp;IF(B1295&gt;Settings!$C$8,"Posted after close | ","")&amp;IF(OR(B1295&lt;Settings!$C$6,B1295&gt;Settings!$C$7),"Outside period | ","")&amp;IF(COUNTIF(Settings!$E$14:$E$43,C1295&amp;"")&gt;0,"Sensitive account | ","")&amp;IF(AND(MAX(N(E1295),N(F1295))&gt;=Settings!$C$9,MOD(MAX(N(E1295),N(F1295)),Settings!$C$10)=0),"Round amount | ","")="","",LEFT(IF(K1295="No","Does not balance | ","")&amp;IF(I1295="","Not approved | ",IF(UPPER(TRIM(H1295))=UPPER(TRIM(I1295)),"Self-approved | ",""))&amp;IF(J1295="","No support | ","")&amp;IF(WEEKDAY(B1295,2)&gt;5,"Weekend posting | ","")&amp;IF(COUNTIF(Settings!$A$14:$A$43,B1295)&gt;0,"Holiday posting | ","")&amp;IF(B1295&gt;Settings!$C$8,"Posted after close | ","")&amp;IF(OR(B1295&lt;Settings!$C$6,B1295&gt;Settings!$C$7),"Outside period | ","")&amp;IF(COUNTIF(Settings!$E$14:$E$43,C1295&amp;"")&gt;0,"Sensitive account | ","")&amp;IF(AND(MAX(N(E1295),N(F1295))&gt;=Settings!$C$9,MOD(MAX(N(E1295),N(F1295)),Settings!$C$10)=0),"Round amount | ",""),LEN(IF(K1295="No","Does not balance | ","")&amp;IF(I1295="","Not approved | ",IF(UPPER(TRIM(H1295))=UPPER(TRIM(I1295)),"Self-approved | ",""))&amp;IF(J1295="","No support | ","")&amp;IF(WEEKDAY(B1295,2)&gt;5,"Weekend posting | ","")&amp;IF(COUNTIF(Settings!$A$14:$A$43,B1295)&gt;0,"Holiday posting | ","")&amp;IF(B1295&gt;Settings!$C$8,"Posted after close | ","")&amp;IF(OR(B1295&lt;Settings!$C$6,B1295&gt;Settings!$C$7),"Outside period | ","")&amp;IF(COUNTIF(Settings!$E$14:$E$43,C1295&amp;"")&gt;0,"Sensitive account | ","")&amp;IF(AND(MAX(N(E1295),N(F1295))&gt;=Settings!$C$9,MOD(MAX(N(E1295),N(F1295)),Settings!$C$10)=0),"Round amount | ",""))-3)))</f>
        <v/>
      </c>
      <c r="M1295" s="21" t="str">
        <f aca="false">IF(A1295="","",IF(COUNTIF($A$9:A1295,A1295)=1,MAX($M$8:M1294)+1,""))</f>
        <v/>
      </c>
    </row>
    <row r="1296" customFormat="false" ht="15" hidden="false" customHeight="false" outlineLevel="0" collapsed="false">
      <c r="A1296" s="8"/>
      <c r="B1296" s="17"/>
      <c r="C1296" s="19"/>
      <c r="D1296" s="8"/>
      <c r="E1296" s="18"/>
      <c r="F1296" s="18"/>
      <c r="G1296" s="8"/>
      <c r="H1296" s="8"/>
      <c r="I1296" s="8"/>
      <c r="J1296" s="8"/>
      <c r="K1296" s="10" t="str">
        <f aca="false">IF(A1296="","",IF(ABS(SUMIFS($E$9:$E$2008,$A$9:$A$2008,A1296)-SUMIFS($F$9:$F$2008,$A$9:$A$2008,A1296))&lt;0.5,"Yes","No"))</f>
        <v/>
      </c>
      <c r="L1296" s="10" t="str">
        <f aca="false">IF(A1296="","",IF(IF(K1296="No","Does not balance | ","")&amp;IF(I1296="","Not approved | ",IF(UPPER(TRIM(H1296))=UPPER(TRIM(I1296)),"Self-approved | ",""))&amp;IF(J1296="","No support | ","")&amp;IF(WEEKDAY(B1296,2)&gt;5,"Weekend posting | ","")&amp;IF(COUNTIF(Settings!$A$14:$A$43,B1296)&gt;0,"Holiday posting | ","")&amp;IF(B1296&gt;Settings!$C$8,"Posted after close | ","")&amp;IF(OR(B1296&lt;Settings!$C$6,B1296&gt;Settings!$C$7),"Outside period | ","")&amp;IF(COUNTIF(Settings!$E$14:$E$43,C1296&amp;"")&gt;0,"Sensitive account | ","")&amp;IF(AND(MAX(N(E1296),N(F1296))&gt;=Settings!$C$9,MOD(MAX(N(E1296),N(F1296)),Settings!$C$10)=0),"Round amount | ","")="","",LEFT(IF(K1296="No","Does not balance | ","")&amp;IF(I1296="","Not approved | ",IF(UPPER(TRIM(H1296))=UPPER(TRIM(I1296)),"Self-approved | ",""))&amp;IF(J1296="","No support | ","")&amp;IF(WEEKDAY(B1296,2)&gt;5,"Weekend posting | ","")&amp;IF(COUNTIF(Settings!$A$14:$A$43,B1296)&gt;0,"Holiday posting | ","")&amp;IF(B1296&gt;Settings!$C$8,"Posted after close | ","")&amp;IF(OR(B1296&lt;Settings!$C$6,B1296&gt;Settings!$C$7),"Outside period | ","")&amp;IF(COUNTIF(Settings!$E$14:$E$43,C1296&amp;"")&gt;0,"Sensitive account | ","")&amp;IF(AND(MAX(N(E1296),N(F1296))&gt;=Settings!$C$9,MOD(MAX(N(E1296),N(F1296)),Settings!$C$10)=0),"Round amount | ",""),LEN(IF(K1296="No","Does not balance | ","")&amp;IF(I1296="","Not approved | ",IF(UPPER(TRIM(H1296))=UPPER(TRIM(I1296)),"Self-approved | ",""))&amp;IF(J1296="","No support | ","")&amp;IF(WEEKDAY(B1296,2)&gt;5,"Weekend posting | ","")&amp;IF(COUNTIF(Settings!$A$14:$A$43,B1296)&gt;0,"Holiday posting | ","")&amp;IF(B1296&gt;Settings!$C$8,"Posted after close | ","")&amp;IF(OR(B1296&lt;Settings!$C$6,B1296&gt;Settings!$C$7),"Outside period | ","")&amp;IF(COUNTIF(Settings!$E$14:$E$43,C1296&amp;"")&gt;0,"Sensitive account | ","")&amp;IF(AND(MAX(N(E1296),N(F1296))&gt;=Settings!$C$9,MOD(MAX(N(E1296),N(F1296)),Settings!$C$10)=0),"Round amount | ",""))-3)))</f>
        <v/>
      </c>
      <c r="M1296" s="21" t="str">
        <f aca="false">IF(A1296="","",IF(COUNTIF($A$9:A1296,A1296)=1,MAX($M$8:M1295)+1,""))</f>
        <v/>
      </c>
    </row>
    <row r="1297" customFormat="false" ht="15" hidden="false" customHeight="false" outlineLevel="0" collapsed="false">
      <c r="A1297" s="8"/>
      <c r="B1297" s="17"/>
      <c r="C1297" s="19"/>
      <c r="D1297" s="8"/>
      <c r="E1297" s="18"/>
      <c r="F1297" s="18"/>
      <c r="G1297" s="8"/>
      <c r="H1297" s="8"/>
      <c r="I1297" s="8"/>
      <c r="J1297" s="8"/>
      <c r="K1297" s="10" t="str">
        <f aca="false">IF(A1297="","",IF(ABS(SUMIFS($E$9:$E$2008,$A$9:$A$2008,A1297)-SUMIFS($F$9:$F$2008,$A$9:$A$2008,A1297))&lt;0.5,"Yes","No"))</f>
        <v/>
      </c>
      <c r="L1297" s="10" t="str">
        <f aca="false">IF(A1297="","",IF(IF(K1297="No","Does not balance | ","")&amp;IF(I1297="","Not approved | ",IF(UPPER(TRIM(H1297))=UPPER(TRIM(I1297)),"Self-approved | ",""))&amp;IF(J1297="","No support | ","")&amp;IF(WEEKDAY(B1297,2)&gt;5,"Weekend posting | ","")&amp;IF(COUNTIF(Settings!$A$14:$A$43,B1297)&gt;0,"Holiday posting | ","")&amp;IF(B1297&gt;Settings!$C$8,"Posted after close | ","")&amp;IF(OR(B1297&lt;Settings!$C$6,B1297&gt;Settings!$C$7),"Outside period | ","")&amp;IF(COUNTIF(Settings!$E$14:$E$43,C1297&amp;"")&gt;0,"Sensitive account | ","")&amp;IF(AND(MAX(N(E1297),N(F1297))&gt;=Settings!$C$9,MOD(MAX(N(E1297),N(F1297)),Settings!$C$10)=0),"Round amount | ","")="","",LEFT(IF(K1297="No","Does not balance | ","")&amp;IF(I1297="","Not approved | ",IF(UPPER(TRIM(H1297))=UPPER(TRIM(I1297)),"Self-approved | ",""))&amp;IF(J1297="","No support | ","")&amp;IF(WEEKDAY(B1297,2)&gt;5,"Weekend posting | ","")&amp;IF(COUNTIF(Settings!$A$14:$A$43,B1297)&gt;0,"Holiday posting | ","")&amp;IF(B1297&gt;Settings!$C$8,"Posted after close | ","")&amp;IF(OR(B1297&lt;Settings!$C$6,B1297&gt;Settings!$C$7),"Outside period | ","")&amp;IF(COUNTIF(Settings!$E$14:$E$43,C1297&amp;"")&gt;0,"Sensitive account | ","")&amp;IF(AND(MAX(N(E1297),N(F1297))&gt;=Settings!$C$9,MOD(MAX(N(E1297),N(F1297)),Settings!$C$10)=0),"Round amount | ",""),LEN(IF(K1297="No","Does not balance | ","")&amp;IF(I1297="","Not approved | ",IF(UPPER(TRIM(H1297))=UPPER(TRIM(I1297)),"Self-approved | ",""))&amp;IF(J1297="","No support | ","")&amp;IF(WEEKDAY(B1297,2)&gt;5,"Weekend posting | ","")&amp;IF(COUNTIF(Settings!$A$14:$A$43,B1297)&gt;0,"Holiday posting | ","")&amp;IF(B1297&gt;Settings!$C$8,"Posted after close | ","")&amp;IF(OR(B1297&lt;Settings!$C$6,B1297&gt;Settings!$C$7),"Outside period | ","")&amp;IF(COUNTIF(Settings!$E$14:$E$43,C1297&amp;"")&gt;0,"Sensitive account | ","")&amp;IF(AND(MAX(N(E1297),N(F1297))&gt;=Settings!$C$9,MOD(MAX(N(E1297),N(F1297)),Settings!$C$10)=0),"Round amount | ",""))-3)))</f>
        <v/>
      </c>
      <c r="M1297" s="21" t="str">
        <f aca="false">IF(A1297="","",IF(COUNTIF($A$9:A1297,A1297)=1,MAX($M$8:M1296)+1,""))</f>
        <v/>
      </c>
    </row>
    <row r="1298" customFormat="false" ht="15" hidden="false" customHeight="false" outlineLevel="0" collapsed="false">
      <c r="A1298" s="8"/>
      <c r="B1298" s="17"/>
      <c r="C1298" s="19"/>
      <c r="D1298" s="8"/>
      <c r="E1298" s="18"/>
      <c r="F1298" s="18"/>
      <c r="G1298" s="8"/>
      <c r="H1298" s="8"/>
      <c r="I1298" s="8"/>
      <c r="J1298" s="8"/>
      <c r="K1298" s="10" t="str">
        <f aca="false">IF(A1298="","",IF(ABS(SUMIFS($E$9:$E$2008,$A$9:$A$2008,A1298)-SUMIFS($F$9:$F$2008,$A$9:$A$2008,A1298))&lt;0.5,"Yes","No"))</f>
        <v/>
      </c>
      <c r="L1298" s="10" t="str">
        <f aca="false">IF(A1298="","",IF(IF(K1298="No","Does not balance | ","")&amp;IF(I1298="","Not approved | ",IF(UPPER(TRIM(H1298))=UPPER(TRIM(I1298)),"Self-approved | ",""))&amp;IF(J1298="","No support | ","")&amp;IF(WEEKDAY(B1298,2)&gt;5,"Weekend posting | ","")&amp;IF(COUNTIF(Settings!$A$14:$A$43,B1298)&gt;0,"Holiday posting | ","")&amp;IF(B1298&gt;Settings!$C$8,"Posted after close | ","")&amp;IF(OR(B1298&lt;Settings!$C$6,B1298&gt;Settings!$C$7),"Outside period | ","")&amp;IF(COUNTIF(Settings!$E$14:$E$43,C1298&amp;"")&gt;0,"Sensitive account | ","")&amp;IF(AND(MAX(N(E1298),N(F1298))&gt;=Settings!$C$9,MOD(MAX(N(E1298),N(F1298)),Settings!$C$10)=0),"Round amount | ","")="","",LEFT(IF(K1298="No","Does not balance | ","")&amp;IF(I1298="","Not approved | ",IF(UPPER(TRIM(H1298))=UPPER(TRIM(I1298)),"Self-approved | ",""))&amp;IF(J1298="","No support | ","")&amp;IF(WEEKDAY(B1298,2)&gt;5,"Weekend posting | ","")&amp;IF(COUNTIF(Settings!$A$14:$A$43,B1298)&gt;0,"Holiday posting | ","")&amp;IF(B1298&gt;Settings!$C$8,"Posted after close | ","")&amp;IF(OR(B1298&lt;Settings!$C$6,B1298&gt;Settings!$C$7),"Outside period | ","")&amp;IF(COUNTIF(Settings!$E$14:$E$43,C1298&amp;"")&gt;0,"Sensitive account | ","")&amp;IF(AND(MAX(N(E1298),N(F1298))&gt;=Settings!$C$9,MOD(MAX(N(E1298),N(F1298)),Settings!$C$10)=0),"Round amount | ",""),LEN(IF(K1298="No","Does not balance | ","")&amp;IF(I1298="","Not approved | ",IF(UPPER(TRIM(H1298))=UPPER(TRIM(I1298)),"Self-approved | ",""))&amp;IF(J1298="","No support | ","")&amp;IF(WEEKDAY(B1298,2)&gt;5,"Weekend posting | ","")&amp;IF(COUNTIF(Settings!$A$14:$A$43,B1298)&gt;0,"Holiday posting | ","")&amp;IF(B1298&gt;Settings!$C$8,"Posted after close | ","")&amp;IF(OR(B1298&lt;Settings!$C$6,B1298&gt;Settings!$C$7),"Outside period | ","")&amp;IF(COUNTIF(Settings!$E$14:$E$43,C1298&amp;"")&gt;0,"Sensitive account | ","")&amp;IF(AND(MAX(N(E1298),N(F1298))&gt;=Settings!$C$9,MOD(MAX(N(E1298),N(F1298)),Settings!$C$10)=0),"Round amount | ",""))-3)))</f>
        <v/>
      </c>
      <c r="M1298" s="21" t="str">
        <f aca="false">IF(A1298="","",IF(COUNTIF($A$9:A1298,A1298)=1,MAX($M$8:M1297)+1,""))</f>
        <v/>
      </c>
    </row>
    <row r="1299" customFormat="false" ht="15" hidden="false" customHeight="false" outlineLevel="0" collapsed="false">
      <c r="A1299" s="8"/>
      <c r="B1299" s="17"/>
      <c r="C1299" s="19"/>
      <c r="D1299" s="8"/>
      <c r="E1299" s="18"/>
      <c r="F1299" s="18"/>
      <c r="G1299" s="8"/>
      <c r="H1299" s="8"/>
      <c r="I1299" s="8"/>
      <c r="J1299" s="8"/>
      <c r="K1299" s="10" t="str">
        <f aca="false">IF(A1299="","",IF(ABS(SUMIFS($E$9:$E$2008,$A$9:$A$2008,A1299)-SUMIFS($F$9:$F$2008,$A$9:$A$2008,A1299))&lt;0.5,"Yes","No"))</f>
        <v/>
      </c>
      <c r="L1299" s="10" t="str">
        <f aca="false">IF(A1299="","",IF(IF(K1299="No","Does not balance | ","")&amp;IF(I1299="","Not approved | ",IF(UPPER(TRIM(H1299))=UPPER(TRIM(I1299)),"Self-approved | ",""))&amp;IF(J1299="","No support | ","")&amp;IF(WEEKDAY(B1299,2)&gt;5,"Weekend posting | ","")&amp;IF(COUNTIF(Settings!$A$14:$A$43,B1299)&gt;0,"Holiday posting | ","")&amp;IF(B1299&gt;Settings!$C$8,"Posted after close | ","")&amp;IF(OR(B1299&lt;Settings!$C$6,B1299&gt;Settings!$C$7),"Outside period | ","")&amp;IF(COUNTIF(Settings!$E$14:$E$43,C1299&amp;"")&gt;0,"Sensitive account | ","")&amp;IF(AND(MAX(N(E1299),N(F1299))&gt;=Settings!$C$9,MOD(MAX(N(E1299),N(F1299)),Settings!$C$10)=0),"Round amount | ","")="","",LEFT(IF(K1299="No","Does not balance | ","")&amp;IF(I1299="","Not approved | ",IF(UPPER(TRIM(H1299))=UPPER(TRIM(I1299)),"Self-approved | ",""))&amp;IF(J1299="","No support | ","")&amp;IF(WEEKDAY(B1299,2)&gt;5,"Weekend posting | ","")&amp;IF(COUNTIF(Settings!$A$14:$A$43,B1299)&gt;0,"Holiday posting | ","")&amp;IF(B1299&gt;Settings!$C$8,"Posted after close | ","")&amp;IF(OR(B1299&lt;Settings!$C$6,B1299&gt;Settings!$C$7),"Outside period | ","")&amp;IF(COUNTIF(Settings!$E$14:$E$43,C1299&amp;"")&gt;0,"Sensitive account | ","")&amp;IF(AND(MAX(N(E1299),N(F1299))&gt;=Settings!$C$9,MOD(MAX(N(E1299),N(F1299)),Settings!$C$10)=0),"Round amount | ",""),LEN(IF(K1299="No","Does not balance | ","")&amp;IF(I1299="","Not approved | ",IF(UPPER(TRIM(H1299))=UPPER(TRIM(I1299)),"Self-approved | ",""))&amp;IF(J1299="","No support | ","")&amp;IF(WEEKDAY(B1299,2)&gt;5,"Weekend posting | ","")&amp;IF(COUNTIF(Settings!$A$14:$A$43,B1299)&gt;0,"Holiday posting | ","")&amp;IF(B1299&gt;Settings!$C$8,"Posted after close | ","")&amp;IF(OR(B1299&lt;Settings!$C$6,B1299&gt;Settings!$C$7),"Outside period | ","")&amp;IF(COUNTIF(Settings!$E$14:$E$43,C1299&amp;"")&gt;0,"Sensitive account | ","")&amp;IF(AND(MAX(N(E1299),N(F1299))&gt;=Settings!$C$9,MOD(MAX(N(E1299),N(F1299)),Settings!$C$10)=0),"Round amount | ",""))-3)))</f>
        <v/>
      </c>
      <c r="M1299" s="21" t="str">
        <f aca="false">IF(A1299="","",IF(COUNTIF($A$9:A1299,A1299)=1,MAX($M$8:M1298)+1,""))</f>
        <v/>
      </c>
    </row>
    <row r="1300" customFormat="false" ht="15" hidden="false" customHeight="false" outlineLevel="0" collapsed="false">
      <c r="A1300" s="8"/>
      <c r="B1300" s="17"/>
      <c r="C1300" s="19"/>
      <c r="D1300" s="8"/>
      <c r="E1300" s="18"/>
      <c r="F1300" s="18"/>
      <c r="G1300" s="8"/>
      <c r="H1300" s="8"/>
      <c r="I1300" s="8"/>
      <c r="J1300" s="8"/>
      <c r="K1300" s="10" t="str">
        <f aca="false">IF(A1300="","",IF(ABS(SUMIFS($E$9:$E$2008,$A$9:$A$2008,A1300)-SUMIFS($F$9:$F$2008,$A$9:$A$2008,A1300))&lt;0.5,"Yes","No"))</f>
        <v/>
      </c>
      <c r="L1300" s="10" t="str">
        <f aca="false">IF(A1300="","",IF(IF(K1300="No","Does not balance | ","")&amp;IF(I1300="","Not approved | ",IF(UPPER(TRIM(H1300))=UPPER(TRIM(I1300)),"Self-approved | ",""))&amp;IF(J1300="","No support | ","")&amp;IF(WEEKDAY(B1300,2)&gt;5,"Weekend posting | ","")&amp;IF(COUNTIF(Settings!$A$14:$A$43,B1300)&gt;0,"Holiday posting | ","")&amp;IF(B1300&gt;Settings!$C$8,"Posted after close | ","")&amp;IF(OR(B1300&lt;Settings!$C$6,B1300&gt;Settings!$C$7),"Outside period | ","")&amp;IF(COUNTIF(Settings!$E$14:$E$43,C1300&amp;"")&gt;0,"Sensitive account | ","")&amp;IF(AND(MAX(N(E1300),N(F1300))&gt;=Settings!$C$9,MOD(MAX(N(E1300),N(F1300)),Settings!$C$10)=0),"Round amount | ","")="","",LEFT(IF(K1300="No","Does not balance | ","")&amp;IF(I1300="","Not approved | ",IF(UPPER(TRIM(H1300))=UPPER(TRIM(I1300)),"Self-approved | ",""))&amp;IF(J1300="","No support | ","")&amp;IF(WEEKDAY(B1300,2)&gt;5,"Weekend posting | ","")&amp;IF(COUNTIF(Settings!$A$14:$A$43,B1300)&gt;0,"Holiday posting | ","")&amp;IF(B1300&gt;Settings!$C$8,"Posted after close | ","")&amp;IF(OR(B1300&lt;Settings!$C$6,B1300&gt;Settings!$C$7),"Outside period | ","")&amp;IF(COUNTIF(Settings!$E$14:$E$43,C1300&amp;"")&gt;0,"Sensitive account | ","")&amp;IF(AND(MAX(N(E1300),N(F1300))&gt;=Settings!$C$9,MOD(MAX(N(E1300),N(F1300)),Settings!$C$10)=0),"Round amount | ",""),LEN(IF(K1300="No","Does not balance | ","")&amp;IF(I1300="","Not approved | ",IF(UPPER(TRIM(H1300))=UPPER(TRIM(I1300)),"Self-approved | ",""))&amp;IF(J1300="","No support | ","")&amp;IF(WEEKDAY(B1300,2)&gt;5,"Weekend posting | ","")&amp;IF(COUNTIF(Settings!$A$14:$A$43,B1300)&gt;0,"Holiday posting | ","")&amp;IF(B1300&gt;Settings!$C$8,"Posted after close | ","")&amp;IF(OR(B1300&lt;Settings!$C$6,B1300&gt;Settings!$C$7),"Outside period | ","")&amp;IF(COUNTIF(Settings!$E$14:$E$43,C1300&amp;"")&gt;0,"Sensitive account | ","")&amp;IF(AND(MAX(N(E1300),N(F1300))&gt;=Settings!$C$9,MOD(MAX(N(E1300),N(F1300)),Settings!$C$10)=0),"Round amount | ",""))-3)))</f>
        <v/>
      </c>
      <c r="M1300" s="21" t="str">
        <f aca="false">IF(A1300="","",IF(COUNTIF($A$9:A1300,A1300)=1,MAX($M$8:M1299)+1,""))</f>
        <v/>
      </c>
    </row>
    <row r="1301" customFormat="false" ht="15" hidden="false" customHeight="false" outlineLevel="0" collapsed="false">
      <c r="A1301" s="8"/>
      <c r="B1301" s="17"/>
      <c r="C1301" s="19"/>
      <c r="D1301" s="8"/>
      <c r="E1301" s="18"/>
      <c r="F1301" s="18"/>
      <c r="G1301" s="8"/>
      <c r="H1301" s="8"/>
      <c r="I1301" s="8"/>
      <c r="J1301" s="8"/>
      <c r="K1301" s="10" t="str">
        <f aca="false">IF(A1301="","",IF(ABS(SUMIFS($E$9:$E$2008,$A$9:$A$2008,A1301)-SUMIFS($F$9:$F$2008,$A$9:$A$2008,A1301))&lt;0.5,"Yes","No"))</f>
        <v/>
      </c>
      <c r="L1301" s="10" t="str">
        <f aca="false">IF(A1301="","",IF(IF(K1301="No","Does not balance | ","")&amp;IF(I1301="","Not approved | ",IF(UPPER(TRIM(H1301))=UPPER(TRIM(I1301)),"Self-approved | ",""))&amp;IF(J1301="","No support | ","")&amp;IF(WEEKDAY(B1301,2)&gt;5,"Weekend posting | ","")&amp;IF(COUNTIF(Settings!$A$14:$A$43,B1301)&gt;0,"Holiday posting | ","")&amp;IF(B1301&gt;Settings!$C$8,"Posted after close | ","")&amp;IF(OR(B1301&lt;Settings!$C$6,B1301&gt;Settings!$C$7),"Outside period | ","")&amp;IF(COUNTIF(Settings!$E$14:$E$43,C1301&amp;"")&gt;0,"Sensitive account | ","")&amp;IF(AND(MAX(N(E1301),N(F1301))&gt;=Settings!$C$9,MOD(MAX(N(E1301),N(F1301)),Settings!$C$10)=0),"Round amount | ","")="","",LEFT(IF(K1301="No","Does not balance | ","")&amp;IF(I1301="","Not approved | ",IF(UPPER(TRIM(H1301))=UPPER(TRIM(I1301)),"Self-approved | ",""))&amp;IF(J1301="","No support | ","")&amp;IF(WEEKDAY(B1301,2)&gt;5,"Weekend posting | ","")&amp;IF(COUNTIF(Settings!$A$14:$A$43,B1301)&gt;0,"Holiday posting | ","")&amp;IF(B1301&gt;Settings!$C$8,"Posted after close | ","")&amp;IF(OR(B1301&lt;Settings!$C$6,B1301&gt;Settings!$C$7),"Outside period | ","")&amp;IF(COUNTIF(Settings!$E$14:$E$43,C1301&amp;"")&gt;0,"Sensitive account | ","")&amp;IF(AND(MAX(N(E1301),N(F1301))&gt;=Settings!$C$9,MOD(MAX(N(E1301),N(F1301)),Settings!$C$10)=0),"Round amount | ",""),LEN(IF(K1301="No","Does not balance | ","")&amp;IF(I1301="","Not approved | ",IF(UPPER(TRIM(H1301))=UPPER(TRIM(I1301)),"Self-approved | ",""))&amp;IF(J1301="","No support | ","")&amp;IF(WEEKDAY(B1301,2)&gt;5,"Weekend posting | ","")&amp;IF(COUNTIF(Settings!$A$14:$A$43,B1301)&gt;0,"Holiday posting | ","")&amp;IF(B1301&gt;Settings!$C$8,"Posted after close | ","")&amp;IF(OR(B1301&lt;Settings!$C$6,B1301&gt;Settings!$C$7),"Outside period | ","")&amp;IF(COUNTIF(Settings!$E$14:$E$43,C1301&amp;"")&gt;0,"Sensitive account | ","")&amp;IF(AND(MAX(N(E1301),N(F1301))&gt;=Settings!$C$9,MOD(MAX(N(E1301),N(F1301)),Settings!$C$10)=0),"Round amount | ",""))-3)))</f>
        <v/>
      </c>
      <c r="M1301" s="21" t="str">
        <f aca="false">IF(A1301="","",IF(COUNTIF($A$9:A1301,A1301)=1,MAX($M$8:M1300)+1,""))</f>
        <v/>
      </c>
    </row>
    <row r="1302" customFormat="false" ht="15" hidden="false" customHeight="false" outlineLevel="0" collapsed="false">
      <c r="A1302" s="8"/>
      <c r="B1302" s="17"/>
      <c r="C1302" s="19"/>
      <c r="D1302" s="8"/>
      <c r="E1302" s="18"/>
      <c r="F1302" s="18"/>
      <c r="G1302" s="8"/>
      <c r="H1302" s="8"/>
      <c r="I1302" s="8"/>
      <c r="J1302" s="8"/>
      <c r="K1302" s="10" t="str">
        <f aca="false">IF(A1302="","",IF(ABS(SUMIFS($E$9:$E$2008,$A$9:$A$2008,A1302)-SUMIFS($F$9:$F$2008,$A$9:$A$2008,A1302))&lt;0.5,"Yes","No"))</f>
        <v/>
      </c>
      <c r="L1302" s="10" t="str">
        <f aca="false">IF(A1302="","",IF(IF(K1302="No","Does not balance | ","")&amp;IF(I1302="","Not approved | ",IF(UPPER(TRIM(H1302))=UPPER(TRIM(I1302)),"Self-approved | ",""))&amp;IF(J1302="","No support | ","")&amp;IF(WEEKDAY(B1302,2)&gt;5,"Weekend posting | ","")&amp;IF(COUNTIF(Settings!$A$14:$A$43,B1302)&gt;0,"Holiday posting | ","")&amp;IF(B1302&gt;Settings!$C$8,"Posted after close | ","")&amp;IF(OR(B1302&lt;Settings!$C$6,B1302&gt;Settings!$C$7),"Outside period | ","")&amp;IF(COUNTIF(Settings!$E$14:$E$43,C1302&amp;"")&gt;0,"Sensitive account | ","")&amp;IF(AND(MAX(N(E1302),N(F1302))&gt;=Settings!$C$9,MOD(MAX(N(E1302),N(F1302)),Settings!$C$10)=0),"Round amount | ","")="","",LEFT(IF(K1302="No","Does not balance | ","")&amp;IF(I1302="","Not approved | ",IF(UPPER(TRIM(H1302))=UPPER(TRIM(I1302)),"Self-approved | ",""))&amp;IF(J1302="","No support | ","")&amp;IF(WEEKDAY(B1302,2)&gt;5,"Weekend posting | ","")&amp;IF(COUNTIF(Settings!$A$14:$A$43,B1302)&gt;0,"Holiday posting | ","")&amp;IF(B1302&gt;Settings!$C$8,"Posted after close | ","")&amp;IF(OR(B1302&lt;Settings!$C$6,B1302&gt;Settings!$C$7),"Outside period | ","")&amp;IF(COUNTIF(Settings!$E$14:$E$43,C1302&amp;"")&gt;0,"Sensitive account | ","")&amp;IF(AND(MAX(N(E1302),N(F1302))&gt;=Settings!$C$9,MOD(MAX(N(E1302),N(F1302)),Settings!$C$10)=0),"Round amount | ",""),LEN(IF(K1302="No","Does not balance | ","")&amp;IF(I1302="","Not approved | ",IF(UPPER(TRIM(H1302))=UPPER(TRIM(I1302)),"Self-approved | ",""))&amp;IF(J1302="","No support | ","")&amp;IF(WEEKDAY(B1302,2)&gt;5,"Weekend posting | ","")&amp;IF(COUNTIF(Settings!$A$14:$A$43,B1302)&gt;0,"Holiday posting | ","")&amp;IF(B1302&gt;Settings!$C$8,"Posted after close | ","")&amp;IF(OR(B1302&lt;Settings!$C$6,B1302&gt;Settings!$C$7),"Outside period | ","")&amp;IF(COUNTIF(Settings!$E$14:$E$43,C1302&amp;"")&gt;0,"Sensitive account | ","")&amp;IF(AND(MAX(N(E1302),N(F1302))&gt;=Settings!$C$9,MOD(MAX(N(E1302),N(F1302)),Settings!$C$10)=0),"Round amount | ",""))-3)))</f>
        <v/>
      </c>
      <c r="M1302" s="21" t="str">
        <f aca="false">IF(A1302="","",IF(COUNTIF($A$9:A1302,A1302)=1,MAX($M$8:M1301)+1,""))</f>
        <v/>
      </c>
    </row>
    <row r="1303" customFormat="false" ht="15" hidden="false" customHeight="false" outlineLevel="0" collapsed="false">
      <c r="A1303" s="8"/>
      <c r="B1303" s="17"/>
      <c r="C1303" s="19"/>
      <c r="D1303" s="8"/>
      <c r="E1303" s="18"/>
      <c r="F1303" s="18"/>
      <c r="G1303" s="8"/>
      <c r="H1303" s="8"/>
      <c r="I1303" s="8"/>
      <c r="J1303" s="8"/>
      <c r="K1303" s="10" t="str">
        <f aca="false">IF(A1303="","",IF(ABS(SUMIFS($E$9:$E$2008,$A$9:$A$2008,A1303)-SUMIFS($F$9:$F$2008,$A$9:$A$2008,A1303))&lt;0.5,"Yes","No"))</f>
        <v/>
      </c>
      <c r="L1303" s="10" t="str">
        <f aca="false">IF(A1303="","",IF(IF(K1303="No","Does not balance | ","")&amp;IF(I1303="","Not approved | ",IF(UPPER(TRIM(H1303))=UPPER(TRIM(I1303)),"Self-approved | ",""))&amp;IF(J1303="","No support | ","")&amp;IF(WEEKDAY(B1303,2)&gt;5,"Weekend posting | ","")&amp;IF(COUNTIF(Settings!$A$14:$A$43,B1303)&gt;0,"Holiday posting | ","")&amp;IF(B1303&gt;Settings!$C$8,"Posted after close | ","")&amp;IF(OR(B1303&lt;Settings!$C$6,B1303&gt;Settings!$C$7),"Outside period | ","")&amp;IF(COUNTIF(Settings!$E$14:$E$43,C1303&amp;"")&gt;0,"Sensitive account | ","")&amp;IF(AND(MAX(N(E1303),N(F1303))&gt;=Settings!$C$9,MOD(MAX(N(E1303),N(F1303)),Settings!$C$10)=0),"Round amount | ","")="","",LEFT(IF(K1303="No","Does not balance | ","")&amp;IF(I1303="","Not approved | ",IF(UPPER(TRIM(H1303))=UPPER(TRIM(I1303)),"Self-approved | ",""))&amp;IF(J1303="","No support | ","")&amp;IF(WEEKDAY(B1303,2)&gt;5,"Weekend posting | ","")&amp;IF(COUNTIF(Settings!$A$14:$A$43,B1303)&gt;0,"Holiday posting | ","")&amp;IF(B1303&gt;Settings!$C$8,"Posted after close | ","")&amp;IF(OR(B1303&lt;Settings!$C$6,B1303&gt;Settings!$C$7),"Outside period | ","")&amp;IF(COUNTIF(Settings!$E$14:$E$43,C1303&amp;"")&gt;0,"Sensitive account | ","")&amp;IF(AND(MAX(N(E1303),N(F1303))&gt;=Settings!$C$9,MOD(MAX(N(E1303),N(F1303)),Settings!$C$10)=0),"Round amount | ",""),LEN(IF(K1303="No","Does not balance | ","")&amp;IF(I1303="","Not approved | ",IF(UPPER(TRIM(H1303))=UPPER(TRIM(I1303)),"Self-approved | ",""))&amp;IF(J1303="","No support | ","")&amp;IF(WEEKDAY(B1303,2)&gt;5,"Weekend posting | ","")&amp;IF(COUNTIF(Settings!$A$14:$A$43,B1303)&gt;0,"Holiday posting | ","")&amp;IF(B1303&gt;Settings!$C$8,"Posted after close | ","")&amp;IF(OR(B1303&lt;Settings!$C$6,B1303&gt;Settings!$C$7),"Outside period | ","")&amp;IF(COUNTIF(Settings!$E$14:$E$43,C1303&amp;"")&gt;0,"Sensitive account | ","")&amp;IF(AND(MAX(N(E1303),N(F1303))&gt;=Settings!$C$9,MOD(MAX(N(E1303),N(F1303)),Settings!$C$10)=0),"Round amount | ",""))-3)))</f>
        <v/>
      </c>
      <c r="M1303" s="21" t="str">
        <f aca="false">IF(A1303="","",IF(COUNTIF($A$9:A1303,A1303)=1,MAX($M$8:M1302)+1,""))</f>
        <v/>
      </c>
    </row>
    <row r="1304" customFormat="false" ht="15" hidden="false" customHeight="false" outlineLevel="0" collapsed="false">
      <c r="A1304" s="8"/>
      <c r="B1304" s="17"/>
      <c r="C1304" s="19"/>
      <c r="D1304" s="8"/>
      <c r="E1304" s="18"/>
      <c r="F1304" s="18"/>
      <c r="G1304" s="8"/>
      <c r="H1304" s="8"/>
      <c r="I1304" s="8"/>
      <c r="J1304" s="8"/>
      <c r="K1304" s="10" t="str">
        <f aca="false">IF(A1304="","",IF(ABS(SUMIFS($E$9:$E$2008,$A$9:$A$2008,A1304)-SUMIFS($F$9:$F$2008,$A$9:$A$2008,A1304))&lt;0.5,"Yes","No"))</f>
        <v/>
      </c>
      <c r="L1304" s="10" t="str">
        <f aca="false">IF(A1304="","",IF(IF(K1304="No","Does not balance | ","")&amp;IF(I1304="","Not approved | ",IF(UPPER(TRIM(H1304))=UPPER(TRIM(I1304)),"Self-approved | ",""))&amp;IF(J1304="","No support | ","")&amp;IF(WEEKDAY(B1304,2)&gt;5,"Weekend posting | ","")&amp;IF(COUNTIF(Settings!$A$14:$A$43,B1304)&gt;0,"Holiday posting | ","")&amp;IF(B1304&gt;Settings!$C$8,"Posted after close | ","")&amp;IF(OR(B1304&lt;Settings!$C$6,B1304&gt;Settings!$C$7),"Outside period | ","")&amp;IF(COUNTIF(Settings!$E$14:$E$43,C1304&amp;"")&gt;0,"Sensitive account | ","")&amp;IF(AND(MAX(N(E1304),N(F1304))&gt;=Settings!$C$9,MOD(MAX(N(E1304),N(F1304)),Settings!$C$10)=0),"Round amount | ","")="","",LEFT(IF(K1304="No","Does not balance | ","")&amp;IF(I1304="","Not approved | ",IF(UPPER(TRIM(H1304))=UPPER(TRIM(I1304)),"Self-approved | ",""))&amp;IF(J1304="","No support | ","")&amp;IF(WEEKDAY(B1304,2)&gt;5,"Weekend posting | ","")&amp;IF(COUNTIF(Settings!$A$14:$A$43,B1304)&gt;0,"Holiday posting | ","")&amp;IF(B1304&gt;Settings!$C$8,"Posted after close | ","")&amp;IF(OR(B1304&lt;Settings!$C$6,B1304&gt;Settings!$C$7),"Outside period | ","")&amp;IF(COUNTIF(Settings!$E$14:$E$43,C1304&amp;"")&gt;0,"Sensitive account | ","")&amp;IF(AND(MAX(N(E1304),N(F1304))&gt;=Settings!$C$9,MOD(MAX(N(E1304),N(F1304)),Settings!$C$10)=0),"Round amount | ",""),LEN(IF(K1304="No","Does not balance | ","")&amp;IF(I1304="","Not approved | ",IF(UPPER(TRIM(H1304))=UPPER(TRIM(I1304)),"Self-approved | ",""))&amp;IF(J1304="","No support | ","")&amp;IF(WEEKDAY(B1304,2)&gt;5,"Weekend posting | ","")&amp;IF(COUNTIF(Settings!$A$14:$A$43,B1304)&gt;0,"Holiday posting | ","")&amp;IF(B1304&gt;Settings!$C$8,"Posted after close | ","")&amp;IF(OR(B1304&lt;Settings!$C$6,B1304&gt;Settings!$C$7),"Outside period | ","")&amp;IF(COUNTIF(Settings!$E$14:$E$43,C1304&amp;"")&gt;0,"Sensitive account | ","")&amp;IF(AND(MAX(N(E1304),N(F1304))&gt;=Settings!$C$9,MOD(MAX(N(E1304),N(F1304)),Settings!$C$10)=0),"Round amount | ",""))-3)))</f>
        <v/>
      </c>
      <c r="M1304" s="21" t="str">
        <f aca="false">IF(A1304="","",IF(COUNTIF($A$9:A1304,A1304)=1,MAX($M$8:M1303)+1,""))</f>
        <v/>
      </c>
    </row>
    <row r="1305" customFormat="false" ht="15" hidden="false" customHeight="false" outlineLevel="0" collapsed="false">
      <c r="A1305" s="8"/>
      <c r="B1305" s="17"/>
      <c r="C1305" s="19"/>
      <c r="D1305" s="8"/>
      <c r="E1305" s="18"/>
      <c r="F1305" s="18"/>
      <c r="G1305" s="8"/>
      <c r="H1305" s="8"/>
      <c r="I1305" s="8"/>
      <c r="J1305" s="8"/>
      <c r="K1305" s="10" t="str">
        <f aca="false">IF(A1305="","",IF(ABS(SUMIFS($E$9:$E$2008,$A$9:$A$2008,A1305)-SUMIFS($F$9:$F$2008,$A$9:$A$2008,A1305))&lt;0.5,"Yes","No"))</f>
        <v/>
      </c>
      <c r="L1305" s="10" t="str">
        <f aca="false">IF(A1305="","",IF(IF(K1305="No","Does not balance | ","")&amp;IF(I1305="","Not approved | ",IF(UPPER(TRIM(H1305))=UPPER(TRIM(I1305)),"Self-approved | ",""))&amp;IF(J1305="","No support | ","")&amp;IF(WEEKDAY(B1305,2)&gt;5,"Weekend posting | ","")&amp;IF(COUNTIF(Settings!$A$14:$A$43,B1305)&gt;0,"Holiday posting | ","")&amp;IF(B1305&gt;Settings!$C$8,"Posted after close | ","")&amp;IF(OR(B1305&lt;Settings!$C$6,B1305&gt;Settings!$C$7),"Outside period | ","")&amp;IF(COUNTIF(Settings!$E$14:$E$43,C1305&amp;"")&gt;0,"Sensitive account | ","")&amp;IF(AND(MAX(N(E1305),N(F1305))&gt;=Settings!$C$9,MOD(MAX(N(E1305),N(F1305)),Settings!$C$10)=0),"Round amount | ","")="","",LEFT(IF(K1305="No","Does not balance | ","")&amp;IF(I1305="","Not approved | ",IF(UPPER(TRIM(H1305))=UPPER(TRIM(I1305)),"Self-approved | ",""))&amp;IF(J1305="","No support | ","")&amp;IF(WEEKDAY(B1305,2)&gt;5,"Weekend posting | ","")&amp;IF(COUNTIF(Settings!$A$14:$A$43,B1305)&gt;0,"Holiday posting | ","")&amp;IF(B1305&gt;Settings!$C$8,"Posted after close | ","")&amp;IF(OR(B1305&lt;Settings!$C$6,B1305&gt;Settings!$C$7),"Outside period | ","")&amp;IF(COUNTIF(Settings!$E$14:$E$43,C1305&amp;"")&gt;0,"Sensitive account | ","")&amp;IF(AND(MAX(N(E1305),N(F1305))&gt;=Settings!$C$9,MOD(MAX(N(E1305),N(F1305)),Settings!$C$10)=0),"Round amount | ",""),LEN(IF(K1305="No","Does not balance | ","")&amp;IF(I1305="","Not approved | ",IF(UPPER(TRIM(H1305))=UPPER(TRIM(I1305)),"Self-approved | ",""))&amp;IF(J1305="","No support | ","")&amp;IF(WEEKDAY(B1305,2)&gt;5,"Weekend posting | ","")&amp;IF(COUNTIF(Settings!$A$14:$A$43,B1305)&gt;0,"Holiday posting | ","")&amp;IF(B1305&gt;Settings!$C$8,"Posted after close | ","")&amp;IF(OR(B1305&lt;Settings!$C$6,B1305&gt;Settings!$C$7),"Outside period | ","")&amp;IF(COUNTIF(Settings!$E$14:$E$43,C1305&amp;"")&gt;0,"Sensitive account | ","")&amp;IF(AND(MAX(N(E1305),N(F1305))&gt;=Settings!$C$9,MOD(MAX(N(E1305),N(F1305)),Settings!$C$10)=0),"Round amount | ",""))-3)))</f>
        <v/>
      </c>
      <c r="M1305" s="21" t="str">
        <f aca="false">IF(A1305="","",IF(COUNTIF($A$9:A1305,A1305)=1,MAX($M$8:M1304)+1,""))</f>
        <v/>
      </c>
    </row>
    <row r="1306" customFormat="false" ht="15" hidden="false" customHeight="false" outlineLevel="0" collapsed="false">
      <c r="A1306" s="8"/>
      <c r="B1306" s="17"/>
      <c r="C1306" s="19"/>
      <c r="D1306" s="8"/>
      <c r="E1306" s="18"/>
      <c r="F1306" s="18"/>
      <c r="G1306" s="8"/>
      <c r="H1306" s="8"/>
      <c r="I1306" s="8"/>
      <c r="J1306" s="8"/>
      <c r="K1306" s="10" t="str">
        <f aca="false">IF(A1306="","",IF(ABS(SUMIFS($E$9:$E$2008,$A$9:$A$2008,A1306)-SUMIFS($F$9:$F$2008,$A$9:$A$2008,A1306))&lt;0.5,"Yes","No"))</f>
        <v/>
      </c>
      <c r="L1306" s="10" t="str">
        <f aca="false">IF(A1306="","",IF(IF(K1306="No","Does not balance | ","")&amp;IF(I1306="","Not approved | ",IF(UPPER(TRIM(H1306))=UPPER(TRIM(I1306)),"Self-approved | ",""))&amp;IF(J1306="","No support | ","")&amp;IF(WEEKDAY(B1306,2)&gt;5,"Weekend posting | ","")&amp;IF(COUNTIF(Settings!$A$14:$A$43,B1306)&gt;0,"Holiday posting | ","")&amp;IF(B1306&gt;Settings!$C$8,"Posted after close | ","")&amp;IF(OR(B1306&lt;Settings!$C$6,B1306&gt;Settings!$C$7),"Outside period | ","")&amp;IF(COUNTIF(Settings!$E$14:$E$43,C1306&amp;"")&gt;0,"Sensitive account | ","")&amp;IF(AND(MAX(N(E1306),N(F1306))&gt;=Settings!$C$9,MOD(MAX(N(E1306),N(F1306)),Settings!$C$10)=0),"Round amount | ","")="","",LEFT(IF(K1306="No","Does not balance | ","")&amp;IF(I1306="","Not approved | ",IF(UPPER(TRIM(H1306))=UPPER(TRIM(I1306)),"Self-approved | ",""))&amp;IF(J1306="","No support | ","")&amp;IF(WEEKDAY(B1306,2)&gt;5,"Weekend posting | ","")&amp;IF(COUNTIF(Settings!$A$14:$A$43,B1306)&gt;0,"Holiday posting | ","")&amp;IF(B1306&gt;Settings!$C$8,"Posted after close | ","")&amp;IF(OR(B1306&lt;Settings!$C$6,B1306&gt;Settings!$C$7),"Outside period | ","")&amp;IF(COUNTIF(Settings!$E$14:$E$43,C1306&amp;"")&gt;0,"Sensitive account | ","")&amp;IF(AND(MAX(N(E1306),N(F1306))&gt;=Settings!$C$9,MOD(MAX(N(E1306),N(F1306)),Settings!$C$10)=0),"Round amount | ",""),LEN(IF(K1306="No","Does not balance | ","")&amp;IF(I1306="","Not approved | ",IF(UPPER(TRIM(H1306))=UPPER(TRIM(I1306)),"Self-approved | ",""))&amp;IF(J1306="","No support | ","")&amp;IF(WEEKDAY(B1306,2)&gt;5,"Weekend posting | ","")&amp;IF(COUNTIF(Settings!$A$14:$A$43,B1306)&gt;0,"Holiday posting | ","")&amp;IF(B1306&gt;Settings!$C$8,"Posted after close | ","")&amp;IF(OR(B1306&lt;Settings!$C$6,B1306&gt;Settings!$C$7),"Outside period | ","")&amp;IF(COUNTIF(Settings!$E$14:$E$43,C1306&amp;"")&gt;0,"Sensitive account | ","")&amp;IF(AND(MAX(N(E1306),N(F1306))&gt;=Settings!$C$9,MOD(MAX(N(E1306),N(F1306)),Settings!$C$10)=0),"Round amount | ",""))-3)))</f>
        <v/>
      </c>
      <c r="M1306" s="21" t="str">
        <f aca="false">IF(A1306="","",IF(COUNTIF($A$9:A1306,A1306)=1,MAX($M$8:M1305)+1,""))</f>
        <v/>
      </c>
    </row>
    <row r="1307" customFormat="false" ht="15" hidden="false" customHeight="false" outlineLevel="0" collapsed="false">
      <c r="A1307" s="8"/>
      <c r="B1307" s="17"/>
      <c r="C1307" s="19"/>
      <c r="D1307" s="8"/>
      <c r="E1307" s="18"/>
      <c r="F1307" s="18"/>
      <c r="G1307" s="8"/>
      <c r="H1307" s="8"/>
      <c r="I1307" s="8"/>
      <c r="J1307" s="8"/>
      <c r="K1307" s="10" t="str">
        <f aca="false">IF(A1307="","",IF(ABS(SUMIFS($E$9:$E$2008,$A$9:$A$2008,A1307)-SUMIFS($F$9:$F$2008,$A$9:$A$2008,A1307))&lt;0.5,"Yes","No"))</f>
        <v/>
      </c>
      <c r="L1307" s="10" t="str">
        <f aca="false">IF(A1307="","",IF(IF(K1307="No","Does not balance | ","")&amp;IF(I1307="","Not approved | ",IF(UPPER(TRIM(H1307))=UPPER(TRIM(I1307)),"Self-approved | ",""))&amp;IF(J1307="","No support | ","")&amp;IF(WEEKDAY(B1307,2)&gt;5,"Weekend posting | ","")&amp;IF(COUNTIF(Settings!$A$14:$A$43,B1307)&gt;0,"Holiday posting | ","")&amp;IF(B1307&gt;Settings!$C$8,"Posted after close | ","")&amp;IF(OR(B1307&lt;Settings!$C$6,B1307&gt;Settings!$C$7),"Outside period | ","")&amp;IF(COUNTIF(Settings!$E$14:$E$43,C1307&amp;"")&gt;0,"Sensitive account | ","")&amp;IF(AND(MAX(N(E1307),N(F1307))&gt;=Settings!$C$9,MOD(MAX(N(E1307),N(F1307)),Settings!$C$10)=0),"Round amount | ","")="","",LEFT(IF(K1307="No","Does not balance | ","")&amp;IF(I1307="","Not approved | ",IF(UPPER(TRIM(H1307))=UPPER(TRIM(I1307)),"Self-approved | ",""))&amp;IF(J1307="","No support | ","")&amp;IF(WEEKDAY(B1307,2)&gt;5,"Weekend posting | ","")&amp;IF(COUNTIF(Settings!$A$14:$A$43,B1307)&gt;0,"Holiday posting | ","")&amp;IF(B1307&gt;Settings!$C$8,"Posted after close | ","")&amp;IF(OR(B1307&lt;Settings!$C$6,B1307&gt;Settings!$C$7),"Outside period | ","")&amp;IF(COUNTIF(Settings!$E$14:$E$43,C1307&amp;"")&gt;0,"Sensitive account | ","")&amp;IF(AND(MAX(N(E1307),N(F1307))&gt;=Settings!$C$9,MOD(MAX(N(E1307),N(F1307)),Settings!$C$10)=0),"Round amount | ",""),LEN(IF(K1307="No","Does not balance | ","")&amp;IF(I1307="","Not approved | ",IF(UPPER(TRIM(H1307))=UPPER(TRIM(I1307)),"Self-approved | ",""))&amp;IF(J1307="","No support | ","")&amp;IF(WEEKDAY(B1307,2)&gt;5,"Weekend posting | ","")&amp;IF(COUNTIF(Settings!$A$14:$A$43,B1307)&gt;0,"Holiday posting | ","")&amp;IF(B1307&gt;Settings!$C$8,"Posted after close | ","")&amp;IF(OR(B1307&lt;Settings!$C$6,B1307&gt;Settings!$C$7),"Outside period | ","")&amp;IF(COUNTIF(Settings!$E$14:$E$43,C1307&amp;"")&gt;0,"Sensitive account | ","")&amp;IF(AND(MAX(N(E1307),N(F1307))&gt;=Settings!$C$9,MOD(MAX(N(E1307),N(F1307)),Settings!$C$10)=0),"Round amount | ",""))-3)))</f>
        <v/>
      </c>
      <c r="M1307" s="21" t="str">
        <f aca="false">IF(A1307="","",IF(COUNTIF($A$9:A1307,A1307)=1,MAX($M$8:M1306)+1,""))</f>
        <v/>
      </c>
    </row>
    <row r="1308" customFormat="false" ht="15" hidden="false" customHeight="false" outlineLevel="0" collapsed="false">
      <c r="A1308" s="8"/>
      <c r="B1308" s="17"/>
      <c r="C1308" s="19"/>
      <c r="D1308" s="8"/>
      <c r="E1308" s="18"/>
      <c r="F1308" s="18"/>
      <c r="G1308" s="8"/>
      <c r="H1308" s="8"/>
      <c r="I1308" s="8"/>
      <c r="J1308" s="8"/>
      <c r="K1308" s="10" t="str">
        <f aca="false">IF(A1308="","",IF(ABS(SUMIFS($E$9:$E$2008,$A$9:$A$2008,A1308)-SUMIFS($F$9:$F$2008,$A$9:$A$2008,A1308))&lt;0.5,"Yes","No"))</f>
        <v/>
      </c>
      <c r="L1308" s="10" t="str">
        <f aca="false">IF(A1308="","",IF(IF(K1308="No","Does not balance | ","")&amp;IF(I1308="","Not approved | ",IF(UPPER(TRIM(H1308))=UPPER(TRIM(I1308)),"Self-approved | ",""))&amp;IF(J1308="","No support | ","")&amp;IF(WEEKDAY(B1308,2)&gt;5,"Weekend posting | ","")&amp;IF(COUNTIF(Settings!$A$14:$A$43,B1308)&gt;0,"Holiday posting | ","")&amp;IF(B1308&gt;Settings!$C$8,"Posted after close | ","")&amp;IF(OR(B1308&lt;Settings!$C$6,B1308&gt;Settings!$C$7),"Outside period | ","")&amp;IF(COUNTIF(Settings!$E$14:$E$43,C1308&amp;"")&gt;0,"Sensitive account | ","")&amp;IF(AND(MAX(N(E1308),N(F1308))&gt;=Settings!$C$9,MOD(MAX(N(E1308),N(F1308)),Settings!$C$10)=0),"Round amount | ","")="","",LEFT(IF(K1308="No","Does not balance | ","")&amp;IF(I1308="","Not approved | ",IF(UPPER(TRIM(H1308))=UPPER(TRIM(I1308)),"Self-approved | ",""))&amp;IF(J1308="","No support | ","")&amp;IF(WEEKDAY(B1308,2)&gt;5,"Weekend posting | ","")&amp;IF(COUNTIF(Settings!$A$14:$A$43,B1308)&gt;0,"Holiday posting | ","")&amp;IF(B1308&gt;Settings!$C$8,"Posted after close | ","")&amp;IF(OR(B1308&lt;Settings!$C$6,B1308&gt;Settings!$C$7),"Outside period | ","")&amp;IF(COUNTIF(Settings!$E$14:$E$43,C1308&amp;"")&gt;0,"Sensitive account | ","")&amp;IF(AND(MAX(N(E1308),N(F1308))&gt;=Settings!$C$9,MOD(MAX(N(E1308),N(F1308)),Settings!$C$10)=0),"Round amount | ",""),LEN(IF(K1308="No","Does not balance | ","")&amp;IF(I1308="","Not approved | ",IF(UPPER(TRIM(H1308))=UPPER(TRIM(I1308)),"Self-approved | ",""))&amp;IF(J1308="","No support | ","")&amp;IF(WEEKDAY(B1308,2)&gt;5,"Weekend posting | ","")&amp;IF(COUNTIF(Settings!$A$14:$A$43,B1308)&gt;0,"Holiday posting | ","")&amp;IF(B1308&gt;Settings!$C$8,"Posted after close | ","")&amp;IF(OR(B1308&lt;Settings!$C$6,B1308&gt;Settings!$C$7),"Outside period | ","")&amp;IF(COUNTIF(Settings!$E$14:$E$43,C1308&amp;"")&gt;0,"Sensitive account | ","")&amp;IF(AND(MAX(N(E1308),N(F1308))&gt;=Settings!$C$9,MOD(MAX(N(E1308),N(F1308)),Settings!$C$10)=0),"Round amount | ",""))-3)))</f>
        <v/>
      </c>
      <c r="M1308" s="21" t="str">
        <f aca="false">IF(A1308="","",IF(COUNTIF($A$9:A1308,A1308)=1,MAX($M$8:M1307)+1,""))</f>
        <v/>
      </c>
    </row>
    <row r="1309" customFormat="false" ht="15" hidden="false" customHeight="false" outlineLevel="0" collapsed="false">
      <c r="A1309" s="8"/>
      <c r="B1309" s="17"/>
      <c r="C1309" s="19"/>
      <c r="D1309" s="8"/>
      <c r="E1309" s="18"/>
      <c r="F1309" s="18"/>
      <c r="G1309" s="8"/>
      <c r="H1309" s="8"/>
      <c r="I1309" s="8"/>
      <c r="J1309" s="8"/>
      <c r="K1309" s="10" t="str">
        <f aca="false">IF(A1309="","",IF(ABS(SUMIFS($E$9:$E$2008,$A$9:$A$2008,A1309)-SUMIFS($F$9:$F$2008,$A$9:$A$2008,A1309))&lt;0.5,"Yes","No"))</f>
        <v/>
      </c>
      <c r="L1309" s="10" t="str">
        <f aca="false">IF(A1309="","",IF(IF(K1309="No","Does not balance | ","")&amp;IF(I1309="","Not approved | ",IF(UPPER(TRIM(H1309))=UPPER(TRIM(I1309)),"Self-approved | ",""))&amp;IF(J1309="","No support | ","")&amp;IF(WEEKDAY(B1309,2)&gt;5,"Weekend posting | ","")&amp;IF(COUNTIF(Settings!$A$14:$A$43,B1309)&gt;0,"Holiday posting | ","")&amp;IF(B1309&gt;Settings!$C$8,"Posted after close | ","")&amp;IF(OR(B1309&lt;Settings!$C$6,B1309&gt;Settings!$C$7),"Outside period | ","")&amp;IF(COUNTIF(Settings!$E$14:$E$43,C1309&amp;"")&gt;0,"Sensitive account | ","")&amp;IF(AND(MAX(N(E1309),N(F1309))&gt;=Settings!$C$9,MOD(MAX(N(E1309),N(F1309)),Settings!$C$10)=0),"Round amount | ","")="","",LEFT(IF(K1309="No","Does not balance | ","")&amp;IF(I1309="","Not approved | ",IF(UPPER(TRIM(H1309))=UPPER(TRIM(I1309)),"Self-approved | ",""))&amp;IF(J1309="","No support | ","")&amp;IF(WEEKDAY(B1309,2)&gt;5,"Weekend posting | ","")&amp;IF(COUNTIF(Settings!$A$14:$A$43,B1309)&gt;0,"Holiday posting | ","")&amp;IF(B1309&gt;Settings!$C$8,"Posted after close | ","")&amp;IF(OR(B1309&lt;Settings!$C$6,B1309&gt;Settings!$C$7),"Outside period | ","")&amp;IF(COUNTIF(Settings!$E$14:$E$43,C1309&amp;"")&gt;0,"Sensitive account | ","")&amp;IF(AND(MAX(N(E1309),N(F1309))&gt;=Settings!$C$9,MOD(MAX(N(E1309),N(F1309)),Settings!$C$10)=0),"Round amount | ",""),LEN(IF(K1309="No","Does not balance | ","")&amp;IF(I1309="","Not approved | ",IF(UPPER(TRIM(H1309))=UPPER(TRIM(I1309)),"Self-approved | ",""))&amp;IF(J1309="","No support | ","")&amp;IF(WEEKDAY(B1309,2)&gt;5,"Weekend posting | ","")&amp;IF(COUNTIF(Settings!$A$14:$A$43,B1309)&gt;0,"Holiday posting | ","")&amp;IF(B1309&gt;Settings!$C$8,"Posted after close | ","")&amp;IF(OR(B1309&lt;Settings!$C$6,B1309&gt;Settings!$C$7),"Outside period | ","")&amp;IF(COUNTIF(Settings!$E$14:$E$43,C1309&amp;"")&gt;0,"Sensitive account | ","")&amp;IF(AND(MAX(N(E1309),N(F1309))&gt;=Settings!$C$9,MOD(MAX(N(E1309),N(F1309)),Settings!$C$10)=0),"Round amount | ",""))-3)))</f>
        <v/>
      </c>
      <c r="M1309" s="21" t="str">
        <f aca="false">IF(A1309="","",IF(COUNTIF($A$9:A1309,A1309)=1,MAX($M$8:M1308)+1,""))</f>
        <v/>
      </c>
    </row>
    <row r="1310" customFormat="false" ht="15" hidden="false" customHeight="false" outlineLevel="0" collapsed="false">
      <c r="A1310" s="8"/>
      <c r="B1310" s="17"/>
      <c r="C1310" s="19"/>
      <c r="D1310" s="8"/>
      <c r="E1310" s="18"/>
      <c r="F1310" s="18"/>
      <c r="G1310" s="8"/>
      <c r="H1310" s="8"/>
      <c r="I1310" s="8"/>
      <c r="J1310" s="8"/>
      <c r="K1310" s="10" t="str">
        <f aca="false">IF(A1310="","",IF(ABS(SUMIFS($E$9:$E$2008,$A$9:$A$2008,A1310)-SUMIFS($F$9:$F$2008,$A$9:$A$2008,A1310))&lt;0.5,"Yes","No"))</f>
        <v/>
      </c>
      <c r="L1310" s="10" t="str">
        <f aca="false">IF(A1310="","",IF(IF(K1310="No","Does not balance | ","")&amp;IF(I1310="","Not approved | ",IF(UPPER(TRIM(H1310))=UPPER(TRIM(I1310)),"Self-approved | ",""))&amp;IF(J1310="","No support | ","")&amp;IF(WEEKDAY(B1310,2)&gt;5,"Weekend posting | ","")&amp;IF(COUNTIF(Settings!$A$14:$A$43,B1310)&gt;0,"Holiday posting | ","")&amp;IF(B1310&gt;Settings!$C$8,"Posted after close | ","")&amp;IF(OR(B1310&lt;Settings!$C$6,B1310&gt;Settings!$C$7),"Outside period | ","")&amp;IF(COUNTIF(Settings!$E$14:$E$43,C1310&amp;"")&gt;0,"Sensitive account | ","")&amp;IF(AND(MAX(N(E1310),N(F1310))&gt;=Settings!$C$9,MOD(MAX(N(E1310),N(F1310)),Settings!$C$10)=0),"Round amount | ","")="","",LEFT(IF(K1310="No","Does not balance | ","")&amp;IF(I1310="","Not approved | ",IF(UPPER(TRIM(H1310))=UPPER(TRIM(I1310)),"Self-approved | ",""))&amp;IF(J1310="","No support | ","")&amp;IF(WEEKDAY(B1310,2)&gt;5,"Weekend posting | ","")&amp;IF(COUNTIF(Settings!$A$14:$A$43,B1310)&gt;0,"Holiday posting | ","")&amp;IF(B1310&gt;Settings!$C$8,"Posted after close | ","")&amp;IF(OR(B1310&lt;Settings!$C$6,B1310&gt;Settings!$C$7),"Outside period | ","")&amp;IF(COUNTIF(Settings!$E$14:$E$43,C1310&amp;"")&gt;0,"Sensitive account | ","")&amp;IF(AND(MAX(N(E1310),N(F1310))&gt;=Settings!$C$9,MOD(MAX(N(E1310),N(F1310)),Settings!$C$10)=0),"Round amount | ",""),LEN(IF(K1310="No","Does not balance | ","")&amp;IF(I1310="","Not approved | ",IF(UPPER(TRIM(H1310))=UPPER(TRIM(I1310)),"Self-approved | ",""))&amp;IF(J1310="","No support | ","")&amp;IF(WEEKDAY(B1310,2)&gt;5,"Weekend posting | ","")&amp;IF(COUNTIF(Settings!$A$14:$A$43,B1310)&gt;0,"Holiday posting | ","")&amp;IF(B1310&gt;Settings!$C$8,"Posted after close | ","")&amp;IF(OR(B1310&lt;Settings!$C$6,B1310&gt;Settings!$C$7),"Outside period | ","")&amp;IF(COUNTIF(Settings!$E$14:$E$43,C1310&amp;"")&gt;0,"Sensitive account | ","")&amp;IF(AND(MAX(N(E1310),N(F1310))&gt;=Settings!$C$9,MOD(MAX(N(E1310),N(F1310)),Settings!$C$10)=0),"Round amount | ",""))-3)))</f>
        <v/>
      </c>
      <c r="M1310" s="21" t="str">
        <f aca="false">IF(A1310="","",IF(COUNTIF($A$9:A1310,A1310)=1,MAX($M$8:M1309)+1,""))</f>
        <v/>
      </c>
    </row>
    <row r="1311" customFormat="false" ht="15" hidden="false" customHeight="false" outlineLevel="0" collapsed="false">
      <c r="A1311" s="8"/>
      <c r="B1311" s="17"/>
      <c r="C1311" s="19"/>
      <c r="D1311" s="8"/>
      <c r="E1311" s="18"/>
      <c r="F1311" s="18"/>
      <c r="G1311" s="8"/>
      <c r="H1311" s="8"/>
      <c r="I1311" s="8"/>
      <c r="J1311" s="8"/>
      <c r="K1311" s="10" t="str">
        <f aca="false">IF(A1311="","",IF(ABS(SUMIFS($E$9:$E$2008,$A$9:$A$2008,A1311)-SUMIFS($F$9:$F$2008,$A$9:$A$2008,A1311))&lt;0.5,"Yes","No"))</f>
        <v/>
      </c>
      <c r="L1311" s="10" t="str">
        <f aca="false">IF(A1311="","",IF(IF(K1311="No","Does not balance | ","")&amp;IF(I1311="","Not approved | ",IF(UPPER(TRIM(H1311))=UPPER(TRIM(I1311)),"Self-approved | ",""))&amp;IF(J1311="","No support | ","")&amp;IF(WEEKDAY(B1311,2)&gt;5,"Weekend posting | ","")&amp;IF(COUNTIF(Settings!$A$14:$A$43,B1311)&gt;0,"Holiday posting | ","")&amp;IF(B1311&gt;Settings!$C$8,"Posted after close | ","")&amp;IF(OR(B1311&lt;Settings!$C$6,B1311&gt;Settings!$C$7),"Outside period | ","")&amp;IF(COUNTIF(Settings!$E$14:$E$43,C1311&amp;"")&gt;0,"Sensitive account | ","")&amp;IF(AND(MAX(N(E1311),N(F1311))&gt;=Settings!$C$9,MOD(MAX(N(E1311),N(F1311)),Settings!$C$10)=0),"Round amount | ","")="","",LEFT(IF(K1311="No","Does not balance | ","")&amp;IF(I1311="","Not approved | ",IF(UPPER(TRIM(H1311))=UPPER(TRIM(I1311)),"Self-approved | ",""))&amp;IF(J1311="","No support | ","")&amp;IF(WEEKDAY(B1311,2)&gt;5,"Weekend posting | ","")&amp;IF(COUNTIF(Settings!$A$14:$A$43,B1311)&gt;0,"Holiday posting | ","")&amp;IF(B1311&gt;Settings!$C$8,"Posted after close | ","")&amp;IF(OR(B1311&lt;Settings!$C$6,B1311&gt;Settings!$C$7),"Outside period | ","")&amp;IF(COUNTIF(Settings!$E$14:$E$43,C1311&amp;"")&gt;0,"Sensitive account | ","")&amp;IF(AND(MAX(N(E1311),N(F1311))&gt;=Settings!$C$9,MOD(MAX(N(E1311),N(F1311)),Settings!$C$10)=0),"Round amount | ",""),LEN(IF(K1311="No","Does not balance | ","")&amp;IF(I1311="","Not approved | ",IF(UPPER(TRIM(H1311))=UPPER(TRIM(I1311)),"Self-approved | ",""))&amp;IF(J1311="","No support | ","")&amp;IF(WEEKDAY(B1311,2)&gt;5,"Weekend posting | ","")&amp;IF(COUNTIF(Settings!$A$14:$A$43,B1311)&gt;0,"Holiday posting | ","")&amp;IF(B1311&gt;Settings!$C$8,"Posted after close | ","")&amp;IF(OR(B1311&lt;Settings!$C$6,B1311&gt;Settings!$C$7),"Outside period | ","")&amp;IF(COUNTIF(Settings!$E$14:$E$43,C1311&amp;"")&gt;0,"Sensitive account | ","")&amp;IF(AND(MAX(N(E1311),N(F1311))&gt;=Settings!$C$9,MOD(MAX(N(E1311),N(F1311)),Settings!$C$10)=0),"Round amount | ",""))-3)))</f>
        <v/>
      </c>
      <c r="M1311" s="21" t="str">
        <f aca="false">IF(A1311="","",IF(COUNTIF($A$9:A1311,A1311)=1,MAX($M$8:M1310)+1,""))</f>
        <v/>
      </c>
    </row>
    <row r="1312" customFormat="false" ht="15" hidden="false" customHeight="false" outlineLevel="0" collapsed="false">
      <c r="A1312" s="8"/>
      <c r="B1312" s="17"/>
      <c r="C1312" s="19"/>
      <c r="D1312" s="8"/>
      <c r="E1312" s="18"/>
      <c r="F1312" s="18"/>
      <c r="G1312" s="8"/>
      <c r="H1312" s="8"/>
      <c r="I1312" s="8"/>
      <c r="J1312" s="8"/>
      <c r="K1312" s="10" t="str">
        <f aca="false">IF(A1312="","",IF(ABS(SUMIFS($E$9:$E$2008,$A$9:$A$2008,A1312)-SUMIFS($F$9:$F$2008,$A$9:$A$2008,A1312))&lt;0.5,"Yes","No"))</f>
        <v/>
      </c>
      <c r="L1312" s="10" t="str">
        <f aca="false">IF(A1312="","",IF(IF(K1312="No","Does not balance | ","")&amp;IF(I1312="","Not approved | ",IF(UPPER(TRIM(H1312))=UPPER(TRIM(I1312)),"Self-approved | ",""))&amp;IF(J1312="","No support | ","")&amp;IF(WEEKDAY(B1312,2)&gt;5,"Weekend posting | ","")&amp;IF(COUNTIF(Settings!$A$14:$A$43,B1312)&gt;0,"Holiday posting | ","")&amp;IF(B1312&gt;Settings!$C$8,"Posted after close | ","")&amp;IF(OR(B1312&lt;Settings!$C$6,B1312&gt;Settings!$C$7),"Outside period | ","")&amp;IF(COUNTIF(Settings!$E$14:$E$43,C1312&amp;"")&gt;0,"Sensitive account | ","")&amp;IF(AND(MAX(N(E1312),N(F1312))&gt;=Settings!$C$9,MOD(MAX(N(E1312),N(F1312)),Settings!$C$10)=0),"Round amount | ","")="","",LEFT(IF(K1312="No","Does not balance | ","")&amp;IF(I1312="","Not approved | ",IF(UPPER(TRIM(H1312))=UPPER(TRIM(I1312)),"Self-approved | ",""))&amp;IF(J1312="","No support | ","")&amp;IF(WEEKDAY(B1312,2)&gt;5,"Weekend posting | ","")&amp;IF(COUNTIF(Settings!$A$14:$A$43,B1312)&gt;0,"Holiday posting | ","")&amp;IF(B1312&gt;Settings!$C$8,"Posted after close | ","")&amp;IF(OR(B1312&lt;Settings!$C$6,B1312&gt;Settings!$C$7),"Outside period | ","")&amp;IF(COUNTIF(Settings!$E$14:$E$43,C1312&amp;"")&gt;0,"Sensitive account | ","")&amp;IF(AND(MAX(N(E1312),N(F1312))&gt;=Settings!$C$9,MOD(MAX(N(E1312),N(F1312)),Settings!$C$10)=0),"Round amount | ",""),LEN(IF(K1312="No","Does not balance | ","")&amp;IF(I1312="","Not approved | ",IF(UPPER(TRIM(H1312))=UPPER(TRIM(I1312)),"Self-approved | ",""))&amp;IF(J1312="","No support | ","")&amp;IF(WEEKDAY(B1312,2)&gt;5,"Weekend posting | ","")&amp;IF(COUNTIF(Settings!$A$14:$A$43,B1312)&gt;0,"Holiday posting | ","")&amp;IF(B1312&gt;Settings!$C$8,"Posted after close | ","")&amp;IF(OR(B1312&lt;Settings!$C$6,B1312&gt;Settings!$C$7),"Outside period | ","")&amp;IF(COUNTIF(Settings!$E$14:$E$43,C1312&amp;"")&gt;0,"Sensitive account | ","")&amp;IF(AND(MAX(N(E1312),N(F1312))&gt;=Settings!$C$9,MOD(MAX(N(E1312),N(F1312)),Settings!$C$10)=0),"Round amount | ",""))-3)))</f>
        <v/>
      </c>
      <c r="M1312" s="21" t="str">
        <f aca="false">IF(A1312="","",IF(COUNTIF($A$9:A1312,A1312)=1,MAX($M$8:M1311)+1,""))</f>
        <v/>
      </c>
    </row>
    <row r="1313" customFormat="false" ht="15" hidden="false" customHeight="false" outlineLevel="0" collapsed="false">
      <c r="A1313" s="8"/>
      <c r="B1313" s="17"/>
      <c r="C1313" s="19"/>
      <c r="D1313" s="8"/>
      <c r="E1313" s="18"/>
      <c r="F1313" s="18"/>
      <c r="G1313" s="8"/>
      <c r="H1313" s="8"/>
      <c r="I1313" s="8"/>
      <c r="J1313" s="8"/>
      <c r="K1313" s="10" t="str">
        <f aca="false">IF(A1313="","",IF(ABS(SUMIFS($E$9:$E$2008,$A$9:$A$2008,A1313)-SUMIFS($F$9:$F$2008,$A$9:$A$2008,A1313))&lt;0.5,"Yes","No"))</f>
        <v/>
      </c>
      <c r="L1313" s="10" t="str">
        <f aca="false">IF(A1313="","",IF(IF(K1313="No","Does not balance | ","")&amp;IF(I1313="","Not approved | ",IF(UPPER(TRIM(H1313))=UPPER(TRIM(I1313)),"Self-approved | ",""))&amp;IF(J1313="","No support | ","")&amp;IF(WEEKDAY(B1313,2)&gt;5,"Weekend posting | ","")&amp;IF(COUNTIF(Settings!$A$14:$A$43,B1313)&gt;0,"Holiday posting | ","")&amp;IF(B1313&gt;Settings!$C$8,"Posted after close | ","")&amp;IF(OR(B1313&lt;Settings!$C$6,B1313&gt;Settings!$C$7),"Outside period | ","")&amp;IF(COUNTIF(Settings!$E$14:$E$43,C1313&amp;"")&gt;0,"Sensitive account | ","")&amp;IF(AND(MAX(N(E1313),N(F1313))&gt;=Settings!$C$9,MOD(MAX(N(E1313),N(F1313)),Settings!$C$10)=0),"Round amount | ","")="","",LEFT(IF(K1313="No","Does not balance | ","")&amp;IF(I1313="","Not approved | ",IF(UPPER(TRIM(H1313))=UPPER(TRIM(I1313)),"Self-approved | ",""))&amp;IF(J1313="","No support | ","")&amp;IF(WEEKDAY(B1313,2)&gt;5,"Weekend posting | ","")&amp;IF(COUNTIF(Settings!$A$14:$A$43,B1313)&gt;0,"Holiday posting | ","")&amp;IF(B1313&gt;Settings!$C$8,"Posted after close | ","")&amp;IF(OR(B1313&lt;Settings!$C$6,B1313&gt;Settings!$C$7),"Outside period | ","")&amp;IF(COUNTIF(Settings!$E$14:$E$43,C1313&amp;"")&gt;0,"Sensitive account | ","")&amp;IF(AND(MAX(N(E1313),N(F1313))&gt;=Settings!$C$9,MOD(MAX(N(E1313),N(F1313)),Settings!$C$10)=0),"Round amount | ",""),LEN(IF(K1313="No","Does not balance | ","")&amp;IF(I1313="","Not approved | ",IF(UPPER(TRIM(H1313))=UPPER(TRIM(I1313)),"Self-approved | ",""))&amp;IF(J1313="","No support | ","")&amp;IF(WEEKDAY(B1313,2)&gt;5,"Weekend posting | ","")&amp;IF(COUNTIF(Settings!$A$14:$A$43,B1313)&gt;0,"Holiday posting | ","")&amp;IF(B1313&gt;Settings!$C$8,"Posted after close | ","")&amp;IF(OR(B1313&lt;Settings!$C$6,B1313&gt;Settings!$C$7),"Outside period | ","")&amp;IF(COUNTIF(Settings!$E$14:$E$43,C1313&amp;"")&gt;0,"Sensitive account | ","")&amp;IF(AND(MAX(N(E1313),N(F1313))&gt;=Settings!$C$9,MOD(MAX(N(E1313),N(F1313)),Settings!$C$10)=0),"Round amount | ",""))-3)))</f>
        <v/>
      </c>
      <c r="M1313" s="21" t="str">
        <f aca="false">IF(A1313="","",IF(COUNTIF($A$9:A1313,A1313)=1,MAX($M$8:M1312)+1,""))</f>
        <v/>
      </c>
    </row>
    <row r="1314" customFormat="false" ht="15" hidden="false" customHeight="false" outlineLevel="0" collapsed="false">
      <c r="A1314" s="8"/>
      <c r="B1314" s="17"/>
      <c r="C1314" s="19"/>
      <c r="D1314" s="8"/>
      <c r="E1314" s="18"/>
      <c r="F1314" s="18"/>
      <c r="G1314" s="8"/>
      <c r="H1314" s="8"/>
      <c r="I1314" s="8"/>
      <c r="J1314" s="8"/>
      <c r="K1314" s="10" t="str">
        <f aca="false">IF(A1314="","",IF(ABS(SUMIFS($E$9:$E$2008,$A$9:$A$2008,A1314)-SUMIFS($F$9:$F$2008,$A$9:$A$2008,A1314))&lt;0.5,"Yes","No"))</f>
        <v/>
      </c>
      <c r="L1314" s="10" t="str">
        <f aca="false">IF(A1314="","",IF(IF(K1314="No","Does not balance | ","")&amp;IF(I1314="","Not approved | ",IF(UPPER(TRIM(H1314))=UPPER(TRIM(I1314)),"Self-approved | ",""))&amp;IF(J1314="","No support | ","")&amp;IF(WEEKDAY(B1314,2)&gt;5,"Weekend posting | ","")&amp;IF(COUNTIF(Settings!$A$14:$A$43,B1314)&gt;0,"Holiday posting | ","")&amp;IF(B1314&gt;Settings!$C$8,"Posted after close | ","")&amp;IF(OR(B1314&lt;Settings!$C$6,B1314&gt;Settings!$C$7),"Outside period | ","")&amp;IF(COUNTIF(Settings!$E$14:$E$43,C1314&amp;"")&gt;0,"Sensitive account | ","")&amp;IF(AND(MAX(N(E1314),N(F1314))&gt;=Settings!$C$9,MOD(MAX(N(E1314),N(F1314)),Settings!$C$10)=0),"Round amount | ","")="","",LEFT(IF(K1314="No","Does not balance | ","")&amp;IF(I1314="","Not approved | ",IF(UPPER(TRIM(H1314))=UPPER(TRIM(I1314)),"Self-approved | ",""))&amp;IF(J1314="","No support | ","")&amp;IF(WEEKDAY(B1314,2)&gt;5,"Weekend posting | ","")&amp;IF(COUNTIF(Settings!$A$14:$A$43,B1314)&gt;0,"Holiday posting | ","")&amp;IF(B1314&gt;Settings!$C$8,"Posted after close | ","")&amp;IF(OR(B1314&lt;Settings!$C$6,B1314&gt;Settings!$C$7),"Outside period | ","")&amp;IF(COUNTIF(Settings!$E$14:$E$43,C1314&amp;"")&gt;0,"Sensitive account | ","")&amp;IF(AND(MAX(N(E1314),N(F1314))&gt;=Settings!$C$9,MOD(MAX(N(E1314),N(F1314)),Settings!$C$10)=0),"Round amount | ",""),LEN(IF(K1314="No","Does not balance | ","")&amp;IF(I1314="","Not approved | ",IF(UPPER(TRIM(H1314))=UPPER(TRIM(I1314)),"Self-approved | ",""))&amp;IF(J1314="","No support | ","")&amp;IF(WEEKDAY(B1314,2)&gt;5,"Weekend posting | ","")&amp;IF(COUNTIF(Settings!$A$14:$A$43,B1314)&gt;0,"Holiday posting | ","")&amp;IF(B1314&gt;Settings!$C$8,"Posted after close | ","")&amp;IF(OR(B1314&lt;Settings!$C$6,B1314&gt;Settings!$C$7),"Outside period | ","")&amp;IF(COUNTIF(Settings!$E$14:$E$43,C1314&amp;"")&gt;0,"Sensitive account | ","")&amp;IF(AND(MAX(N(E1314),N(F1314))&gt;=Settings!$C$9,MOD(MAX(N(E1314),N(F1314)),Settings!$C$10)=0),"Round amount | ",""))-3)))</f>
        <v/>
      </c>
      <c r="M1314" s="21" t="str">
        <f aca="false">IF(A1314="","",IF(COUNTIF($A$9:A1314,A1314)=1,MAX($M$8:M1313)+1,""))</f>
        <v/>
      </c>
    </row>
    <row r="1315" customFormat="false" ht="15" hidden="false" customHeight="false" outlineLevel="0" collapsed="false">
      <c r="A1315" s="8"/>
      <c r="B1315" s="17"/>
      <c r="C1315" s="19"/>
      <c r="D1315" s="8"/>
      <c r="E1315" s="18"/>
      <c r="F1315" s="18"/>
      <c r="G1315" s="8"/>
      <c r="H1315" s="8"/>
      <c r="I1315" s="8"/>
      <c r="J1315" s="8"/>
      <c r="K1315" s="10" t="str">
        <f aca="false">IF(A1315="","",IF(ABS(SUMIFS($E$9:$E$2008,$A$9:$A$2008,A1315)-SUMIFS($F$9:$F$2008,$A$9:$A$2008,A1315))&lt;0.5,"Yes","No"))</f>
        <v/>
      </c>
      <c r="L1315" s="10" t="str">
        <f aca="false">IF(A1315="","",IF(IF(K1315="No","Does not balance | ","")&amp;IF(I1315="","Not approved | ",IF(UPPER(TRIM(H1315))=UPPER(TRIM(I1315)),"Self-approved | ",""))&amp;IF(J1315="","No support | ","")&amp;IF(WEEKDAY(B1315,2)&gt;5,"Weekend posting | ","")&amp;IF(COUNTIF(Settings!$A$14:$A$43,B1315)&gt;0,"Holiday posting | ","")&amp;IF(B1315&gt;Settings!$C$8,"Posted after close | ","")&amp;IF(OR(B1315&lt;Settings!$C$6,B1315&gt;Settings!$C$7),"Outside period | ","")&amp;IF(COUNTIF(Settings!$E$14:$E$43,C1315&amp;"")&gt;0,"Sensitive account | ","")&amp;IF(AND(MAX(N(E1315),N(F1315))&gt;=Settings!$C$9,MOD(MAX(N(E1315),N(F1315)),Settings!$C$10)=0),"Round amount | ","")="","",LEFT(IF(K1315="No","Does not balance | ","")&amp;IF(I1315="","Not approved | ",IF(UPPER(TRIM(H1315))=UPPER(TRIM(I1315)),"Self-approved | ",""))&amp;IF(J1315="","No support | ","")&amp;IF(WEEKDAY(B1315,2)&gt;5,"Weekend posting | ","")&amp;IF(COUNTIF(Settings!$A$14:$A$43,B1315)&gt;0,"Holiday posting | ","")&amp;IF(B1315&gt;Settings!$C$8,"Posted after close | ","")&amp;IF(OR(B1315&lt;Settings!$C$6,B1315&gt;Settings!$C$7),"Outside period | ","")&amp;IF(COUNTIF(Settings!$E$14:$E$43,C1315&amp;"")&gt;0,"Sensitive account | ","")&amp;IF(AND(MAX(N(E1315),N(F1315))&gt;=Settings!$C$9,MOD(MAX(N(E1315),N(F1315)),Settings!$C$10)=0),"Round amount | ",""),LEN(IF(K1315="No","Does not balance | ","")&amp;IF(I1315="","Not approved | ",IF(UPPER(TRIM(H1315))=UPPER(TRIM(I1315)),"Self-approved | ",""))&amp;IF(J1315="","No support | ","")&amp;IF(WEEKDAY(B1315,2)&gt;5,"Weekend posting | ","")&amp;IF(COUNTIF(Settings!$A$14:$A$43,B1315)&gt;0,"Holiday posting | ","")&amp;IF(B1315&gt;Settings!$C$8,"Posted after close | ","")&amp;IF(OR(B1315&lt;Settings!$C$6,B1315&gt;Settings!$C$7),"Outside period | ","")&amp;IF(COUNTIF(Settings!$E$14:$E$43,C1315&amp;"")&gt;0,"Sensitive account | ","")&amp;IF(AND(MAX(N(E1315),N(F1315))&gt;=Settings!$C$9,MOD(MAX(N(E1315),N(F1315)),Settings!$C$10)=0),"Round amount | ",""))-3)))</f>
        <v/>
      </c>
      <c r="M1315" s="21" t="str">
        <f aca="false">IF(A1315="","",IF(COUNTIF($A$9:A1315,A1315)=1,MAX($M$8:M1314)+1,""))</f>
        <v/>
      </c>
    </row>
    <row r="1316" customFormat="false" ht="15" hidden="false" customHeight="false" outlineLevel="0" collapsed="false">
      <c r="A1316" s="8"/>
      <c r="B1316" s="17"/>
      <c r="C1316" s="19"/>
      <c r="D1316" s="8"/>
      <c r="E1316" s="18"/>
      <c r="F1316" s="18"/>
      <c r="G1316" s="8"/>
      <c r="H1316" s="8"/>
      <c r="I1316" s="8"/>
      <c r="J1316" s="8"/>
      <c r="K1316" s="10" t="str">
        <f aca="false">IF(A1316="","",IF(ABS(SUMIFS($E$9:$E$2008,$A$9:$A$2008,A1316)-SUMIFS($F$9:$F$2008,$A$9:$A$2008,A1316))&lt;0.5,"Yes","No"))</f>
        <v/>
      </c>
      <c r="L1316" s="10" t="str">
        <f aca="false">IF(A1316="","",IF(IF(K1316="No","Does not balance | ","")&amp;IF(I1316="","Not approved | ",IF(UPPER(TRIM(H1316))=UPPER(TRIM(I1316)),"Self-approved | ",""))&amp;IF(J1316="","No support | ","")&amp;IF(WEEKDAY(B1316,2)&gt;5,"Weekend posting | ","")&amp;IF(COUNTIF(Settings!$A$14:$A$43,B1316)&gt;0,"Holiday posting | ","")&amp;IF(B1316&gt;Settings!$C$8,"Posted after close | ","")&amp;IF(OR(B1316&lt;Settings!$C$6,B1316&gt;Settings!$C$7),"Outside period | ","")&amp;IF(COUNTIF(Settings!$E$14:$E$43,C1316&amp;"")&gt;0,"Sensitive account | ","")&amp;IF(AND(MAX(N(E1316),N(F1316))&gt;=Settings!$C$9,MOD(MAX(N(E1316),N(F1316)),Settings!$C$10)=0),"Round amount | ","")="","",LEFT(IF(K1316="No","Does not balance | ","")&amp;IF(I1316="","Not approved | ",IF(UPPER(TRIM(H1316))=UPPER(TRIM(I1316)),"Self-approved | ",""))&amp;IF(J1316="","No support | ","")&amp;IF(WEEKDAY(B1316,2)&gt;5,"Weekend posting | ","")&amp;IF(COUNTIF(Settings!$A$14:$A$43,B1316)&gt;0,"Holiday posting | ","")&amp;IF(B1316&gt;Settings!$C$8,"Posted after close | ","")&amp;IF(OR(B1316&lt;Settings!$C$6,B1316&gt;Settings!$C$7),"Outside period | ","")&amp;IF(COUNTIF(Settings!$E$14:$E$43,C1316&amp;"")&gt;0,"Sensitive account | ","")&amp;IF(AND(MAX(N(E1316),N(F1316))&gt;=Settings!$C$9,MOD(MAX(N(E1316),N(F1316)),Settings!$C$10)=0),"Round amount | ",""),LEN(IF(K1316="No","Does not balance | ","")&amp;IF(I1316="","Not approved | ",IF(UPPER(TRIM(H1316))=UPPER(TRIM(I1316)),"Self-approved | ",""))&amp;IF(J1316="","No support | ","")&amp;IF(WEEKDAY(B1316,2)&gt;5,"Weekend posting | ","")&amp;IF(COUNTIF(Settings!$A$14:$A$43,B1316)&gt;0,"Holiday posting | ","")&amp;IF(B1316&gt;Settings!$C$8,"Posted after close | ","")&amp;IF(OR(B1316&lt;Settings!$C$6,B1316&gt;Settings!$C$7),"Outside period | ","")&amp;IF(COUNTIF(Settings!$E$14:$E$43,C1316&amp;"")&gt;0,"Sensitive account | ","")&amp;IF(AND(MAX(N(E1316),N(F1316))&gt;=Settings!$C$9,MOD(MAX(N(E1316),N(F1316)),Settings!$C$10)=0),"Round amount | ",""))-3)))</f>
        <v/>
      </c>
      <c r="M1316" s="21" t="str">
        <f aca="false">IF(A1316="","",IF(COUNTIF($A$9:A1316,A1316)=1,MAX($M$8:M1315)+1,""))</f>
        <v/>
      </c>
    </row>
    <row r="1317" customFormat="false" ht="15" hidden="false" customHeight="false" outlineLevel="0" collapsed="false">
      <c r="A1317" s="8"/>
      <c r="B1317" s="17"/>
      <c r="C1317" s="19"/>
      <c r="D1317" s="8"/>
      <c r="E1317" s="18"/>
      <c r="F1317" s="18"/>
      <c r="G1317" s="8"/>
      <c r="H1317" s="8"/>
      <c r="I1317" s="8"/>
      <c r="J1317" s="8"/>
      <c r="K1317" s="10" t="str">
        <f aca="false">IF(A1317="","",IF(ABS(SUMIFS($E$9:$E$2008,$A$9:$A$2008,A1317)-SUMIFS($F$9:$F$2008,$A$9:$A$2008,A1317))&lt;0.5,"Yes","No"))</f>
        <v/>
      </c>
      <c r="L1317" s="10" t="str">
        <f aca="false">IF(A1317="","",IF(IF(K1317="No","Does not balance | ","")&amp;IF(I1317="","Not approved | ",IF(UPPER(TRIM(H1317))=UPPER(TRIM(I1317)),"Self-approved | ",""))&amp;IF(J1317="","No support | ","")&amp;IF(WEEKDAY(B1317,2)&gt;5,"Weekend posting | ","")&amp;IF(COUNTIF(Settings!$A$14:$A$43,B1317)&gt;0,"Holiday posting | ","")&amp;IF(B1317&gt;Settings!$C$8,"Posted after close | ","")&amp;IF(OR(B1317&lt;Settings!$C$6,B1317&gt;Settings!$C$7),"Outside period | ","")&amp;IF(COUNTIF(Settings!$E$14:$E$43,C1317&amp;"")&gt;0,"Sensitive account | ","")&amp;IF(AND(MAX(N(E1317),N(F1317))&gt;=Settings!$C$9,MOD(MAX(N(E1317),N(F1317)),Settings!$C$10)=0),"Round amount | ","")="","",LEFT(IF(K1317="No","Does not balance | ","")&amp;IF(I1317="","Not approved | ",IF(UPPER(TRIM(H1317))=UPPER(TRIM(I1317)),"Self-approved | ",""))&amp;IF(J1317="","No support | ","")&amp;IF(WEEKDAY(B1317,2)&gt;5,"Weekend posting | ","")&amp;IF(COUNTIF(Settings!$A$14:$A$43,B1317)&gt;0,"Holiday posting | ","")&amp;IF(B1317&gt;Settings!$C$8,"Posted after close | ","")&amp;IF(OR(B1317&lt;Settings!$C$6,B1317&gt;Settings!$C$7),"Outside period | ","")&amp;IF(COUNTIF(Settings!$E$14:$E$43,C1317&amp;"")&gt;0,"Sensitive account | ","")&amp;IF(AND(MAX(N(E1317),N(F1317))&gt;=Settings!$C$9,MOD(MAX(N(E1317),N(F1317)),Settings!$C$10)=0),"Round amount | ",""),LEN(IF(K1317="No","Does not balance | ","")&amp;IF(I1317="","Not approved | ",IF(UPPER(TRIM(H1317))=UPPER(TRIM(I1317)),"Self-approved | ",""))&amp;IF(J1317="","No support | ","")&amp;IF(WEEKDAY(B1317,2)&gt;5,"Weekend posting | ","")&amp;IF(COUNTIF(Settings!$A$14:$A$43,B1317)&gt;0,"Holiday posting | ","")&amp;IF(B1317&gt;Settings!$C$8,"Posted after close | ","")&amp;IF(OR(B1317&lt;Settings!$C$6,B1317&gt;Settings!$C$7),"Outside period | ","")&amp;IF(COUNTIF(Settings!$E$14:$E$43,C1317&amp;"")&gt;0,"Sensitive account | ","")&amp;IF(AND(MAX(N(E1317),N(F1317))&gt;=Settings!$C$9,MOD(MAX(N(E1317),N(F1317)),Settings!$C$10)=0),"Round amount | ",""))-3)))</f>
        <v/>
      </c>
      <c r="M1317" s="21" t="str">
        <f aca="false">IF(A1317="","",IF(COUNTIF($A$9:A1317,A1317)=1,MAX($M$8:M1316)+1,""))</f>
        <v/>
      </c>
    </row>
    <row r="1318" customFormat="false" ht="15" hidden="false" customHeight="false" outlineLevel="0" collapsed="false">
      <c r="A1318" s="8"/>
      <c r="B1318" s="17"/>
      <c r="C1318" s="19"/>
      <c r="D1318" s="8"/>
      <c r="E1318" s="18"/>
      <c r="F1318" s="18"/>
      <c r="G1318" s="8"/>
      <c r="H1318" s="8"/>
      <c r="I1318" s="8"/>
      <c r="J1318" s="8"/>
      <c r="K1318" s="10" t="str">
        <f aca="false">IF(A1318="","",IF(ABS(SUMIFS($E$9:$E$2008,$A$9:$A$2008,A1318)-SUMIFS($F$9:$F$2008,$A$9:$A$2008,A1318))&lt;0.5,"Yes","No"))</f>
        <v/>
      </c>
      <c r="L1318" s="10" t="str">
        <f aca="false">IF(A1318="","",IF(IF(K1318="No","Does not balance | ","")&amp;IF(I1318="","Not approved | ",IF(UPPER(TRIM(H1318))=UPPER(TRIM(I1318)),"Self-approved | ",""))&amp;IF(J1318="","No support | ","")&amp;IF(WEEKDAY(B1318,2)&gt;5,"Weekend posting | ","")&amp;IF(COUNTIF(Settings!$A$14:$A$43,B1318)&gt;0,"Holiday posting | ","")&amp;IF(B1318&gt;Settings!$C$8,"Posted after close | ","")&amp;IF(OR(B1318&lt;Settings!$C$6,B1318&gt;Settings!$C$7),"Outside period | ","")&amp;IF(COUNTIF(Settings!$E$14:$E$43,C1318&amp;"")&gt;0,"Sensitive account | ","")&amp;IF(AND(MAX(N(E1318),N(F1318))&gt;=Settings!$C$9,MOD(MAX(N(E1318),N(F1318)),Settings!$C$10)=0),"Round amount | ","")="","",LEFT(IF(K1318="No","Does not balance | ","")&amp;IF(I1318="","Not approved | ",IF(UPPER(TRIM(H1318))=UPPER(TRIM(I1318)),"Self-approved | ",""))&amp;IF(J1318="","No support | ","")&amp;IF(WEEKDAY(B1318,2)&gt;5,"Weekend posting | ","")&amp;IF(COUNTIF(Settings!$A$14:$A$43,B1318)&gt;0,"Holiday posting | ","")&amp;IF(B1318&gt;Settings!$C$8,"Posted after close | ","")&amp;IF(OR(B1318&lt;Settings!$C$6,B1318&gt;Settings!$C$7),"Outside period | ","")&amp;IF(COUNTIF(Settings!$E$14:$E$43,C1318&amp;"")&gt;0,"Sensitive account | ","")&amp;IF(AND(MAX(N(E1318),N(F1318))&gt;=Settings!$C$9,MOD(MAX(N(E1318),N(F1318)),Settings!$C$10)=0),"Round amount | ",""),LEN(IF(K1318="No","Does not balance | ","")&amp;IF(I1318="","Not approved | ",IF(UPPER(TRIM(H1318))=UPPER(TRIM(I1318)),"Self-approved | ",""))&amp;IF(J1318="","No support | ","")&amp;IF(WEEKDAY(B1318,2)&gt;5,"Weekend posting | ","")&amp;IF(COUNTIF(Settings!$A$14:$A$43,B1318)&gt;0,"Holiday posting | ","")&amp;IF(B1318&gt;Settings!$C$8,"Posted after close | ","")&amp;IF(OR(B1318&lt;Settings!$C$6,B1318&gt;Settings!$C$7),"Outside period | ","")&amp;IF(COUNTIF(Settings!$E$14:$E$43,C1318&amp;"")&gt;0,"Sensitive account | ","")&amp;IF(AND(MAX(N(E1318),N(F1318))&gt;=Settings!$C$9,MOD(MAX(N(E1318),N(F1318)),Settings!$C$10)=0),"Round amount | ",""))-3)))</f>
        <v/>
      </c>
      <c r="M1318" s="21" t="str">
        <f aca="false">IF(A1318="","",IF(COUNTIF($A$9:A1318,A1318)=1,MAX($M$8:M1317)+1,""))</f>
        <v/>
      </c>
    </row>
    <row r="1319" customFormat="false" ht="15" hidden="false" customHeight="false" outlineLevel="0" collapsed="false">
      <c r="A1319" s="8"/>
      <c r="B1319" s="17"/>
      <c r="C1319" s="19"/>
      <c r="D1319" s="8"/>
      <c r="E1319" s="18"/>
      <c r="F1319" s="18"/>
      <c r="G1319" s="8"/>
      <c r="H1319" s="8"/>
      <c r="I1319" s="8"/>
      <c r="J1319" s="8"/>
      <c r="K1319" s="10" t="str">
        <f aca="false">IF(A1319="","",IF(ABS(SUMIFS($E$9:$E$2008,$A$9:$A$2008,A1319)-SUMIFS($F$9:$F$2008,$A$9:$A$2008,A1319))&lt;0.5,"Yes","No"))</f>
        <v/>
      </c>
      <c r="L1319" s="10" t="str">
        <f aca="false">IF(A1319="","",IF(IF(K1319="No","Does not balance | ","")&amp;IF(I1319="","Not approved | ",IF(UPPER(TRIM(H1319))=UPPER(TRIM(I1319)),"Self-approved | ",""))&amp;IF(J1319="","No support | ","")&amp;IF(WEEKDAY(B1319,2)&gt;5,"Weekend posting | ","")&amp;IF(COUNTIF(Settings!$A$14:$A$43,B1319)&gt;0,"Holiday posting | ","")&amp;IF(B1319&gt;Settings!$C$8,"Posted after close | ","")&amp;IF(OR(B1319&lt;Settings!$C$6,B1319&gt;Settings!$C$7),"Outside period | ","")&amp;IF(COUNTIF(Settings!$E$14:$E$43,C1319&amp;"")&gt;0,"Sensitive account | ","")&amp;IF(AND(MAX(N(E1319),N(F1319))&gt;=Settings!$C$9,MOD(MAX(N(E1319),N(F1319)),Settings!$C$10)=0),"Round amount | ","")="","",LEFT(IF(K1319="No","Does not balance | ","")&amp;IF(I1319="","Not approved | ",IF(UPPER(TRIM(H1319))=UPPER(TRIM(I1319)),"Self-approved | ",""))&amp;IF(J1319="","No support | ","")&amp;IF(WEEKDAY(B1319,2)&gt;5,"Weekend posting | ","")&amp;IF(COUNTIF(Settings!$A$14:$A$43,B1319)&gt;0,"Holiday posting | ","")&amp;IF(B1319&gt;Settings!$C$8,"Posted after close | ","")&amp;IF(OR(B1319&lt;Settings!$C$6,B1319&gt;Settings!$C$7),"Outside period | ","")&amp;IF(COUNTIF(Settings!$E$14:$E$43,C1319&amp;"")&gt;0,"Sensitive account | ","")&amp;IF(AND(MAX(N(E1319),N(F1319))&gt;=Settings!$C$9,MOD(MAX(N(E1319),N(F1319)),Settings!$C$10)=0),"Round amount | ",""),LEN(IF(K1319="No","Does not balance | ","")&amp;IF(I1319="","Not approved | ",IF(UPPER(TRIM(H1319))=UPPER(TRIM(I1319)),"Self-approved | ",""))&amp;IF(J1319="","No support | ","")&amp;IF(WEEKDAY(B1319,2)&gt;5,"Weekend posting | ","")&amp;IF(COUNTIF(Settings!$A$14:$A$43,B1319)&gt;0,"Holiday posting | ","")&amp;IF(B1319&gt;Settings!$C$8,"Posted after close | ","")&amp;IF(OR(B1319&lt;Settings!$C$6,B1319&gt;Settings!$C$7),"Outside period | ","")&amp;IF(COUNTIF(Settings!$E$14:$E$43,C1319&amp;"")&gt;0,"Sensitive account | ","")&amp;IF(AND(MAX(N(E1319),N(F1319))&gt;=Settings!$C$9,MOD(MAX(N(E1319),N(F1319)),Settings!$C$10)=0),"Round amount | ",""))-3)))</f>
        <v/>
      </c>
      <c r="M1319" s="21" t="str">
        <f aca="false">IF(A1319="","",IF(COUNTIF($A$9:A1319,A1319)=1,MAX($M$8:M1318)+1,""))</f>
        <v/>
      </c>
    </row>
    <row r="1320" customFormat="false" ht="15" hidden="false" customHeight="false" outlineLevel="0" collapsed="false">
      <c r="A1320" s="8"/>
      <c r="B1320" s="17"/>
      <c r="C1320" s="19"/>
      <c r="D1320" s="8"/>
      <c r="E1320" s="18"/>
      <c r="F1320" s="18"/>
      <c r="G1320" s="8"/>
      <c r="H1320" s="8"/>
      <c r="I1320" s="8"/>
      <c r="J1320" s="8"/>
      <c r="K1320" s="10" t="str">
        <f aca="false">IF(A1320="","",IF(ABS(SUMIFS($E$9:$E$2008,$A$9:$A$2008,A1320)-SUMIFS($F$9:$F$2008,$A$9:$A$2008,A1320))&lt;0.5,"Yes","No"))</f>
        <v/>
      </c>
      <c r="L1320" s="10" t="str">
        <f aca="false">IF(A1320="","",IF(IF(K1320="No","Does not balance | ","")&amp;IF(I1320="","Not approved | ",IF(UPPER(TRIM(H1320))=UPPER(TRIM(I1320)),"Self-approved | ",""))&amp;IF(J1320="","No support | ","")&amp;IF(WEEKDAY(B1320,2)&gt;5,"Weekend posting | ","")&amp;IF(COUNTIF(Settings!$A$14:$A$43,B1320)&gt;0,"Holiday posting | ","")&amp;IF(B1320&gt;Settings!$C$8,"Posted after close | ","")&amp;IF(OR(B1320&lt;Settings!$C$6,B1320&gt;Settings!$C$7),"Outside period | ","")&amp;IF(COUNTIF(Settings!$E$14:$E$43,C1320&amp;"")&gt;0,"Sensitive account | ","")&amp;IF(AND(MAX(N(E1320),N(F1320))&gt;=Settings!$C$9,MOD(MAX(N(E1320),N(F1320)),Settings!$C$10)=0),"Round amount | ","")="","",LEFT(IF(K1320="No","Does not balance | ","")&amp;IF(I1320="","Not approved | ",IF(UPPER(TRIM(H1320))=UPPER(TRIM(I1320)),"Self-approved | ",""))&amp;IF(J1320="","No support | ","")&amp;IF(WEEKDAY(B1320,2)&gt;5,"Weekend posting | ","")&amp;IF(COUNTIF(Settings!$A$14:$A$43,B1320)&gt;0,"Holiday posting | ","")&amp;IF(B1320&gt;Settings!$C$8,"Posted after close | ","")&amp;IF(OR(B1320&lt;Settings!$C$6,B1320&gt;Settings!$C$7),"Outside period | ","")&amp;IF(COUNTIF(Settings!$E$14:$E$43,C1320&amp;"")&gt;0,"Sensitive account | ","")&amp;IF(AND(MAX(N(E1320),N(F1320))&gt;=Settings!$C$9,MOD(MAX(N(E1320),N(F1320)),Settings!$C$10)=0),"Round amount | ",""),LEN(IF(K1320="No","Does not balance | ","")&amp;IF(I1320="","Not approved | ",IF(UPPER(TRIM(H1320))=UPPER(TRIM(I1320)),"Self-approved | ",""))&amp;IF(J1320="","No support | ","")&amp;IF(WEEKDAY(B1320,2)&gt;5,"Weekend posting | ","")&amp;IF(COUNTIF(Settings!$A$14:$A$43,B1320)&gt;0,"Holiday posting | ","")&amp;IF(B1320&gt;Settings!$C$8,"Posted after close | ","")&amp;IF(OR(B1320&lt;Settings!$C$6,B1320&gt;Settings!$C$7),"Outside period | ","")&amp;IF(COUNTIF(Settings!$E$14:$E$43,C1320&amp;"")&gt;0,"Sensitive account | ","")&amp;IF(AND(MAX(N(E1320),N(F1320))&gt;=Settings!$C$9,MOD(MAX(N(E1320),N(F1320)),Settings!$C$10)=0),"Round amount | ",""))-3)))</f>
        <v/>
      </c>
      <c r="M1320" s="21" t="str">
        <f aca="false">IF(A1320="","",IF(COUNTIF($A$9:A1320,A1320)=1,MAX($M$8:M1319)+1,""))</f>
        <v/>
      </c>
    </row>
    <row r="1321" customFormat="false" ht="15" hidden="false" customHeight="false" outlineLevel="0" collapsed="false">
      <c r="A1321" s="8"/>
      <c r="B1321" s="17"/>
      <c r="C1321" s="19"/>
      <c r="D1321" s="8"/>
      <c r="E1321" s="18"/>
      <c r="F1321" s="18"/>
      <c r="G1321" s="8"/>
      <c r="H1321" s="8"/>
      <c r="I1321" s="8"/>
      <c r="J1321" s="8"/>
      <c r="K1321" s="10" t="str">
        <f aca="false">IF(A1321="","",IF(ABS(SUMIFS($E$9:$E$2008,$A$9:$A$2008,A1321)-SUMIFS($F$9:$F$2008,$A$9:$A$2008,A1321))&lt;0.5,"Yes","No"))</f>
        <v/>
      </c>
      <c r="L1321" s="10" t="str">
        <f aca="false">IF(A1321="","",IF(IF(K1321="No","Does not balance | ","")&amp;IF(I1321="","Not approved | ",IF(UPPER(TRIM(H1321))=UPPER(TRIM(I1321)),"Self-approved | ",""))&amp;IF(J1321="","No support | ","")&amp;IF(WEEKDAY(B1321,2)&gt;5,"Weekend posting | ","")&amp;IF(COUNTIF(Settings!$A$14:$A$43,B1321)&gt;0,"Holiday posting | ","")&amp;IF(B1321&gt;Settings!$C$8,"Posted after close | ","")&amp;IF(OR(B1321&lt;Settings!$C$6,B1321&gt;Settings!$C$7),"Outside period | ","")&amp;IF(COUNTIF(Settings!$E$14:$E$43,C1321&amp;"")&gt;0,"Sensitive account | ","")&amp;IF(AND(MAX(N(E1321),N(F1321))&gt;=Settings!$C$9,MOD(MAX(N(E1321),N(F1321)),Settings!$C$10)=0),"Round amount | ","")="","",LEFT(IF(K1321="No","Does not balance | ","")&amp;IF(I1321="","Not approved | ",IF(UPPER(TRIM(H1321))=UPPER(TRIM(I1321)),"Self-approved | ",""))&amp;IF(J1321="","No support | ","")&amp;IF(WEEKDAY(B1321,2)&gt;5,"Weekend posting | ","")&amp;IF(COUNTIF(Settings!$A$14:$A$43,B1321)&gt;0,"Holiday posting | ","")&amp;IF(B1321&gt;Settings!$C$8,"Posted after close | ","")&amp;IF(OR(B1321&lt;Settings!$C$6,B1321&gt;Settings!$C$7),"Outside period | ","")&amp;IF(COUNTIF(Settings!$E$14:$E$43,C1321&amp;"")&gt;0,"Sensitive account | ","")&amp;IF(AND(MAX(N(E1321),N(F1321))&gt;=Settings!$C$9,MOD(MAX(N(E1321),N(F1321)),Settings!$C$10)=0),"Round amount | ",""),LEN(IF(K1321="No","Does not balance | ","")&amp;IF(I1321="","Not approved | ",IF(UPPER(TRIM(H1321))=UPPER(TRIM(I1321)),"Self-approved | ",""))&amp;IF(J1321="","No support | ","")&amp;IF(WEEKDAY(B1321,2)&gt;5,"Weekend posting | ","")&amp;IF(COUNTIF(Settings!$A$14:$A$43,B1321)&gt;0,"Holiday posting | ","")&amp;IF(B1321&gt;Settings!$C$8,"Posted after close | ","")&amp;IF(OR(B1321&lt;Settings!$C$6,B1321&gt;Settings!$C$7),"Outside period | ","")&amp;IF(COUNTIF(Settings!$E$14:$E$43,C1321&amp;"")&gt;0,"Sensitive account | ","")&amp;IF(AND(MAX(N(E1321),N(F1321))&gt;=Settings!$C$9,MOD(MAX(N(E1321),N(F1321)),Settings!$C$10)=0),"Round amount | ",""))-3)))</f>
        <v/>
      </c>
      <c r="M1321" s="21" t="str">
        <f aca="false">IF(A1321="","",IF(COUNTIF($A$9:A1321,A1321)=1,MAX($M$8:M1320)+1,""))</f>
        <v/>
      </c>
    </row>
    <row r="1322" customFormat="false" ht="15" hidden="false" customHeight="false" outlineLevel="0" collapsed="false">
      <c r="A1322" s="8"/>
      <c r="B1322" s="17"/>
      <c r="C1322" s="19"/>
      <c r="D1322" s="8"/>
      <c r="E1322" s="18"/>
      <c r="F1322" s="18"/>
      <c r="G1322" s="8"/>
      <c r="H1322" s="8"/>
      <c r="I1322" s="8"/>
      <c r="J1322" s="8"/>
      <c r="K1322" s="10" t="str">
        <f aca="false">IF(A1322="","",IF(ABS(SUMIFS($E$9:$E$2008,$A$9:$A$2008,A1322)-SUMIFS($F$9:$F$2008,$A$9:$A$2008,A1322))&lt;0.5,"Yes","No"))</f>
        <v/>
      </c>
      <c r="L1322" s="10" t="str">
        <f aca="false">IF(A1322="","",IF(IF(K1322="No","Does not balance | ","")&amp;IF(I1322="","Not approved | ",IF(UPPER(TRIM(H1322))=UPPER(TRIM(I1322)),"Self-approved | ",""))&amp;IF(J1322="","No support | ","")&amp;IF(WEEKDAY(B1322,2)&gt;5,"Weekend posting | ","")&amp;IF(COUNTIF(Settings!$A$14:$A$43,B1322)&gt;0,"Holiday posting | ","")&amp;IF(B1322&gt;Settings!$C$8,"Posted after close | ","")&amp;IF(OR(B1322&lt;Settings!$C$6,B1322&gt;Settings!$C$7),"Outside period | ","")&amp;IF(COUNTIF(Settings!$E$14:$E$43,C1322&amp;"")&gt;0,"Sensitive account | ","")&amp;IF(AND(MAX(N(E1322),N(F1322))&gt;=Settings!$C$9,MOD(MAX(N(E1322),N(F1322)),Settings!$C$10)=0),"Round amount | ","")="","",LEFT(IF(K1322="No","Does not balance | ","")&amp;IF(I1322="","Not approved | ",IF(UPPER(TRIM(H1322))=UPPER(TRIM(I1322)),"Self-approved | ",""))&amp;IF(J1322="","No support | ","")&amp;IF(WEEKDAY(B1322,2)&gt;5,"Weekend posting | ","")&amp;IF(COUNTIF(Settings!$A$14:$A$43,B1322)&gt;0,"Holiday posting | ","")&amp;IF(B1322&gt;Settings!$C$8,"Posted after close | ","")&amp;IF(OR(B1322&lt;Settings!$C$6,B1322&gt;Settings!$C$7),"Outside period | ","")&amp;IF(COUNTIF(Settings!$E$14:$E$43,C1322&amp;"")&gt;0,"Sensitive account | ","")&amp;IF(AND(MAX(N(E1322),N(F1322))&gt;=Settings!$C$9,MOD(MAX(N(E1322),N(F1322)),Settings!$C$10)=0),"Round amount | ",""),LEN(IF(K1322="No","Does not balance | ","")&amp;IF(I1322="","Not approved | ",IF(UPPER(TRIM(H1322))=UPPER(TRIM(I1322)),"Self-approved | ",""))&amp;IF(J1322="","No support | ","")&amp;IF(WEEKDAY(B1322,2)&gt;5,"Weekend posting | ","")&amp;IF(COUNTIF(Settings!$A$14:$A$43,B1322)&gt;0,"Holiday posting | ","")&amp;IF(B1322&gt;Settings!$C$8,"Posted after close | ","")&amp;IF(OR(B1322&lt;Settings!$C$6,B1322&gt;Settings!$C$7),"Outside period | ","")&amp;IF(COUNTIF(Settings!$E$14:$E$43,C1322&amp;"")&gt;0,"Sensitive account | ","")&amp;IF(AND(MAX(N(E1322),N(F1322))&gt;=Settings!$C$9,MOD(MAX(N(E1322),N(F1322)),Settings!$C$10)=0),"Round amount | ",""))-3)))</f>
        <v/>
      </c>
      <c r="M1322" s="21" t="str">
        <f aca="false">IF(A1322="","",IF(COUNTIF($A$9:A1322,A1322)=1,MAX($M$8:M1321)+1,""))</f>
        <v/>
      </c>
    </row>
    <row r="1323" customFormat="false" ht="15" hidden="false" customHeight="false" outlineLevel="0" collapsed="false">
      <c r="A1323" s="8"/>
      <c r="B1323" s="17"/>
      <c r="C1323" s="19"/>
      <c r="D1323" s="8"/>
      <c r="E1323" s="18"/>
      <c r="F1323" s="18"/>
      <c r="G1323" s="8"/>
      <c r="H1323" s="8"/>
      <c r="I1323" s="8"/>
      <c r="J1323" s="8"/>
      <c r="K1323" s="10" t="str">
        <f aca="false">IF(A1323="","",IF(ABS(SUMIFS($E$9:$E$2008,$A$9:$A$2008,A1323)-SUMIFS($F$9:$F$2008,$A$9:$A$2008,A1323))&lt;0.5,"Yes","No"))</f>
        <v/>
      </c>
      <c r="L1323" s="10" t="str">
        <f aca="false">IF(A1323="","",IF(IF(K1323="No","Does not balance | ","")&amp;IF(I1323="","Not approved | ",IF(UPPER(TRIM(H1323))=UPPER(TRIM(I1323)),"Self-approved | ",""))&amp;IF(J1323="","No support | ","")&amp;IF(WEEKDAY(B1323,2)&gt;5,"Weekend posting | ","")&amp;IF(COUNTIF(Settings!$A$14:$A$43,B1323)&gt;0,"Holiday posting | ","")&amp;IF(B1323&gt;Settings!$C$8,"Posted after close | ","")&amp;IF(OR(B1323&lt;Settings!$C$6,B1323&gt;Settings!$C$7),"Outside period | ","")&amp;IF(COUNTIF(Settings!$E$14:$E$43,C1323&amp;"")&gt;0,"Sensitive account | ","")&amp;IF(AND(MAX(N(E1323),N(F1323))&gt;=Settings!$C$9,MOD(MAX(N(E1323),N(F1323)),Settings!$C$10)=0),"Round amount | ","")="","",LEFT(IF(K1323="No","Does not balance | ","")&amp;IF(I1323="","Not approved | ",IF(UPPER(TRIM(H1323))=UPPER(TRIM(I1323)),"Self-approved | ",""))&amp;IF(J1323="","No support | ","")&amp;IF(WEEKDAY(B1323,2)&gt;5,"Weekend posting | ","")&amp;IF(COUNTIF(Settings!$A$14:$A$43,B1323)&gt;0,"Holiday posting | ","")&amp;IF(B1323&gt;Settings!$C$8,"Posted after close | ","")&amp;IF(OR(B1323&lt;Settings!$C$6,B1323&gt;Settings!$C$7),"Outside period | ","")&amp;IF(COUNTIF(Settings!$E$14:$E$43,C1323&amp;"")&gt;0,"Sensitive account | ","")&amp;IF(AND(MAX(N(E1323),N(F1323))&gt;=Settings!$C$9,MOD(MAX(N(E1323),N(F1323)),Settings!$C$10)=0),"Round amount | ",""),LEN(IF(K1323="No","Does not balance | ","")&amp;IF(I1323="","Not approved | ",IF(UPPER(TRIM(H1323))=UPPER(TRIM(I1323)),"Self-approved | ",""))&amp;IF(J1323="","No support | ","")&amp;IF(WEEKDAY(B1323,2)&gt;5,"Weekend posting | ","")&amp;IF(COUNTIF(Settings!$A$14:$A$43,B1323)&gt;0,"Holiday posting | ","")&amp;IF(B1323&gt;Settings!$C$8,"Posted after close | ","")&amp;IF(OR(B1323&lt;Settings!$C$6,B1323&gt;Settings!$C$7),"Outside period | ","")&amp;IF(COUNTIF(Settings!$E$14:$E$43,C1323&amp;"")&gt;0,"Sensitive account | ","")&amp;IF(AND(MAX(N(E1323),N(F1323))&gt;=Settings!$C$9,MOD(MAX(N(E1323),N(F1323)),Settings!$C$10)=0),"Round amount | ",""))-3)))</f>
        <v/>
      </c>
      <c r="M1323" s="21" t="str">
        <f aca="false">IF(A1323="","",IF(COUNTIF($A$9:A1323,A1323)=1,MAX($M$8:M1322)+1,""))</f>
        <v/>
      </c>
    </row>
    <row r="1324" customFormat="false" ht="15" hidden="false" customHeight="false" outlineLevel="0" collapsed="false">
      <c r="A1324" s="8"/>
      <c r="B1324" s="17"/>
      <c r="C1324" s="19"/>
      <c r="D1324" s="8"/>
      <c r="E1324" s="18"/>
      <c r="F1324" s="18"/>
      <c r="G1324" s="8"/>
      <c r="H1324" s="8"/>
      <c r="I1324" s="8"/>
      <c r="J1324" s="8"/>
      <c r="K1324" s="10" t="str">
        <f aca="false">IF(A1324="","",IF(ABS(SUMIFS($E$9:$E$2008,$A$9:$A$2008,A1324)-SUMIFS($F$9:$F$2008,$A$9:$A$2008,A1324))&lt;0.5,"Yes","No"))</f>
        <v/>
      </c>
      <c r="L1324" s="10" t="str">
        <f aca="false">IF(A1324="","",IF(IF(K1324="No","Does not balance | ","")&amp;IF(I1324="","Not approved | ",IF(UPPER(TRIM(H1324))=UPPER(TRIM(I1324)),"Self-approved | ",""))&amp;IF(J1324="","No support | ","")&amp;IF(WEEKDAY(B1324,2)&gt;5,"Weekend posting | ","")&amp;IF(COUNTIF(Settings!$A$14:$A$43,B1324)&gt;0,"Holiday posting | ","")&amp;IF(B1324&gt;Settings!$C$8,"Posted after close | ","")&amp;IF(OR(B1324&lt;Settings!$C$6,B1324&gt;Settings!$C$7),"Outside period | ","")&amp;IF(COUNTIF(Settings!$E$14:$E$43,C1324&amp;"")&gt;0,"Sensitive account | ","")&amp;IF(AND(MAX(N(E1324),N(F1324))&gt;=Settings!$C$9,MOD(MAX(N(E1324),N(F1324)),Settings!$C$10)=0),"Round amount | ","")="","",LEFT(IF(K1324="No","Does not balance | ","")&amp;IF(I1324="","Not approved | ",IF(UPPER(TRIM(H1324))=UPPER(TRIM(I1324)),"Self-approved | ",""))&amp;IF(J1324="","No support | ","")&amp;IF(WEEKDAY(B1324,2)&gt;5,"Weekend posting | ","")&amp;IF(COUNTIF(Settings!$A$14:$A$43,B1324)&gt;0,"Holiday posting | ","")&amp;IF(B1324&gt;Settings!$C$8,"Posted after close | ","")&amp;IF(OR(B1324&lt;Settings!$C$6,B1324&gt;Settings!$C$7),"Outside period | ","")&amp;IF(COUNTIF(Settings!$E$14:$E$43,C1324&amp;"")&gt;0,"Sensitive account | ","")&amp;IF(AND(MAX(N(E1324),N(F1324))&gt;=Settings!$C$9,MOD(MAX(N(E1324),N(F1324)),Settings!$C$10)=0),"Round amount | ",""),LEN(IF(K1324="No","Does not balance | ","")&amp;IF(I1324="","Not approved | ",IF(UPPER(TRIM(H1324))=UPPER(TRIM(I1324)),"Self-approved | ",""))&amp;IF(J1324="","No support | ","")&amp;IF(WEEKDAY(B1324,2)&gt;5,"Weekend posting | ","")&amp;IF(COUNTIF(Settings!$A$14:$A$43,B1324)&gt;0,"Holiday posting | ","")&amp;IF(B1324&gt;Settings!$C$8,"Posted after close | ","")&amp;IF(OR(B1324&lt;Settings!$C$6,B1324&gt;Settings!$C$7),"Outside period | ","")&amp;IF(COUNTIF(Settings!$E$14:$E$43,C1324&amp;"")&gt;0,"Sensitive account | ","")&amp;IF(AND(MAX(N(E1324),N(F1324))&gt;=Settings!$C$9,MOD(MAX(N(E1324),N(F1324)),Settings!$C$10)=0),"Round amount | ",""))-3)))</f>
        <v/>
      </c>
      <c r="M1324" s="21" t="str">
        <f aca="false">IF(A1324="","",IF(COUNTIF($A$9:A1324,A1324)=1,MAX($M$8:M1323)+1,""))</f>
        <v/>
      </c>
    </row>
    <row r="1325" customFormat="false" ht="15" hidden="false" customHeight="false" outlineLevel="0" collapsed="false">
      <c r="A1325" s="8"/>
      <c r="B1325" s="17"/>
      <c r="C1325" s="19"/>
      <c r="D1325" s="8"/>
      <c r="E1325" s="18"/>
      <c r="F1325" s="18"/>
      <c r="G1325" s="8"/>
      <c r="H1325" s="8"/>
      <c r="I1325" s="8"/>
      <c r="J1325" s="8"/>
      <c r="K1325" s="10" t="str">
        <f aca="false">IF(A1325="","",IF(ABS(SUMIFS($E$9:$E$2008,$A$9:$A$2008,A1325)-SUMIFS($F$9:$F$2008,$A$9:$A$2008,A1325))&lt;0.5,"Yes","No"))</f>
        <v/>
      </c>
      <c r="L1325" s="10" t="str">
        <f aca="false">IF(A1325="","",IF(IF(K1325="No","Does not balance | ","")&amp;IF(I1325="","Not approved | ",IF(UPPER(TRIM(H1325))=UPPER(TRIM(I1325)),"Self-approved | ",""))&amp;IF(J1325="","No support | ","")&amp;IF(WEEKDAY(B1325,2)&gt;5,"Weekend posting | ","")&amp;IF(COUNTIF(Settings!$A$14:$A$43,B1325)&gt;0,"Holiday posting | ","")&amp;IF(B1325&gt;Settings!$C$8,"Posted after close | ","")&amp;IF(OR(B1325&lt;Settings!$C$6,B1325&gt;Settings!$C$7),"Outside period | ","")&amp;IF(COUNTIF(Settings!$E$14:$E$43,C1325&amp;"")&gt;0,"Sensitive account | ","")&amp;IF(AND(MAX(N(E1325),N(F1325))&gt;=Settings!$C$9,MOD(MAX(N(E1325),N(F1325)),Settings!$C$10)=0),"Round amount | ","")="","",LEFT(IF(K1325="No","Does not balance | ","")&amp;IF(I1325="","Not approved | ",IF(UPPER(TRIM(H1325))=UPPER(TRIM(I1325)),"Self-approved | ",""))&amp;IF(J1325="","No support | ","")&amp;IF(WEEKDAY(B1325,2)&gt;5,"Weekend posting | ","")&amp;IF(COUNTIF(Settings!$A$14:$A$43,B1325)&gt;0,"Holiday posting | ","")&amp;IF(B1325&gt;Settings!$C$8,"Posted after close | ","")&amp;IF(OR(B1325&lt;Settings!$C$6,B1325&gt;Settings!$C$7),"Outside period | ","")&amp;IF(COUNTIF(Settings!$E$14:$E$43,C1325&amp;"")&gt;0,"Sensitive account | ","")&amp;IF(AND(MAX(N(E1325),N(F1325))&gt;=Settings!$C$9,MOD(MAX(N(E1325),N(F1325)),Settings!$C$10)=0),"Round amount | ",""),LEN(IF(K1325="No","Does not balance | ","")&amp;IF(I1325="","Not approved | ",IF(UPPER(TRIM(H1325))=UPPER(TRIM(I1325)),"Self-approved | ",""))&amp;IF(J1325="","No support | ","")&amp;IF(WEEKDAY(B1325,2)&gt;5,"Weekend posting | ","")&amp;IF(COUNTIF(Settings!$A$14:$A$43,B1325)&gt;0,"Holiday posting | ","")&amp;IF(B1325&gt;Settings!$C$8,"Posted after close | ","")&amp;IF(OR(B1325&lt;Settings!$C$6,B1325&gt;Settings!$C$7),"Outside period | ","")&amp;IF(COUNTIF(Settings!$E$14:$E$43,C1325&amp;"")&gt;0,"Sensitive account | ","")&amp;IF(AND(MAX(N(E1325),N(F1325))&gt;=Settings!$C$9,MOD(MAX(N(E1325),N(F1325)),Settings!$C$10)=0),"Round amount | ",""))-3)))</f>
        <v/>
      </c>
      <c r="M1325" s="21" t="str">
        <f aca="false">IF(A1325="","",IF(COUNTIF($A$9:A1325,A1325)=1,MAX($M$8:M1324)+1,""))</f>
        <v/>
      </c>
    </row>
    <row r="1326" customFormat="false" ht="15" hidden="false" customHeight="false" outlineLevel="0" collapsed="false">
      <c r="A1326" s="8"/>
      <c r="B1326" s="17"/>
      <c r="C1326" s="19"/>
      <c r="D1326" s="8"/>
      <c r="E1326" s="18"/>
      <c r="F1326" s="18"/>
      <c r="G1326" s="8"/>
      <c r="H1326" s="8"/>
      <c r="I1326" s="8"/>
      <c r="J1326" s="8"/>
      <c r="K1326" s="10" t="str">
        <f aca="false">IF(A1326="","",IF(ABS(SUMIFS($E$9:$E$2008,$A$9:$A$2008,A1326)-SUMIFS($F$9:$F$2008,$A$9:$A$2008,A1326))&lt;0.5,"Yes","No"))</f>
        <v/>
      </c>
      <c r="L1326" s="10" t="str">
        <f aca="false">IF(A1326="","",IF(IF(K1326="No","Does not balance | ","")&amp;IF(I1326="","Not approved | ",IF(UPPER(TRIM(H1326))=UPPER(TRIM(I1326)),"Self-approved | ",""))&amp;IF(J1326="","No support | ","")&amp;IF(WEEKDAY(B1326,2)&gt;5,"Weekend posting | ","")&amp;IF(COUNTIF(Settings!$A$14:$A$43,B1326)&gt;0,"Holiday posting | ","")&amp;IF(B1326&gt;Settings!$C$8,"Posted after close | ","")&amp;IF(OR(B1326&lt;Settings!$C$6,B1326&gt;Settings!$C$7),"Outside period | ","")&amp;IF(COUNTIF(Settings!$E$14:$E$43,C1326&amp;"")&gt;0,"Sensitive account | ","")&amp;IF(AND(MAX(N(E1326),N(F1326))&gt;=Settings!$C$9,MOD(MAX(N(E1326),N(F1326)),Settings!$C$10)=0),"Round amount | ","")="","",LEFT(IF(K1326="No","Does not balance | ","")&amp;IF(I1326="","Not approved | ",IF(UPPER(TRIM(H1326))=UPPER(TRIM(I1326)),"Self-approved | ",""))&amp;IF(J1326="","No support | ","")&amp;IF(WEEKDAY(B1326,2)&gt;5,"Weekend posting | ","")&amp;IF(COUNTIF(Settings!$A$14:$A$43,B1326)&gt;0,"Holiday posting | ","")&amp;IF(B1326&gt;Settings!$C$8,"Posted after close | ","")&amp;IF(OR(B1326&lt;Settings!$C$6,B1326&gt;Settings!$C$7),"Outside period | ","")&amp;IF(COUNTIF(Settings!$E$14:$E$43,C1326&amp;"")&gt;0,"Sensitive account | ","")&amp;IF(AND(MAX(N(E1326),N(F1326))&gt;=Settings!$C$9,MOD(MAX(N(E1326),N(F1326)),Settings!$C$10)=0),"Round amount | ",""),LEN(IF(K1326="No","Does not balance | ","")&amp;IF(I1326="","Not approved | ",IF(UPPER(TRIM(H1326))=UPPER(TRIM(I1326)),"Self-approved | ",""))&amp;IF(J1326="","No support | ","")&amp;IF(WEEKDAY(B1326,2)&gt;5,"Weekend posting | ","")&amp;IF(COUNTIF(Settings!$A$14:$A$43,B1326)&gt;0,"Holiday posting | ","")&amp;IF(B1326&gt;Settings!$C$8,"Posted after close | ","")&amp;IF(OR(B1326&lt;Settings!$C$6,B1326&gt;Settings!$C$7),"Outside period | ","")&amp;IF(COUNTIF(Settings!$E$14:$E$43,C1326&amp;"")&gt;0,"Sensitive account | ","")&amp;IF(AND(MAX(N(E1326),N(F1326))&gt;=Settings!$C$9,MOD(MAX(N(E1326),N(F1326)),Settings!$C$10)=0),"Round amount | ",""))-3)))</f>
        <v/>
      </c>
      <c r="M1326" s="21" t="str">
        <f aca="false">IF(A1326="","",IF(COUNTIF($A$9:A1326,A1326)=1,MAX($M$8:M1325)+1,""))</f>
        <v/>
      </c>
    </row>
    <row r="1327" customFormat="false" ht="15" hidden="false" customHeight="false" outlineLevel="0" collapsed="false">
      <c r="A1327" s="8"/>
      <c r="B1327" s="17"/>
      <c r="C1327" s="19"/>
      <c r="D1327" s="8"/>
      <c r="E1327" s="18"/>
      <c r="F1327" s="18"/>
      <c r="G1327" s="8"/>
      <c r="H1327" s="8"/>
      <c r="I1327" s="8"/>
      <c r="J1327" s="8"/>
      <c r="K1327" s="10" t="str">
        <f aca="false">IF(A1327="","",IF(ABS(SUMIFS($E$9:$E$2008,$A$9:$A$2008,A1327)-SUMIFS($F$9:$F$2008,$A$9:$A$2008,A1327))&lt;0.5,"Yes","No"))</f>
        <v/>
      </c>
      <c r="L1327" s="10" t="str">
        <f aca="false">IF(A1327="","",IF(IF(K1327="No","Does not balance | ","")&amp;IF(I1327="","Not approved | ",IF(UPPER(TRIM(H1327))=UPPER(TRIM(I1327)),"Self-approved | ",""))&amp;IF(J1327="","No support | ","")&amp;IF(WEEKDAY(B1327,2)&gt;5,"Weekend posting | ","")&amp;IF(COUNTIF(Settings!$A$14:$A$43,B1327)&gt;0,"Holiday posting | ","")&amp;IF(B1327&gt;Settings!$C$8,"Posted after close | ","")&amp;IF(OR(B1327&lt;Settings!$C$6,B1327&gt;Settings!$C$7),"Outside period | ","")&amp;IF(COUNTIF(Settings!$E$14:$E$43,C1327&amp;"")&gt;0,"Sensitive account | ","")&amp;IF(AND(MAX(N(E1327),N(F1327))&gt;=Settings!$C$9,MOD(MAX(N(E1327),N(F1327)),Settings!$C$10)=0),"Round amount | ","")="","",LEFT(IF(K1327="No","Does not balance | ","")&amp;IF(I1327="","Not approved | ",IF(UPPER(TRIM(H1327))=UPPER(TRIM(I1327)),"Self-approved | ",""))&amp;IF(J1327="","No support | ","")&amp;IF(WEEKDAY(B1327,2)&gt;5,"Weekend posting | ","")&amp;IF(COUNTIF(Settings!$A$14:$A$43,B1327)&gt;0,"Holiday posting | ","")&amp;IF(B1327&gt;Settings!$C$8,"Posted after close | ","")&amp;IF(OR(B1327&lt;Settings!$C$6,B1327&gt;Settings!$C$7),"Outside period | ","")&amp;IF(COUNTIF(Settings!$E$14:$E$43,C1327&amp;"")&gt;0,"Sensitive account | ","")&amp;IF(AND(MAX(N(E1327),N(F1327))&gt;=Settings!$C$9,MOD(MAX(N(E1327),N(F1327)),Settings!$C$10)=0),"Round amount | ",""),LEN(IF(K1327="No","Does not balance | ","")&amp;IF(I1327="","Not approved | ",IF(UPPER(TRIM(H1327))=UPPER(TRIM(I1327)),"Self-approved | ",""))&amp;IF(J1327="","No support | ","")&amp;IF(WEEKDAY(B1327,2)&gt;5,"Weekend posting | ","")&amp;IF(COUNTIF(Settings!$A$14:$A$43,B1327)&gt;0,"Holiday posting | ","")&amp;IF(B1327&gt;Settings!$C$8,"Posted after close | ","")&amp;IF(OR(B1327&lt;Settings!$C$6,B1327&gt;Settings!$C$7),"Outside period | ","")&amp;IF(COUNTIF(Settings!$E$14:$E$43,C1327&amp;"")&gt;0,"Sensitive account | ","")&amp;IF(AND(MAX(N(E1327),N(F1327))&gt;=Settings!$C$9,MOD(MAX(N(E1327),N(F1327)),Settings!$C$10)=0),"Round amount | ",""))-3)))</f>
        <v/>
      </c>
      <c r="M1327" s="21" t="str">
        <f aca="false">IF(A1327="","",IF(COUNTIF($A$9:A1327,A1327)=1,MAX($M$8:M1326)+1,""))</f>
        <v/>
      </c>
    </row>
    <row r="1328" customFormat="false" ht="15" hidden="false" customHeight="false" outlineLevel="0" collapsed="false">
      <c r="A1328" s="8"/>
      <c r="B1328" s="17"/>
      <c r="C1328" s="19"/>
      <c r="D1328" s="8"/>
      <c r="E1328" s="18"/>
      <c r="F1328" s="18"/>
      <c r="G1328" s="8"/>
      <c r="H1328" s="8"/>
      <c r="I1328" s="8"/>
      <c r="J1328" s="8"/>
      <c r="K1328" s="10" t="str">
        <f aca="false">IF(A1328="","",IF(ABS(SUMIFS($E$9:$E$2008,$A$9:$A$2008,A1328)-SUMIFS($F$9:$F$2008,$A$9:$A$2008,A1328))&lt;0.5,"Yes","No"))</f>
        <v/>
      </c>
      <c r="L1328" s="10" t="str">
        <f aca="false">IF(A1328="","",IF(IF(K1328="No","Does not balance | ","")&amp;IF(I1328="","Not approved | ",IF(UPPER(TRIM(H1328))=UPPER(TRIM(I1328)),"Self-approved | ",""))&amp;IF(J1328="","No support | ","")&amp;IF(WEEKDAY(B1328,2)&gt;5,"Weekend posting | ","")&amp;IF(COUNTIF(Settings!$A$14:$A$43,B1328)&gt;0,"Holiday posting | ","")&amp;IF(B1328&gt;Settings!$C$8,"Posted after close | ","")&amp;IF(OR(B1328&lt;Settings!$C$6,B1328&gt;Settings!$C$7),"Outside period | ","")&amp;IF(COUNTIF(Settings!$E$14:$E$43,C1328&amp;"")&gt;0,"Sensitive account | ","")&amp;IF(AND(MAX(N(E1328),N(F1328))&gt;=Settings!$C$9,MOD(MAX(N(E1328),N(F1328)),Settings!$C$10)=0),"Round amount | ","")="","",LEFT(IF(K1328="No","Does not balance | ","")&amp;IF(I1328="","Not approved | ",IF(UPPER(TRIM(H1328))=UPPER(TRIM(I1328)),"Self-approved | ",""))&amp;IF(J1328="","No support | ","")&amp;IF(WEEKDAY(B1328,2)&gt;5,"Weekend posting | ","")&amp;IF(COUNTIF(Settings!$A$14:$A$43,B1328)&gt;0,"Holiday posting | ","")&amp;IF(B1328&gt;Settings!$C$8,"Posted after close | ","")&amp;IF(OR(B1328&lt;Settings!$C$6,B1328&gt;Settings!$C$7),"Outside period | ","")&amp;IF(COUNTIF(Settings!$E$14:$E$43,C1328&amp;"")&gt;0,"Sensitive account | ","")&amp;IF(AND(MAX(N(E1328),N(F1328))&gt;=Settings!$C$9,MOD(MAX(N(E1328),N(F1328)),Settings!$C$10)=0),"Round amount | ",""),LEN(IF(K1328="No","Does not balance | ","")&amp;IF(I1328="","Not approved | ",IF(UPPER(TRIM(H1328))=UPPER(TRIM(I1328)),"Self-approved | ",""))&amp;IF(J1328="","No support | ","")&amp;IF(WEEKDAY(B1328,2)&gt;5,"Weekend posting | ","")&amp;IF(COUNTIF(Settings!$A$14:$A$43,B1328)&gt;0,"Holiday posting | ","")&amp;IF(B1328&gt;Settings!$C$8,"Posted after close | ","")&amp;IF(OR(B1328&lt;Settings!$C$6,B1328&gt;Settings!$C$7),"Outside period | ","")&amp;IF(COUNTIF(Settings!$E$14:$E$43,C1328&amp;"")&gt;0,"Sensitive account | ","")&amp;IF(AND(MAX(N(E1328),N(F1328))&gt;=Settings!$C$9,MOD(MAX(N(E1328),N(F1328)),Settings!$C$10)=0),"Round amount | ",""))-3)))</f>
        <v/>
      </c>
      <c r="M1328" s="21" t="str">
        <f aca="false">IF(A1328="","",IF(COUNTIF($A$9:A1328,A1328)=1,MAX($M$8:M1327)+1,""))</f>
        <v/>
      </c>
    </row>
    <row r="1329" customFormat="false" ht="15" hidden="false" customHeight="false" outlineLevel="0" collapsed="false">
      <c r="A1329" s="8"/>
      <c r="B1329" s="17"/>
      <c r="C1329" s="19"/>
      <c r="D1329" s="8"/>
      <c r="E1329" s="18"/>
      <c r="F1329" s="18"/>
      <c r="G1329" s="8"/>
      <c r="H1329" s="8"/>
      <c r="I1329" s="8"/>
      <c r="J1329" s="8"/>
      <c r="K1329" s="10" t="str">
        <f aca="false">IF(A1329="","",IF(ABS(SUMIFS($E$9:$E$2008,$A$9:$A$2008,A1329)-SUMIFS($F$9:$F$2008,$A$9:$A$2008,A1329))&lt;0.5,"Yes","No"))</f>
        <v/>
      </c>
      <c r="L1329" s="10" t="str">
        <f aca="false">IF(A1329="","",IF(IF(K1329="No","Does not balance | ","")&amp;IF(I1329="","Not approved | ",IF(UPPER(TRIM(H1329))=UPPER(TRIM(I1329)),"Self-approved | ",""))&amp;IF(J1329="","No support | ","")&amp;IF(WEEKDAY(B1329,2)&gt;5,"Weekend posting | ","")&amp;IF(COUNTIF(Settings!$A$14:$A$43,B1329)&gt;0,"Holiday posting | ","")&amp;IF(B1329&gt;Settings!$C$8,"Posted after close | ","")&amp;IF(OR(B1329&lt;Settings!$C$6,B1329&gt;Settings!$C$7),"Outside period | ","")&amp;IF(COUNTIF(Settings!$E$14:$E$43,C1329&amp;"")&gt;0,"Sensitive account | ","")&amp;IF(AND(MAX(N(E1329),N(F1329))&gt;=Settings!$C$9,MOD(MAX(N(E1329),N(F1329)),Settings!$C$10)=0),"Round amount | ","")="","",LEFT(IF(K1329="No","Does not balance | ","")&amp;IF(I1329="","Not approved | ",IF(UPPER(TRIM(H1329))=UPPER(TRIM(I1329)),"Self-approved | ",""))&amp;IF(J1329="","No support | ","")&amp;IF(WEEKDAY(B1329,2)&gt;5,"Weekend posting | ","")&amp;IF(COUNTIF(Settings!$A$14:$A$43,B1329)&gt;0,"Holiday posting | ","")&amp;IF(B1329&gt;Settings!$C$8,"Posted after close | ","")&amp;IF(OR(B1329&lt;Settings!$C$6,B1329&gt;Settings!$C$7),"Outside period | ","")&amp;IF(COUNTIF(Settings!$E$14:$E$43,C1329&amp;"")&gt;0,"Sensitive account | ","")&amp;IF(AND(MAX(N(E1329),N(F1329))&gt;=Settings!$C$9,MOD(MAX(N(E1329),N(F1329)),Settings!$C$10)=0),"Round amount | ",""),LEN(IF(K1329="No","Does not balance | ","")&amp;IF(I1329="","Not approved | ",IF(UPPER(TRIM(H1329))=UPPER(TRIM(I1329)),"Self-approved | ",""))&amp;IF(J1329="","No support | ","")&amp;IF(WEEKDAY(B1329,2)&gt;5,"Weekend posting | ","")&amp;IF(COUNTIF(Settings!$A$14:$A$43,B1329)&gt;0,"Holiday posting | ","")&amp;IF(B1329&gt;Settings!$C$8,"Posted after close | ","")&amp;IF(OR(B1329&lt;Settings!$C$6,B1329&gt;Settings!$C$7),"Outside period | ","")&amp;IF(COUNTIF(Settings!$E$14:$E$43,C1329&amp;"")&gt;0,"Sensitive account | ","")&amp;IF(AND(MAX(N(E1329),N(F1329))&gt;=Settings!$C$9,MOD(MAX(N(E1329),N(F1329)),Settings!$C$10)=0),"Round amount | ",""))-3)))</f>
        <v/>
      </c>
      <c r="M1329" s="21" t="str">
        <f aca="false">IF(A1329="","",IF(COUNTIF($A$9:A1329,A1329)=1,MAX($M$8:M1328)+1,""))</f>
        <v/>
      </c>
    </row>
    <row r="1330" customFormat="false" ht="15" hidden="false" customHeight="false" outlineLevel="0" collapsed="false">
      <c r="A1330" s="8"/>
      <c r="B1330" s="17"/>
      <c r="C1330" s="19"/>
      <c r="D1330" s="8"/>
      <c r="E1330" s="18"/>
      <c r="F1330" s="18"/>
      <c r="G1330" s="8"/>
      <c r="H1330" s="8"/>
      <c r="I1330" s="8"/>
      <c r="J1330" s="8"/>
      <c r="K1330" s="10" t="str">
        <f aca="false">IF(A1330="","",IF(ABS(SUMIFS($E$9:$E$2008,$A$9:$A$2008,A1330)-SUMIFS($F$9:$F$2008,$A$9:$A$2008,A1330))&lt;0.5,"Yes","No"))</f>
        <v/>
      </c>
      <c r="L1330" s="10" t="str">
        <f aca="false">IF(A1330="","",IF(IF(K1330="No","Does not balance | ","")&amp;IF(I1330="","Not approved | ",IF(UPPER(TRIM(H1330))=UPPER(TRIM(I1330)),"Self-approved | ",""))&amp;IF(J1330="","No support | ","")&amp;IF(WEEKDAY(B1330,2)&gt;5,"Weekend posting | ","")&amp;IF(COUNTIF(Settings!$A$14:$A$43,B1330)&gt;0,"Holiday posting | ","")&amp;IF(B1330&gt;Settings!$C$8,"Posted after close | ","")&amp;IF(OR(B1330&lt;Settings!$C$6,B1330&gt;Settings!$C$7),"Outside period | ","")&amp;IF(COUNTIF(Settings!$E$14:$E$43,C1330&amp;"")&gt;0,"Sensitive account | ","")&amp;IF(AND(MAX(N(E1330),N(F1330))&gt;=Settings!$C$9,MOD(MAX(N(E1330),N(F1330)),Settings!$C$10)=0),"Round amount | ","")="","",LEFT(IF(K1330="No","Does not balance | ","")&amp;IF(I1330="","Not approved | ",IF(UPPER(TRIM(H1330))=UPPER(TRIM(I1330)),"Self-approved | ",""))&amp;IF(J1330="","No support | ","")&amp;IF(WEEKDAY(B1330,2)&gt;5,"Weekend posting | ","")&amp;IF(COUNTIF(Settings!$A$14:$A$43,B1330)&gt;0,"Holiday posting | ","")&amp;IF(B1330&gt;Settings!$C$8,"Posted after close | ","")&amp;IF(OR(B1330&lt;Settings!$C$6,B1330&gt;Settings!$C$7),"Outside period | ","")&amp;IF(COUNTIF(Settings!$E$14:$E$43,C1330&amp;"")&gt;0,"Sensitive account | ","")&amp;IF(AND(MAX(N(E1330),N(F1330))&gt;=Settings!$C$9,MOD(MAX(N(E1330),N(F1330)),Settings!$C$10)=0),"Round amount | ",""),LEN(IF(K1330="No","Does not balance | ","")&amp;IF(I1330="","Not approved | ",IF(UPPER(TRIM(H1330))=UPPER(TRIM(I1330)),"Self-approved | ",""))&amp;IF(J1330="","No support | ","")&amp;IF(WEEKDAY(B1330,2)&gt;5,"Weekend posting | ","")&amp;IF(COUNTIF(Settings!$A$14:$A$43,B1330)&gt;0,"Holiday posting | ","")&amp;IF(B1330&gt;Settings!$C$8,"Posted after close | ","")&amp;IF(OR(B1330&lt;Settings!$C$6,B1330&gt;Settings!$C$7),"Outside period | ","")&amp;IF(COUNTIF(Settings!$E$14:$E$43,C1330&amp;"")&gt;0,"Sensitive account | ","")&amp;IF(AND(MAX(N(E1330),N(F1330))&gt;=Settings!$C$9,MOD(MAX(N(E1330),N(F1330)),Settings!$C$10)=0),"Round amount | ",""))-3)))</f>
        <v/>
      </c>
      <c r="M1330" s="21" t="str">
        <f aca="false">IF(A1330="","",IF(COUNTIF($A$9:A1330,A1330)=1,MAX($M$8:M1329)+1,""))</f>
        <v/>
      </c>
    </row>
    <row r="1331" customFormat="false" ht="15" hidden="false" customHeight="false" outlineLevel="0" collapsed="false">
      <c r="A1331" s="8"/>
      <c r="B1331" s="17"/>
      <c r="C1331" s="19"/>
      <c r="D1331" s="8"/>
      <c r="E1331" s="18"/>
      <c r="F1331" s="18"/>
      <c r="G1331" s="8"/>
      <c r="H1331" s="8"/>
      <c r="I1331" s="8"/>
      <c r="J1331" s="8"/>
      <c r="K1331" s="10" t="str">
        <f aca="false">IF(A1331="","",IF(ABS(SUMIFS($E$9:$E$2008,$A$9:$A$2008,A1331)-SUMIFS($F$9:$F$2008,$A$9:$A$2008,A1331))&lt;0.5,"Yes","No"))</f>
        <v/>
      </c>
      <c r="L1331" s="10" t="str">
        <f aca="false">IF(A1331="","",IF(IF(K1331="No","Does not balance | ","")&amp;IF(I1331="","Not approved | ",IF(UPPER(TRIM(H1331))=UPPER(TRIM(I1331)),"Self-approved | ",""))&amp;IF(J1331="","No support | ","")&amp;IF(WEEKDAY(B1331,2)&gt;5,"Weekend posting | ","")&amp;IF(COUNTIF(Settings!$A$14:$A$43,B1331)&gt;0,"Holiday posting | ","")&amp;IF(B1331&gt;Settings!$C$8,"Posted after close | ","")&amp;IF(OR(B1331&lt;Settings!$C$6,B1331&gt;Settings!$C$7),"Outside period | ","")&amp;IF(COUNTIF(Settings!$E$14:$E$43,C1331&amp;"")&gt;0,"Sensitive account | ","")&amp;IF(AND(MAX(N(E1331),N(F1331))&gt;=Settings!$C$9,MOD(MAX(N(E1331),N(F1331)),Settings!$C$10)=0),"Round amount | ","")="","",LEFT(IF(K1331="No","Does not balance | ","")&amp;IF(I1331="","Not approved | ",IF(UPPER(TRIM(H1331))=UPPER(TRIM(I1331)),"Self-approved | ",""))&amp;IF(J1331="","No support | ","")&amp;IF(WEEKDAY(B1331,2)&gt;5,"Weekend posting | ","")&amp;IF(COUNTIF(Settings!$A$14:$A$43,B1331)&gt;0,"Holiday posting | ","")&amp;IF(B1331&gt;Settings!$C$8,"Posted after close | ","")&amp;IF(OR(B1331&lt;Settings!$C$6,B1331&gt;Settings!$C$7),"Outside period | ","")&amp;IF(COUNTIF(Settings!$E$14:$E$43,C1331&amp;"")&gt;0,"Sensitive account | ","")&amp;IF(AND(MAX(N(E1331),N(F1331))&gt;=Settings!$C$9,MOD(MAX(N(E1331),N(F1331)),Settings!$C$10)=0),"Round amount | ",""),LEN(IF(K1331="No","Does not balance | ","")&amp;IF(I1331="","Not approved | ",IF(UPPER(TRIM(H1331))=UPPER(TRIM(I1331)),"Self-approved | ",""))&amp;IF(J1331="","No support | ","")&amp;IF(WEEKDAY(B1331,2)&gt;5,"Weekend posting | ","")&amp;IF(COUNTIF(Settings!$A$14:$A$43,B1331)&gt;0,"Holiday posting | ","")&amp;IF(B1331&gt;Settings!$C$8,"Posted after close | ","")&amp;IF(OR(B1331&lt;Settings!$C$6,B1331&gt;Settings!$C$7),"Outside period | ","")&amp;IF(COUNTIF(Settings!$E$14:$E$43,C1331&amp;"")&gt;0,"Sensitive account | ","")&amp;IF(AND(MAX(N(E1331),N(F1331))&gt;=Settings!$C$9,MOD(MAX(N(E1331),N(F1331)),Settings!$C$10)=0),"Round amount | ",""))-3)))</f>
        <v/>
      </c>
      <c r="M1331" s="21" t="str">
        <f aca="false">IF(A1331="","",IF(COUNTIF($A$9:A1331,A1331)=1,MAX($M$8:M1330)+1,""))</f>
        <v/>
      </c>
    </row>
    <row r="1332" customFormat="false" ht="15" hidden="false" customHeight="false" outlineLevel="0" collapsed="false">
      <c r="A1332" s="8"/>
      <c r="B1332" s="17"/>
      <c r="C1332" s="19"/>
      <c r="D1332" s="8"/>
      <c r="E1332" s="18"/>
      <c r="F1332" s="18"/>
      <c r="G1332" s="8"/>
      <c r="H1332" s="8"/>
      <c r="I1332" s="8"/>
      <c r="J1332" s="8"/>
      <c r="K1332" s="10" t="str">
        <f aca="false">IF(A1332="","",IF(ABS(SUMIFS($E$9:$E$2008,$A$9:$A$2008,A1332)-SUMIFS($F$9:$F$2008,$A$9:$A$2008,A1332))&lt;0.5,"Yes","No"))</f>
        <v/>
      </c>
      <c r="L1332" s="10" t="str">
        <f aca="false">IF(A1332="","",IF(IF(K1332="No","Does not balance | ","")&amp;IF(I1332="","Not approved | ",IF(UPPER(TRIM(H1332))=UPPER(TRIM(I1332)),"Self-approved | ",""))&amp;IF(J1332="","No support | ","")&amp;IF(WEEKDAY(B1332,2)&gt;5,"Weekend posting | ","")&amp;IF(COUNTIF(Settings!$A$14:$A$43,B1332)&gt;0,"Holiday posting | ","")&amp;IF(B1332&gt;Settings!$C$8,"Posted after close | ","")&amp;IF(OR(B1332&lt;Settings!$C$6,B1332&gt;Settings!$C$7),"Outside period | ","")&amp;IF(COUNTIF(Settings!$E$14:$E$43,C1332&amp;"")&gt;0,"Sensitive account | ","")&amp;IF(AND(MAX(N(E1332),N(F1332))&gt;=Settings!$C$9,MOD(MAX(N(E1332),N(F1332)),Settings!$C$10)=0),"Round amount | ","")="","",LEFT(IF(K1332="No","Does not balance | ","")&amp;IF(I1332="","Not approved | ",IF(UPPER(TRIM(H1332))=UPPER(TRIM(I1332)),"Self-approved | ",""))&amp;IF(J1332="","No support | ","")&amp;IF(WEEKDAY(B1332,2)&gt;5,"Weekend posting | ","")&amp;IF(COUNTIF(Settings!$A$14:$A$43,B1332)&gt;0,"Holiday posting | ","")&amp;IF(B1332&gt;Settings!$C$8,"Posted after close | ","")&amp;IF(OR(B1332&lt;Settings!$C$6,B1332&gt;Settings!$C$7),"Outside period | ","")&amp;IF(COUNTIF(Settings!$E$14:$E$43,C1332&amp;"")&gt;0,"Sensitive account | ","")&amp;IF(AND(MAX(N(E1332),N(F1332))&gt;=Settings!$C$9,MOD(MAX(N(E1332),N(F1332)),Settings!$C$10)=0),"Round amount | ",""),LEN(IF(K1332="No","Does not balance | ","")&amp;IF(I1332="","Not approved | ",IF(UPPER(TRIM(H1332))=UPPER(TRIM(I1332)),"Self-approved | ",""))&amp;IF(J1332="","No support | ","")&amp;IF(WEEKDAY(B1332,2)&gt;5,"Weekend posting | ","")&amp;IF(COUNTIF(Settings!$A$14:$A$43,B1332)&gt;0,"Holiday posting | ","")&amp;IF(B1332&gt;Settings!$C$8,"Posted after close | ","")&amp;IF(OR(B1332&lt;Settings!$C$6,B1332&gt;Settings!$C$7),"Outside period | ","")&amp;IF(COUNTIF(Settings!$E$14:$E$43,C1332&amp;"")&gt;0,"Sensitive account | ","")&amp;IF(AND(MAX(N(E1332),N(F1332))&gt;=Settings!$C$9,MOD(MAX(N(E1332),N(F1332)),Settings!$C$10)=0),"Round amount | ",""))-3)))</f>
        <v/>
      </c>
      <c r="M1332" s="21" t="str">
        <f aca="false">IF(A1332="","",IF(COUNTIF($A$9:A1332,A1332)=1,MAX($M$8:M1331)+1,""))</f>
        <v/>
      </c>
    </row>
    <row r="1333" customFormat="false" ht="15" hidden="false" customHeight="false" outlineLevel="0" collapsed="false">
      <c r="A1333" s="8"/>
      <c r="B1333" s="17"/>
      <c r="C1333" s="19"/>
      <c r="D1333" s="8"/>
      <c r="E1333" s="18"/>
      <c r="F1333" s="18"/>
      <c r="G1333" s="8"/>
      <c r="H1333" s="8"/>
      <c r="I1333" s="8"/>
      <c r="J1333" s="8"/>
      <c r="K1333" s="10" t="str">
        <f aca="false">IF(A1333="","",IF(ABS(SUMIFS($E$9:$E$2008,$A$9:$A$2008,A1333)-SUMIFS($F$9:$F$2008,$A$9:$A$2008,A1333))&lt;0.5,"Yes","No"))</f>
        <v/>
      </c>
      <c r="L1333" s="10" t="str">
        <f aca="false">IF(A1333="","",IF(IF(K1333="No","Does not balance | ","")&amp;IF(I1333="","Not approved | ",IF(UPPER(TRIM(H1333))=UPPER(TRIM(I1333)),"Self-approved | ",""))&amp;IF(J1333="","No support | ","")&amp;IF(WEEKDAY(B1333,2)&gt;5,"Weekend posting | ","")&amp;IF(COUNTIF(Settings!$A$14:$A$43,B1333)&gt;0,"Holiday posting | ","")&amp;IF(B1333&gt;Settings!$C$8,"Posted after close | ","")&amp;IF(OR(B1333&lt;Settings!$C$6,B1333&gt;Settings!$C$7),"Outside period | ","")&amp;IF(COUNTIF(Settings!$E$14:$E$43,C1333&amp;"")&gt;0,"Sensitive account | ","")&amp;IF(AND(MAX(N(E1333),N(F1333))&gt;=Settings!$C$9,MOD(MAX(N(E1333),N(F1333)),Settings!$C$10)=0),"Round amount | ","")="","",LEFT(IF(K1333="No","Does not balance | ","")&amp;IF(I1333="","Not approved | ",IF(UPPER(TRIM(H1333))=UPPER(TRIM(I1333)),"Self-approved | ",""))&amp;IF(J1333="","No support | ","")&amp;IF(WEEKDAY(B1333,2)&gt;5,"Weekend posting | ","")&amp;IF(COUNTIF(Settings!$A$14:$A$43,B1333)&gt;0,"Holiday posting | ","")&amp;IF(B1333&gt;Settings!$C$8,"Posted after close | ","")&amp;IF(OR(B1333&lt;Settings!$C$6,B1333&gt;Settings!$C$7),"Outside period | ","")&amp;IF(COUNTIF(Settings!$E$14:$E$43,C1333&amp;"")&gt;0,"Sensitive account | ","")&amp;IF(AND(MAX(N(E1333),N(F1333))&gt;=Settings!$C$9,MOD(MAX(N(E1333),N(F1333)),Settings!$C$10)=0),"Round amount | ",""),LEN(IF(K1333="No","Does not balance | ","")&amp;IF(I1333="","Not approved | ",IF(UPPER(TRIM(H1333))=UPPER(TRIM(I1333)),"Self-approved | ",""))&amp;IF(J1333="","No support | ","")&amp;IF(WEEKDAY(B1333,2)&gt;5,"Weekend posting | ","")&amp;IF(COUNTIF(Settings!$A$14:$A$43,B1333)&gt;0,"Holiday posting | ","")&amp;IF(B1333&gt;Settings!$C$8,"Posted after close | ","")&amp;IF(OR(B1333&lt;Settings!$C$6,B1333&gt;Settings!$C$7),"Outside period | ","")&amp;IF(COUNTIF(Settings!$E$14:$E$43,C1333&amp;"")&gt;0,"Sensitive account | ","")&amp;IF(AND(MAX(N(E1333),N(F1333))&gt;=Settings!$C$9,MOD(MAX(N(E1333),N(F1333)),Settings!$C$10)=0),"Round amount | ",""))-3)))</f>
        <v/>
      </c>
      <c r="M1333" s="21" t="str">
        <f aca="false">IF(A1333="","",IF(COUNTIF($A$9:A1333,A1333)=1,MAX($M$8:M1332)+1,""))</f>
        <v/>
      </c>
    </row>
    <row r="1334" customFormat="false" ht="15" hidden="false" customHeight="false" outlineLevel="0" collapsed="false">
      <c r="A1334" s="8"/>
      <c r="B1334" s="17"/>
      <c r="C1334" s="19"/>
      <c r="D1334" s="8"/>
      <c r="E1334" s="18"/>
      <c r="F1334" s="18"/>
      <c r="G1334" s="8"/>
      <c r="H1334" s="8"/>
      <c r="I1334" s="8"/>
      <c r="J1334" s="8"/>
      <c r="K1334" s="10" t="str">
        <f aca="false">IF(A1334="","",IF(ABS(SUMIFS($E$9:$E$2008,$A$9:$A$2008,A1334)-SUMIFS($F$9:$F$2008,$A$9:$A$2008,A1334))&lt;0.5,"Yes","No"))</f>
        <v/>
      </c>
      <c r="L1334" s="10" t="str">
        <f aca="false">IF(A1334="","",IF(IF(K1334="No","Does not balance | ","")&amp;IF(I1334="","Not approved | ",IF(UPPER(TRIM(H1334))=UPPER(TRIM(I1334)),"Self-approved | ",""))&amp;IF(J1334="","No support | ","")&amp;IF(WEEKDAY(B1334,2)&gt;5,"Weekend posting | ","")&amp;IF(COUNTIF(Settings!$A$14:$A$43,B1334)&gt;0,"Holiday posting | ","")&amp;IF(B1334&gt;Settings!$C$8,"Posted after close | ","")&amp;IF(OR(B1334&lt;Settings!$C$6,B1334&gt;Settings!$C$7),"Outside period | ","")&amp;IF(COUNTIF(Settings!$E$14:$E$43,C1334&amp;"")&gt;0,"Sensitive account | ","")&amp;IF(AND(MAX(N(E1334),N(F1334))&gt;=Settings!$C$9,MOD(MAX(N(E1334),N(F1334)),Settings!$C$10)=0),"Round amount | ","")="","",LEFT(IF(K1334="No","Does not balance | ","")&amp;IF(I1334="","Not approved | ",IF(UPPER(TRIM(H1334))=UPPER(TRIM(I1334)),"Self-approved | ",""))&amp;IF(J1334="","No support | ","")&amp;IF(WEEKDAY(B1334,2)&gt;5,"Weekend posting | ","")&amp;IF(COUNTIF(Settings!$A$14:$A$43,B1334)&gt;0,"Holiday posting | ","")&amp;IF(B1334&gt;Settings!$C$8,"Posted after close | ","")&amp;IF(OR(B1334&lt;Settings!$C$6,B1334&gt;Settings!$C$7),"Outside period | ","")&amp;IF(COUNTIF(Settings!$E$14:$E$43,C1334&amp;"")&gt;0,"Sensitive account | ","")&amp;IF(AND(MAX(N(E1334),N(F1334))&gt;=Settings!$C$9,MOD(MAX(N(E1334),N(F1334)),Settings!$C$10)=0),"Round amount | ",""),LEN(IF(K1334="No","Does not balance | ","")&amp;IF(I1334="","Not approved | ",IF(UPPER(TRIM(H1334))=UPPER(TRIM(I1334)),"Self-approved | ",""))&amp;IF(J1334="","No support | ","")&amp;IF(WEEKDAY(B1334,2)&gt;5,"Weekend posting | ","")&amp;IF(COUNTIF(Settings!$A$14:$A$43,B1334)&gt;0,"Holiday posting | ","")&amp;IF(B1334&gt;Settings!$C$8,"Posted after close | ","")&amp;IF(OR(B1334&lt;Settings!$C$6,B1334&gt;Settings!$C$7),"Outside period | ","")&amp;IF(COUNTIF(Settings!$E$14:$E$43,C1334&amp;"")&gt;0,"Sensitive account | ","")&amp;IF(AND(MAX(N(E1334),N(F1334))&gt;=Settings!$C$9,MOD(MAX(N(E1334),N(F1334)),Settings!$C$10)=0),"Round amount | ",""))-3)))</f>
        <v/>
      </c>
      <c r="M1334" s="21" t="str">
        <f aca="false">IF(A1334="","",IF(COUNTIF($A$9:A1334,A1334)=1,MAX($M$8:M1333)+1,""))</f>
        <v/>
      </c>
    </row>
    <row r="1335" customFormat="false" ht="15" hidden="false" customHeight="false" outlineLevel="0" collapsed="false">
      <c r="A1335" s="8"/>
      <c r="B1335" s="17"/>
      <c r="C1335" s="19"/>
      <c r="D1335" s="8"/>
      <c r="E1335" s="18"/>
      <c r="F1335" s="18"/>
      <c r="G1335" s="8"/>
      <c r="H1335" s="8"/>
      <c r="I1335" s="8"/>
      <c r="J1335" s="8"/>
      <c r="K1335" s="10" t="str">
        <f aca="false">IF(A1335="","",IF(ABS(SUMIFS($E$9:$E$2008,$A$9:$A$2008,A1335)-SUMIFS($F$9:$F$2008,$A$9:$A$2008,A1335))&lt;0.5,"Yes","No"))</f>
        <v/>
      </c>
      <c r="L1335" s="10" t="str">
        <f aca="false">IF(A1335="","",IF(IF(K1335="No","Does not balance | ","")&amp;IF(I1335="","Not approved | ",IF(UPPER(TRIM(H1335))=UPPER(TRIM(I1335)),"Self-approved | ",""))&amp;IF(J1335="","No support | ","")&amp;IF(WEEKDAY(B1335,2)&gt;5,"Weekend posting | ","")&amp;IF(COUNTIF(Settings!$A$14:$A$43,B1335)&gt;0,"Holiday posting | ","")&amp;IF(B1335&gt;Settings!$C$8,"Posted after close | ","")&amp;IF(OR(B1335&lt;Settings!$C$6,B1335&gt;Settings!$C$7),"Outside period | ","")&amp;IF(COUNTIF(Settings!$E$14:$E$43,C1335&amp;"")&gt;0,"Sensitive account | ","")&amp;IF(AND(MAX(N(E1335),N(F1335))&gt;=Settings!$C$9,MOD(MAX(N(E1335),N(F1335)),Settings!$C$10)=0),"Round amount | ","")="","",LEFT(IF(K1335="No","Does not balance | ","")&amp;IF(I1335="","Not approved | ",IF(UPPER(TRIM(H1335))=UPPER(TRIM(I1335)),"Self-approved | ",""))&amp;IF(J1335="","No support | ","")&amp;IF(WEEKDAY(B1335,2)&gt;5,"Weekend posting | ","")&amp;IF(COUNTIF(Settings!$A$14:$A$43,B1335)&gt;0,"Holiday posting | ","")&amp;IF(B1335&gt;Settings!$C$8,"Posted after close | ","")&amp;IF(OR(B1335&lt;Settings!$C$6,B1335&gt;Settings!$C$7),"Outside period | ","")&amp;IF(COUNTIF(Settings!$E$14:$E$43,C1335&amp;"")&gt;0,"Sensitive account | ","")&amp;IF(AND(MAX(N(E1335),N(F1335))&gt;=Settings!$C$9,MOD(MAX(N(E1335),N(F1335)),Settings!$C$10)=0),"Round amount | ",""),LEN(IF(K1335="No","Does not balance | ","")&amp;IF(I1335="","Not approved | ",IF(UPPER(TRIM(H1335))=UPPER(TRIM(I1335)),"Self-approved | ",""))&amp;IF(J1335="","No support | ","")&amp;IF(WEEKDAY(B1335,2)&gt;5,"Weekend posting | ","")&amp;IF(COUNTIF(Settings!$A$14:$A$43,B1335)&gt;0,"Holiday posting | ","")&amp;IF(B1335&gt;Settings!$C$8,"Posted after close | ","")&amp;IF(OR(B1335&lt;Settings!$C$6,B1335&gt;Settings!$C$7),"Outside period | ","")&amp;IF(COUNTIF(Settings!$E$14:$E$43,C1335&amp;"")&gt;0,"Sensitive account | ","")&amp;IF(AND(MAX(N(E1335),N(F1335))&gt;=Settings!$C$9,MOD(MAX(N(E1335),N(F1335)),Settings!$C$10)=0),"Round amount | ",""))-3)))</f>
        <v/>
      </c>
      <c r="M1335" s="21" t="str">
        <f aca="false">IF(A1335="","",IF(COUNTIF($A$9:A1335,A1335)=1,MAX($M$8:M1334)+1,""))</f>
        <v/>
      </c>
    </row>
    <row r="1336" customFormat="false" ht="15" hidden="false" customHeight="false" outlineLevel="0" collapsed="false">
      <c r="A1336" s="8"/>
      <c r="B1336" s="17"/>
      <c r="C1336" s="19"/>
      <c r="D1336" s="8"/>
      <c r="E1336" s="18"/>
      <c r="F1336" s="18"/>
      <c r="G1336" s="8"/>
      <c r="H1336" s="8"/>
      <c r="I1336" s="8"/>
      <c r="J1336" s="8"/>
      <c r="K1336" s="10" t="str">
        <f aca="false">IF(A1336="","",IF(ABS(SUMIFS($E$9:$E$2008,$A$9:$A$2008,A1336)-SUMIFS($F$9:$F$2008,$A$9:$A$2008,A1336))&lt;0.5,"Yes","No"))</f>
        <v/>
      </c>
      <c r="L1336" s="10" t="str">
        <f aca="false">IF(A1336="","",IF(IF(K1336="No","Does not balance | ","")&amp;IF(I1336="","Not approved | ",IF(UPPER(TRIM(H1336))=UPPER(TRIM(I1336)),"Self-approved | ",""))&amp;IF(J1336="","No support | ","")&amp;IF(WEEKDAY(B1336,2)&gt;5,"Weekend posting | ","")&amp;IF(COUNTIF(Settings!$A$14:$A$43,B1336)&gt;0,"Holiday posting | ","")&amp;IF(B1336&gt;Settings!$C$8,"Posted after close | ","")&amp;IF(OR(B1336&lt;Settings!$C$6,B1336&gt;Settings!$C$7),"Outside period | ","")&amp;IF(COUNTIF(Settings!$E$14:$E$43,C1336&amp;"")&gt;0,"Sensitive account | ","")&amp;IF(AND(MAX(N(E1336),N(F1336))&gt;=Settings!$C$9,MOD(MAX(N(E1336),N(F1336)),Settings!$C$10)=0),"Round amount | ","")="","",LEFT(IF(K1336="No","Does not balance | ","")&amp;IF(I1336="","Not approved | ",IF(UPPER(TRIM(H1336))=UPPER(TRIM(I1336)),"Self-approved | ",""))&amp;IF(J1336="","No support | ","")&amp;IF(WEEKDAY(B1336,2)&gt;5,"Weekend posting | ","")&amp;IF(COUNTIF(Settings!$A$14:$A$43,B1336)&gt;0,"Holiday posting | ","")&amp;IF(B1336&gt;Settings!$C$8,"Posted after close | ","")&amp;IF(OR(B1336&lt;Settings!$C$6,B1336&gt;Settings!$C$7),"Outside period | ","")&amp;IF(COUNTIF(Settings!$E$14:$E$43,C1336&amp;"")&gt;0,"Sensitive account | ","")&amp;IF(AND(MAX(N(E1336),N(F1336))&gt;=Settings!$C$9,MOD(MAX(N(E1336),N(F1336)),Settings!$C$10)=0),"Round amount | ",""),LEN(IF(K1336="No","Does not balance | ","")&amp;IF(I1336="","Not approved | ",IF(UPPER(TRIM(H1336))=UPPER(TRIM(I1336)),"Self-approved | ",""))&amp;IF(J1336="","No support | ","")&amp;IF(WEEKDAY(B1336,2)&gt;5,"Weekend posting | ","")&amp;IF(COUNTIF(Settings!$A$14:$A$43,B1336)&gt;0,"Holiday posting | ","")&amp;IF(B1336&gt;Settings!$C$8,"Posted after close | ","")&amp;IF(OR(B1336&lt;Settings!$C$6,B1336&gt;Settings!$C$7),"Outside period | ","")&amp;IF(COUNTIF(Settings!$E$14:$E$43,C1336&amp;"")&gt;0,"Sensitive account | ","")&amp;IF(AND(MAX(N(E1336),N(F1336))&gt;=Settings!$C$9,MOD(MAX(N(E1336),N(F1336)),Settings!$C$10)=0),"Round amount | ",""))-3)))</f>
        <v/>
      </c>
      <c r="M1336" s="21" t="str">
        <f aca="false">IF(A1336="","",IF(COUNTIF($A$9:A1336,A1336)=1,MAX($M$8:M1335)+1,""))</f>
        <v/>
      </c>
    </row>
    <row r="1337" customFormat="false" ht="15" hidden="false" customHeight="false" outlineLevel="0" collapsed="false">
      <c r="A1337" s="8"/>
      <c r="B1337" s="17"/>
      <c r="C1337" s="19"/>
      <c r="D1337" s="8"/>
      <c r="E1337" s="18"/>
      <c r="F1337" s="18"/>
      <c r="G1337" s="8"/>
      <c r="H1337" s="8"/>
      <c r="I1337" s="8"/>
      <c r="J1337" s="8"/>
      <c r="K1337" s="10" t="str">
        <f aca="false">IF(A1337="","",IF(ABS(SUMIFS($E$9:$E$2008,$A$9:$A$2008,A1337)-SUMIFS($F$9:$F$2008,$A$9:$A$2008,A1337))&lt;0.5,"Yes","No"))</f>
        <v/>
      </c>
      <c r="L1337" s="10" t="str">
        <f aca="false">IF(A1337="","",IF(IF(K1337="No","Does not balance | ","")&amp;IF(I1337="","Not approved | ",IF(UPPER(TRIM(H1337))=UPPER(TRIM(I1337)),"Self-approved | ",""))&amp;IF(J1337="","No support | ","")&amp;IF(WEEKDAY(B1337,2)&gt;5,"Weekend posting | ","")&amp;IF(COUNTIF(Settings!$A$14:$A$43,B1337)&gt;0,"Holiday posting | ","")&amp;IF(B1337&gt;Settings!$C$8,"Posted after close | ","")&amp;IF(OR(B1337&lt;Settings!$C$6,B1337&gt;Settings!$C$7),"Outside period | ","")&amp;IF(COUNTIF(Settings!$E$14:$E$43,C1337&amp;"")&gt;0,"Sensitive account | ","")&amp;IF(AND(MAX(N(E1337),N(F1337))&gt;=Settings!$C$9,MOD(MAX(N(E1337),N(F1337)),Settings!$C$10)=0),"Round amount | ","")="","",LEFT(IF(K1337="No","Does not balance | ","")&amp;IF(I1337="","Not approved | ",IF(UPPER(TRIM(H1337))=UPPER(TRIM(I1337)),"Self-approved | ",""))&amp;IF(J1337="","No support | ","")&amp;IF(WEEKDAY(B1337,2)&gt;5,"Weekend posting | ","")&amp;IF(COUNTIF(Settings!$A$14:$A$43,B1337)&gt;0,"Holiday posting | ","")&amp;IF(B1337&gt;Settings!$C$8,"Posted after close | ","")&amp;IF(OR(B1337&lt;Settings!$C$6,B1337&gt;Settings!$C$7),"Outside period | ","")&amp;IF(COUNTIF(Settings!$E$14:$E$43,C1337&amp;"")&gt;0,"Sensitive account | ","")&amp;IF(AND(MAX(N(E1337),N(F1337))&gt;=Settings!$C$9,MOD(MAX(N(E1337),N(F1337)),Settings!$C$10)=0),"Round amount | ",""),LEN(IF(K1337="No","Does not balance | ","")&amp;IF(I1337="","Not approved | ",IF(UPPER(TRIM(H1337))=UPPER(TRIM(I1337)),"Self-approved | ",""))&amp;IF(J1337="","No support | ","")&amp;IF(WEEKDAY(B1337,2)&gt;5,"Weekend posting | ","")&amp;IF(COUNTIF(Settings!$A$14:$A$43,B1337)&gt;0,"Holiday posting | ","")&amp;IF(B1337&gt;Settings!$C$8,"Posted after close | ","")&amp;IF(OR(B1337&lt;Settings!$C$6,B1337&gt;Settings!$C$7),"Outside period | ","")&amp;IF(COUNTIF(Settings!$E$14:$E$43,C1337&amp;"")&gt;0,"Sensitive account | ","")&amp;IF(AND(MAX(N(E1337),N(F1337))&gt;=Settings!$C$9,MOD(MAX(N(E1337),N(F1337)),Settings!$C$10)=0),"Round amount | ",""))-3)))</f>
        <v/>
      </c>
      <c r="M1337" s="21" t="str">
        <f aca="false">IF(A1337="","",IF(COUNTIF($A$9:A1337,A1337)=1,MAX($M$8:M1336)+1,""))</f>
        <v/>
      </c>
    </row>
    <row r="1338" customFormat="false" ht="15" hidden="false" customHeight="false" outlineLevel="0" collapsed="false">
      <c r="A1338" s="8"/>
      <c r="B1338" s="17"/>
      <c r="C1338" s="19"/>
      <c r="D1338" s="8"/>
      <c r="E1338" s="18"/>
      <c r="F1338" s="18"/>
      <c r="G1338" s="8"/>
      <c r="H1338" s="8"/>
      <c r="I1338" s="8"/>
      <c r="J1338" s="8"/>
      <c r="K1338" s="10" t="str">
        <f aca="false">IF(A1338="","",IF(ABS(SUMIFS($E$9:$E$2008,$A$9:$A$2008,A1338)-SUMIFS($F$9:$F$2008,$A$9:$A$2008,A1338))&lt;0.5,"Yes","No"))</f>
        <v/>
      </c>
      <c r="L1338" s="10" t="str">
        <f aca="false">IF(A1338="","",IF(IF(K1338="No","Does not balance | ","")&amp;IF(I1338="","Not approved | ",IF(UPPER(TRIM(H1338))=UPPER(TRIM(I1338)),"Self-approved | ",""))&amp;IF(J1338="","No support | ","")&amp;IF(WEEKDAY(B1338,2)&gt;5,"Weekend posting | ","")&amp;IF(COUNTIF(Settings!$A$14:$A$43,B1338)&gt;0,"Holiday posting | ","")&amp;IF(B1338&gt;Settings!$C$8,"Posted after close | ","")&amp;IF(OR(B1338&lt;Settings!$C$6,B1338&gt;Settings!$C$7),"Outside period | ","")&amp;IF(COUNTIF(Settings!$E$14:$E$43,C1338&amp;"")&gt;0,"Sensitive account | ","")&amp;IF(AND(MAX(N(E1338),N(F1338))&gt;=Settings!$C$9,MOD(MAX(N(E1338),N(F1338)),Settings!$C$10)=0),"Round amount | ","")="","",LEFT(IF(K1338="No","Does not balance | ","")&amp;IF(I1338="","Not approved | ",IF(UPPER(TRIM(H1338))=UPPER(TRIM(I1338)),"Self-approved | ",""))&amp;IF(J1338="","No support | ","")&amp;IF(WEEKDAY(B1338,2)&gt;5,"Weekend posting | ","")&amp;IF(COUNTIF(Settings!$A$14:$A$43,B1338)&gt;0,"Holiday posting | ","")&amp;IF(B1338&gt;Settings!$C$8,"Posted after close | ","")&amp;IF(OR(B1338&lt;Settings!$C$6,B1338&gt;Settings!$C$7),"Outside period | ","")&amp;IF(COUNTIF(Settings!$E$14:$E$43,C1338&amp;"")&gt;0,"Sensitive account | ","")&amp;IF(AND(MAX(N(E1338),N(F1338))&gt;=Settings!$C$9,MOD(MAX(N(E1338),N(F1338)),Settings!$C$10)=0),"Round amount | ",""),LEN(IF(K1338="No","Does not balance | ","")&amp;IF(I1338="","Not approved | ",IF(UPPER(TRIM(H1338))=UPPER(TRIM(I1338)),"Self-approved | ",""))&amp;IF(J1338="","No support | ","")&amp;IF(WEEKDAY(B1338,2)&gt;5,"Weekend posting | ","")&amp;IF(COUNTIF(Settings!$A$14:$A$43,B1338)&gt;0,"Holiday posting | ","")&amp;IF(B1338&gt;Settings!$C$8,"Posted after close | ","")&amp;IF(OR(B1338&lt;Settings!$C$6,B1338&gt;Settings!$C$7),"Outside period | ","")&amp;IF(COUNTIF(Settings!$E$14:$E$43,C1338&amp;"")&gt;0,"Sensitive account | ","")&amp;IF(AND(MAX(N(E1338),N(F1338))&gt;=Settings!$C$9,MOD(MAX(N(E1338),N(F1338)),Settings!$C$10)=0),"Round amount | ",""))-3)))</f>
        <v/>
      </c>
      <c r="M1338" s="21" t="str">
        <f aca="false">IF(A1338="","",IF(COUNTIF($A$9:A1338,A1338)=1,MAX($M$8:M1337)+1,""))</f>
        <v/>
      </c>
    </row>
    <row r="1339" customFormat="false" ht="15" hidden="false" customHeight="false" outlineLevel="0" collapsed="false">
      <c r="A1339" s="8"/>
      <c r="B1339" s="17"/>
      <c r="C1339" s="19"/>
      <c r="D1339" s="8"/>
      <c r="E1339" s="18"/>
      <c r="F1339" s="18"/>
      <c r="G1339" s="8"/>
      <c r="H1339" s="8"/>
      <c r="I1339" s="8"/>
      <c r="J1339" s="8"/>
      <c r="K1339" s="10" t="str">
        <f aca="false">IF(A1339="","",IF(ABS(SUMIFS($E$9:$E$2008,$A$9:$A$2008,A1339)-SUMIFS($F$9:$F$2008,$A$9:$A$2008,A1339))&lt;0.5,"Yes","No"))</f>
        <v/>
      </c>
      <c r="L1339" s="10" t="str">
        <f aca="false">IF(A1339="","",IF(IF(K1339="No","Does not balance | ","")&amp;IF(I1339="","Not approved | ",IF(UPPER(TRIM(H1339))=UPPER(TRIM(I1339)),"Self-approved | ",""))&amp;IF(J1339="","No support | ","")&amp;IF(WEEKDAY(B1339,2)&gt;5,"Weekend posting | ","")&amp;IF(COUNTIF(Settings!$A$14:$A$43,B1339)&gt;0,"Holiday posting | ","")&amp;IF(B1339&gt;Settings!$C$8,"Posted after close | ","")&amp;IF(OR(B1339&lt;Settings!$C$6,B1339&gt;Settings!$C$7),"Outside period | ","")&amp;IF(COUNTIF(Settings!$E$14:$E$43,C1339&amp;"")&gt;0,"Sensitive account | ","")&amp;IF(AND(MAX(N(E1339),N(F1339))&gt;=Settings!$C$9,MOD(MAX(N(E1339),N(F1339)),Settings!$C$10)=0),"Round amount | ","")="","",LEFT(IF(K1339="No","Does not balance | ","")&amp;IF(I1339="","Not approved | ",IF(UPPER(TRIM(H1339))=UPPER(TRIM(I1339)),"Self-approved | ",""))&amp;IF(J1339="","No support | ","")&amp;IF(WEEKDAY(B1339,2)&gt;5,"Weekend posting | ","")&amp;IF(COUNTIF(Settings!$A$14:$A$43,B1339)&gt;0,"Holiday posting | ","")&amp;IF(B1339&gt;Settings!$C$8,"Posted after close | ","")&amp;IF(OR(B1339&lt;Settings!$C$6,B1339&gt;Settings!$C$7),"Outside period | ","")&amp;IF(COUNTIF(Settings!$E$14:$E$43,C1339&amp;"")&gt;0,"Sensitive account | ","")&amp;IF(AND(MAX(N(E1339),N(F1339))&gt;=Settings!$C$9,MOD(MAX(N(E1339),N(F1339)),Settings!$C$10)=0),"Round amount | ",""),LEN(IF(K1339="No","Does not balance | ","")&amp;IF(I1339="","Not approved | ",IF(UPPER(TRIM(H1339))=UPPER(TRIM(I1339)),"Self-approved | ",""))&amp;IF(J1339="","No support | ","")&amp;IF(WEEKDAY(B1339,2)&gt;5,"Weekend posting | ","")&amp;IF(COUNTIF(Settings!$A$14:$A$43,B1339)&gt;0,"Holiday posting | ","")&amp;IF(B1339&gt;Settings!$C$8,"Posted after close | ","")&amp;IF(OR(B1339&lt;Settings!$C$6,B1339&gt;Settings!$C$7),"Outside period | ","")&amp;IF(COUNTIF(Settings!$E$14:$E$43,C1339&amp;"")&gt;0,"Sensitive account | ","")&amp;IF(AND(MAX(N(E1339),N(F1339))&gt;=Settings!$C$9,MOD(MAX(N(E1339),N(F1339)),Settings!$C$10)=0),"Round amount | ",""))-3)))</f>
        <v/>
      </c>
      <c r="M1339" s="21" t="str">
        <f aca="false">IF(A1339="","",IF(COUNTIF($A$9:A1339,A1339)=1,MAX($M$8:M1338)+1,""))</f>
        <v/>
      </c>
    </row>
    <row r="1340" customFormat="false" ht="15" hidden="false" customHeight="false" outlineLevel="0" collapsed="false">
      <c r="A1340" s="8"/>
      <c r="B1340" s="17"/>
      <c r="C1340" s="19"/>
      <c r="D1340" s="8"/>
      <c r="E1340" s="18"/>
      <c r="F1340" s="18"/>
      <c r="G1340" s="8"/>
      <c r="H1340" s="8"/>
      <c r="I1340" s="8"/>
      <c r="J1340" s="8"/>
      <c r="K1340" s="10" t="str">
        <f aca="false">IF(A1340="","",IF(ABS(SUMIFS($E$9:$E$2008,$A$9:$A$2008,A1340)-SUMIFS($F$9:$F$2008,$A$9:$A$2008,A1340))&lt;0.5,"Yes","No"))</f>
        <v/>
      </c>
      <c r="L1340" s="10" t="str">
        <f aca="false">IF(A1340="","",IF(IF(K1340="No","Does not balance | ","")&amp;IF(I1340="","Not approved | ",IF(UPPER(TRIM(H1340))=UPPER(TRIM(I1340)),"Self-approved | ",""))&amp;IF(J1340="","No support | ","")&amp;IF(WEEKDAY(B1340,2)&gt;5,"Weekend posting | ","")&amp;IF(COUNTIF(Settings!$A$14:$A$43,B1340)&gt;0,"Holiday posting | ","")&amp;IF(B1340&gt;Settings!$C$8,"Posted after close | ","")&amp;IF(OR(B1340&lt;Settings!$C$6,B1340&gt;Settings!$C$7),"Outside period | ","")&amp;IF(COUNTIF(Settings!$E$14:$E$43,C1340&amp;"")&gt;0,"Sensitive account | ","")&amp;IF(AND(MAX(N(E1340),N(F1340))&gt;=Settings!$C$9,MOD(MAX(N(E1340),N(F1340)),Settings!$C$10)=0),"Round amount | ","")="","",LEFT(IF(K1340="No","Does not balance | ","")&amp;IF(I1340="","Not approved | ",IF(UPPER(TRIM(H1340))=UPPER(TRIM(I1340)),"Self-approved | ",""))&amp;IF(J1340="","No support | ","")&amp;IF(WEEKDAY(B1340,2)&gt;5,"Weekend posting | ","")&amp;IF(COUNTIF(Settings!$A$14:$A$43,B1340)&gt;0,"Holiday posting | ","")&amp;IF(B1340&gt;Settings!$C$8,"Posted after close | ","")&amp;IF(OR(B1340&lt;Settings!$C$6,B1340&gt;Settings!$C$7),"Outside period | ","")&amp;IF(COUNTIF(Settings!$E$14:$E$43,C1340&amp;"")&gt;0,"Sensitive account | ","")&amp;IF(AND(MAX(N(E1340),N(F1340))&gt;=Settings!$C$9,MOD(MAX(N(E1340),N(F1340)),Settings!$C$10)=0),"Round amount | ",""),LEN(IF(K1340="No","Does not balance | ","")&amp;IF(I1340="","Not approved | ",IF(UPPER(TRIM(H1340))=UPPER(TRIM(I1340)),"Self-approved | ",""))&amp;IF(J1340="","No support | ","")&amp;IF(WEEKDAY(B1340,2)&gt;5,"Weekend posting | ","")&amp;IF(COUNTIF(Settings!$A$14:$A$43,B1340)&gt;0,"Holiday posting | ","")&amp;IF(B1340&gt;Settings!$C$8,"Posted after close | ","")&amp;IF(OR(B1340&lt;Settings!$C$6,B1340&gt;Settings!$C$7),"Outside period | ","")&amp;IF(COUNTIF(Settings!$E$14:$E$43,C1340&amp;"")&gt;0,"Sensitive account | ","")&amp;IF(AND(MAX(N(E1340),N(F1340))&gt;=Settings!$C$9,MOD(MAX(N(E1340),N(F1340)),Settings!$C$10)=0),"Round amount | ",""))-3)))</f>
        <v/>
      </c>
      <c r="M1340" s="21" t="str">
        <f aca="false">IF(A1340="","",IF(COUNTIF($A$9:A1340,A1340)=1,MAX($M$8:M1339)+1,""))</f>
        <v/>
      </c>
    </row>
    <row r="1341" customFormat="false" ht="15" hidden="false" customHeight="false" outlineLevel="0" collapsed="false">
      <c r="A1341" s="8"/>
      <c r="B1341" s="17"/>
      <c r="C1341" s="19"/>
      <c r="D1341" s="8"/>
      <c r="E1341" s="18"/>
      <c r="F1341" s="18"/>
      <c r="G1341" s="8"/>
      <c r="H1341" s="8"/>
      <c r="I1341" s="8"/>
      <c r="J1341" s="8"/>
      <c r="K1341" s="10" t="str">
        <f aca="false">IF(A1341="","",IF(ABS(SUMIFS($E$9:$E$2008,$A$9:$A$2008,A1341)-SUMIFS($F$9:$F$2008,$A$9:$A$2008,A1341))&lt;0.5,"Yes","No"))</f>
        <v/>
      </c>
      <c r="L1341" s="10" t="str">
        <f aca="false">IF(A1341="","",IF(IF(K1341="No","Does not balance | ","")&amp;IF(I1341="","Not approved | ",IF(UPPER(TRIM(H1341))=UPPER(TRIM(I1341)),"Self-approved | ",""))&amp;IF(J1341="","No support | ","")&amp;IF(WEEKDAY(B1341,2)&gt;5,"Weekend posting | ","")&amp;IF(COUNTIF(Settings!$A$14:$A$43,B1341)&gt;0,"Holiday posting | ","")&amp;IF(B1341&gt;Settings!$C$8,"Posted after close | ","")&amp;IF(OR(B1341&lt;Settings!$C$6,B1341&gt;Settings!$C$7),"Outside period | ","")&amp;IF(COUNTIF(Settings!$E$14:$E$43,C1341&amp;"")&gt;0,"Sensitive account | ","")&amp;IF(AND(MAX(N(E1341),N(F1341))&gt;=Settings!$C$9,MOD(MAX(N(E1341),N(F1341)),Settings!$C$10)=0),"Round amount | ","")="","",LEFT(IF(K1341="No","Does not balance | ","")&amp;IF(I1341="","Not approved | ",IF(UPPER(TRIM(H1341))=UPPER(TRIM(I1341)),"Self-approved | ",""))&amp;IF(J1341="","No support | ","")&amp;IF(WEEKDAY(B1341,2)&gt;5,"Weekend posting | ","")&amp;IF(COUNTIF(Settings!$A$14:$A$43,B1341)&gt;0,"Holiday posting | ","")&amp;IF(B1341&gt;Settings!$C$8,"Posted after close | ","")&amp;IF(OR(B1341&lt;Settings!$C$6,B1341&gt;Settings!$C$7),"Outside period | ","")&amp;IF(COUNTIF(Settings!$E$14:$E$43,C1341&amp;"")&gt;0,"Sensitive account | ","")&amp;IF(AND(MAX(N(E1341),N(F1341))&gt;=Settings!$C$9,MOD(MAX(N(E1341),N(F1341)),Settings!$C$10)=0),"Round amount | ",""),LEN(IF(K1341="No","Does not balance | ","")&amp;IF(I1341="","Not approved | ",IF(UPPER(TRIM(H1341))=UPPER(TRIM(I1341)),"Self-approved | ",""))&amp;IF(J1341="","No support | ","")&amp;IF(WEEKDAY(B1341,2)&gt;5,"Weekend posting | ","")&amp;IF(COUNTIF(Settings!$A$14:$A$43,B1341)&gt;0,"Holiday posting | ","")&amp;IF(B1341&gt;Settings!$C$8,"Posted after close | ","")&amp;IF(OR(B1341&lt;Settings!$C$6,B1341&gt;Settings!$C$7),"Outside period | ","")&amp;IF(COUNTIF(Settings!$E$14:$E$43,C1341&amp;"")&gt;0,"Sensitive account | ","")&amp;IF(AND(MAX(N(E1341),N(F1341))&gt;=Settings!$C$9,MOD(MAX(N(E1341),N(F1341)),Settings!$C$10)=0),"Round amount | ",""))-3)))</f>
        <v/>
      </c>
      <c r="M1341" s="21" t="str">
        <f aca="false">IF(A1341="","",IF(COUNTIF($A$9:A1341,A1341)=1,MAX($M$8:M1340)+1,""))</f>
        <v/>
      </c>
    </row>
    <row r="1342" customFormat="false" ht="15" hidden="false" customHeight="false" outlineLevel="0" collapsed="false">
      <c r="A1342" s="8"/>
      <c r="B1342" s="17"/>
      <c r="C1342" s="19"/>
      <c r="D1342" s="8"/>
      <c r="E1342" s="18"/>
      <c r="F1342" s="18"/>
      <c r="G1342" s="8"/>
      <c r="H1342" s="8"/>
      <c r="I1342" s="8"/>
      <c r="J1342" s="8"/>
      <c r="K1342" s="10" t="str">
        <f aca="false">IF(A1342="","",IF(ABS(SUMIFS($E$9:$E$2008,$A$9:$A$2008,A1342)-SUMIFS($F$9:$F$2008,$A$9:$A$2008,A1342))&lt;0.5,"Yes","No"))</f>
        <v/>
      </c>
      <c r="L1342" s="10" t="str">
        <f aca="false">IF(A1342="","",IF(IF(K1342="No","Does not balance | ","")&amp;IF(I1342="","Not approved | ",IF(UPPER(TRIM(H1342))=UPPER(TRIM(I1342)),"Self-approved | ",""))&amp;IF(J1342="","No support | ","")&amp;IF(WEEKDAY(B1342,2)&gt;5,"Weekend posting | ","")&amp;IF(COUNTIF(Settings!$A$14:$A$43,B1342)&gt;0,"Holiday posting | ","")&amp;IF(B1342&gt;Settings!$C$8,"Posted after close | ","")&amp;IF(OR(B1342&lt;Settings!$C$6,B1342&gt;Settings!$C$7),"Outside period | ","")&amp;IF(COUNTIF(Settings!$E$14:$E$43,C1342&amp;"")&gt;0,"Sensitive account | ","")&amp;IF(AND(MAX(N(E1342),N(F1342))&gt;=Settings!$C$9,MOD(MAX(N(E1342),N(F1342)),Settings!$C$10)=0),"Round amount | ","")="","",LEFT(IF(K1342="No","Does not balance | ","")&amp;IF(I1342="","Not approved | ",IF(UPPER(TRIM(H1342))=UPPER(TRIM(I1342)),"Self-approved | ",""))&amp;IF(J1342="","No support | ","")&amp;IF(WEEKDAY(B1342,2)&gt;5,"Weekend posting | ","")&amp;IF(COUNTIF(Settings!$A$14:$A$43,B1342)&gt;0,"Holiday posting | ","")&amp;IF(B1342&gt;Settings!$C$8,"Posted after close | ","")&amp;IF(OR(B1342&lt;Settings!$C$6,B1342&gt;Settings!$C$7),"Outside period | ","")&amp;IF(COUNTIF(Settings!$E$14:$E$43,C1342&amp;"")&gt;0,"Sensitive account | ","")&amp;IF(AND(MAX(N(E1342),N(F1342))&gt;=Settings!$C$9,MOD(MAX(N(E1342),N(F1342)),Settings!$C$10)=0),"Round amount | ",""),LEN(IF(K1342="No","Does not balance | ","")&amp;IF(I1342="","Not approved | ",IF(UPPER(TRIM(H1342))=UPPER(TRIM(I1342)),"Self-approved | ",""))&amp;IF(J1342="","No support | ","")&amp;IF(WEEKDAY(B1342,2)&gt;5,"Weekend posting | ","")&amp;IF(COUNTIF(Settings!$A$14:$A$43,B1342)&gt;0,"Holiday posting | ","")&amp;IF(B1342&gt;Settings!$C$8,"Posted after close | ","")&amp;IF(OR(B1342&lt;Settings!$C$6,B1342&gt;Settings!$C$7),"Outside period | ","")&amp;IF(COUNTIF(Settings!$E$14:$E$43,C1342&amp;"")&gt;0,"Sensitive account | ","")&amp;IF(AND(MAX(N(E1342),N(F1342))&gt;=Settings!$C$9,MOD(MAX(N(E1342),N(F1342)),Settings!$C$10)=0),"Round amount | ",""))-3)))</f>
        <v/>
      </c>
      <c r="M1342" s="21" t="str">
        <f aca="false">IF(A1342="","",IF(COUNTIF($A$9:A1342,A1342)=1,MAX($M$8:M1341)+1,""))</f>
        <v/>
      </c>
    </row>
    <row r="1343" customFormat="false" ht="15" hidden="false" customHeight="false" outlineLevel="0" collapsed="false">
      <c r="A1343" s="8"/>
      <c r="B1343" s="17"/>
      <c r="C1343" s="19"/>
      <c r="D1343" s="8"/>
      <c r="E1343" s="18"/>
      <c r="F1343" s="18"/>
      <c r="G1343" s="8"/>
      <c r="H1343" s="8"/>
      <c r="I1343" s="8"/>
      <c r="J1343" s="8"/>
      <c r="K1343" s="10" t="str">
        <f aca="false">IF(A1343="","",IF(ABS(SUMIFS($E$9:$E$2008,$A$9:$A$2008,A1343)-SUMIFS($F$9:$F$2008,$A$9:$A$2008,A1343))&lt;0.5,"Yes","No"))</f>
        <v/>
      </c>
      <c r="L1343" s="10" t="str">
        <f aca="false">IF(A1343="","",IF(IF(K1343="No","Does not balance | ","")&amp;IF(I1343="","Not approved | ",IF(UPPER(TRIM(H1343))=UPPER(TRIM(I1343)),"Self-approved | ",""))&amp;IF(J1343="","No support | ","")&amp;IF(WEEKDAY(B1343,2)&gt;5,"Weekend posting | ","")&amp;IF(COUNTIF(Settings!$A$14:$A$43,B1343)&gt;0,"Holiday posting | ","")&amp;IF(B1343&gt;Settings!$C$8,"Posted after close | ","")&amp;IF(OR(B1343&lt;Settings!$C$6,B1343&gt;Settings!$C$7),"Outside period | ","")&amp;IF(COUNTIF(Settings!$E$14:$E$43,C1343&amp;"")&gt;0,"Sensitive account | ","")&amp;IF(AND(MAX(N(E1343),N(F1343))&gt;=Settings!$C$9,MOD(MAX(N(E1343),N(F1343)),Settings!$C$10)=0),"Round amount | ","")="","",LEFT(IF(K1343="No","Does not balance | ","")&amp;IF(I1343="","Not approved | ",IF(UPPER(TRIM(H1343))=UPPER(TRIM(I1343)),"Self-approved | ",""))&amp;IF(J1343="","No support | ","")&amp;IF(WEEKDAY(B1343,2)&gt;5,"Weekend posting | ","")&amp;IF(COUNTIF(Settings!$A$14:$A$43,B1343)&gt;0,"Holiday posting | ","")&amp;IF(B1343&gt;Settings!$C$8,"Posted after close | ","")&amp;IF(OR(B1343&lt;Settings!$C$6,B1343&gt;Settings!$C$7),"Outside period | ","")&amp;IF(COUNTIF(Settings!$E$14:$E$43,C1343&amp;"")&gt;0,"Sensitive account | ","")&amp;IF(AND(MAX(N(E1343),N(F1343))&gt;=Settings!$C$9,MOD(MAX(N(E1343),N(F1343)),Settings!$C$10)=0),"Round amount | ",""),LEN(IF(K1343="No","Does not balance | ","")&amp;IF(I1343="","Not approved | ",IF(UPPER(TRIM(H1343))=UPPER(TRIM(I1343)),"Self-approved | ",""))&amp;IF(J1343="","No support | ","")&amp;IF(WEEKDAY(B1343,2)&gt;5,"Weekend posting | ","")&amp;IF(COUNTIF(Settings!$A$14:$A$43,B1343)&gt;0,"Holiday posting | ","")&amp;IF(B1343&gt;Settings!$C$8,"Posted after close | ","")&amp;IF(OR(B1343&lt;Settings!$C$6,B1343&gt;Settings!$C$7),"Outside period | ","")&amp;IF(COUNTIF(Settings!$E$14:$E$43,C1343&amp;"")&gt;0,"Sensitive account | ","")&amp;IF(AND(MAX(N(E1343),N(F1343))&gt;=Settings!$C$9,MOD(MAX(N(E1343),N(F1343)),Settings!$C$10)=0),"Round amount | ",""))-3)))</f>
        <v/>
      </c>
      <c r="M1343" s="21" t="str">
        <f aca="false">IF(A1343="","",IF(COUNTIF($A$9:A1343,A1343)=1,MAX($M$8:M1342)+1,""))</f>
        <v/>
      </c>
    </row>
    <row r="1344" customFormat="false" ht="15" hidden="false" customHeight="false" outlineLevel="0" collapsed="false">
      <c r="A1344" s="8"/>
      <c r="B1344" s="17"/>
      <c r="C1344" s="19"/>
      <c r="D1344" s="8"/>
      <c r="E1344" s="18"/>
      <c r="F1344" s="18"/>
      <c r="G1344" s="8"/>
      <c r="H1344" s="8"/>
      <c r="I1344" s="8"/>
      <c r="J1344" s="8"/>
      <c r="K1344" s="10" t="str">
        <f aca="false">IF(A1344="","",IF(ABS(SUMIFS($E$9:$E$2008,$A$9:$A$2008,A1344)-SUMIFS($F$9:$F$2008,$A$9:$A$2008,A1344))&lt;0.5,"Yes","No"))</f>
        <v/>
      </c>
      <c r="L1344" s="10" t="str">
        <f aca="false">IF(A1344="","",IF(IF(K1344="No","Does not balance | ","")&amp;IF(I1344="","Not approved | ",IF(UPPER(TRIM(H1344))=UPPER(TRIM(I1344)),"Self-approved | ",""))&amp;IF(J1344="","No support | ","")&amp;IF(WEEKDAY(B1344,2)&gt;5,"Weekend posting | ","")&amp;IF(COUNTIF(Settings!$A$14:$A$43,B1344)&gt;0,"Holiday posting | ","")&amp;IF(B1344&gt;Settings!$C$8,"Posted after close | ","")&amp;IF(OR(B1344&lt;Settings!$C$6,B1344&gt;Settings!$C$7),"Outside period | ","")&amp;IF(COUNTIF(Settings!$E$14:$E$43,C1344&amp;"")&gt;0,"Sensitive account | ","")&amp;IF(AND(MAX(N(E1344),N(F1344))&gt;=Settings!$C$9,MOD(MAX(N(E1344),N(F1344)),Settings!$C$10)=0),"Round amount | ","")="","",LEFT(IF(K1344="No","Does not balance | ","")&amp;IF(I1344="","Not approved | ",IF(UPPER(TRIM(H1344))=UPPER(TRIM(I1344)),"Self-approved | ",""))&amp;IF(J1344="","No support | ","")&amp;IF(WEEKDAY(B1344,2)&gt;5,"Weekend posting | ","")&amp;IF(COUNTIF(Settings!$A$14:$A$43,B1344)&gt;0,"Holiday posting | ","")&amp;IF(B1344&gt;Settings!$C$8,"Posted after close | ","")&amp;IF(OR(B1344&lt;Settings!$C$6,B1344&gt;Settings!$C$7),"Outside period | ","")&amp;IF(COUNTIF(Settings!$E$14:$E$43,C1344&amp;"")&gt;0,"Sensitive account | ","")&amp;IF(AND(MAX(N(E1344),N(F1344))&gt;=Settings!$C$9,MOD(MAX(N(E1344),N(F1344)),Settings!$C$10)=0),"Round amount | ",""),LEN(IF(K1344="No","Does not balance | ","")&amp;IF(I1344="","Not approved | ",IF(UPPER(TRIM(H1344))=UPPER(TRIM(I1344)),"Self-approved | ",""))&amp;IF(J1344="","No support | ","")&amp;IF(WEEKDAY(B1344,2)&gt;5,"Weekend posting | ","")&amp;IF(COUNTIF(Settings!$A$14:$A$43,B1344)&gt;0,"Holiday posting | ","")&amp;IF(B1344&gt;Settings!$C$8,"Posted after close | ","")&amp;IF(OR(B1344&lt;Settings!$C$6,B1344&gt;Settings!$C$7),"Outside period | ","")&amp;IF(COUNTIF(Settings!$E$14:$E$43,C1344&amp;"")&gt;0,"Sensitive account | ","")&amp;IF(AND(MAX(N(E1344),N(F1344))&gt;=Settings!$C$9,MOD(MAX(N(E1344),N(F1344)),Settings!$C$10)=0),"Round amount | ",""))-3)))</f>
        <v/>
      </c>
      <c r="M1344" s="21" t="str">
        <f aca="false">IF(A1344="","",IF(COUNTIF($A$9:A1344,A1344)=1,MAX($M$8:M1343)+1,""))</f>
        <v/>
      </c>
    </row>
    <row r="1345" customFormat="false" ht="15" hidden="false" customHeight="false" outlineLevel="0" collapsed="false">
      <c r="A1345" s="8"/>
      <c r="B1345" s="17"/>
      <c r="C1345" s="19"/>
      <c r="D1345" s="8"/>
      <c r="E1345" s="18"/>
      <c r="F1345" s="18"/>
      <c r="G1345" s="8"/>
      <c r="H1345" s="8"/>
      <c r="I1345" s="8"/>
      <c r="J1345" s="8"/>
      <c r="K1345" s="10" t="str">
        <f aca="false">IF(A1345="","",IF(ABS(SUMIFS($E$9:$E$2008,$A$9:$A$2008,A1345)-SUMIFS($F$9:$F$2008,$A$9:$A$2008,A1345))&lt;0.5,"Yes","No"))</f>
        <v/>
      </c>
      <c r="L1345" s="10" t="str">
        <f aca="false">IF(A1345="","",IF(IF(K1345="No","Does not balance | ","")&amp;IF(I1345="","Not approved | ",IF(UPPER(TRIM(H1345))=UPPER(TRIM(I1345)),"Self-approved | ",""))&amp;IF(J1345="","No support | ","")&amp;IF(WEEKDAY(B1345,2)&gt;5,"Weekend posting | ","")&amp;IF(COUNTIF(Settings!$A$14:$A$43,B1345)&gt;0,"Holiday posting | ","")&amp;IF(B1345&gt;Settings!$C$8,"Posted after close | ","")&amp;IF(OR(B1345&lt;Settings!$C$6,B1345&gt;Settings!$C$7),"Outside period | ","")&amp;IF(COUNTIF(Settings!$E$14:$E$43,C1345&amp;"")&gt;0,"Sensitive account | ","")&amp;IF(AND(MAX(N(E1345),N(F1345))&gt;=Settings!$C$9,MOD(MAX(N(E1345),N(F1345)),Settings!$C$10)=0),"Round amount | ","")="","",LEFT(IF(K1345="No","Does not balance | ","")&amp;IF(I1345="","Not approved | ",IF(UPPER(TRIM(H1345))=UPPER(TRIM(I1345)),"Self-approved | ",""))&amp;IF(J1345="","No support | ","")&amp;IF(WEEKDAY(B1345,2)&gt;5,"Weekend posting | ","")&amp;IF(COUNTIF(Settings!$A$14:$A$43,B1345)&gt;0,"Holiday posting | ","")&amp;IF(B1345&gt;Settings!$C$8,"Posted after close | ","")&amp;IF(OR(B1345&lt;Settings!$C$6,B1345&gt;Settings!$C$7),"Outside period | ","")&amp;IF(COUNTIF(Settings!$E$14:$E$43,C1345&amp;"")&gt;0,"Sensitive account | ","")&amp;IF(AND(MAX(N(E1345),N(F1345))&gt;=Settings!$C$9,MOD(MAX(N(E1345),N(F1345)),Settings!$C$10)=0),"Round amount | ",""),LEN(IF(K1345="No","Does not balance | ","")&amp;IF(I1345="","Not approved | ",IF(UPPER(TRIM(H1345))=UPPER(TRIM(I1345)),"Self-approved | ",""))&amp;IF(J1345="","No support | ","")&amp;IF(WEEKDAY(B1345,2)&gt;5,"Weekend posting | ","")&amp;IF(COUNTIF(Settings!$A$14:$A$43,B1345)&gt;0,"Holiday posting | ","")&amp;IF(B1345&gt;Settings!$C$8,"Posted after close | ","")&amp;IF(OR(B1345&lt;Settings!$C$6,B1345&gt;Settings!$C$7),"Outside period | ","")&amp;IF(COUNTIF(Settings!$E$14:$E$43,C1345&amp;"")&gt;0,"Sensitive account | ","")&amp;IF(AND(MAX(N(E1345),N(F1345))&gt;=Settings!$C$9,MOD(MAX(N(E1345),N(F1345)),Settings!$C$10)=0),"Round amount | ",""))-3)))</f>
        <v/>
      </c>
      <c r="M1345" s="21" t="str">
        <f aca="false">IF(A1345="","",IF(COUNTIF($A$9:A1345,A1345)=1,MAX($M$8:M1344)+1,""))</f>
        <v/>
      </c>
    </row>
    <row r="1346" customFormat="false" ht="15" hidden="false" customHeight="false" outlineLevel="0" collapsed="false">
      <c r="A1346" s="8"/>
      <c r="B1346" s="17"/>
      <c r="C1346" s="19"/>
      <c r="D1346" s="8"/>
      <c r="E1346" s="18"/>
      <c r="F1346" s="18"/>
      <c r="G1346" s="8"/>
      <c r="H1346" s="8"/>
      <c r="I1346" s="8"/>
      <c r="J1346" s="8"/>
      <c r="K1346" s="10" t="str">
        <f aca="false">IF(A1346="","",IF(ABS(SUMIFS($E$9:$E$2008,$A$9:$A$2008,A1346)-SUMIFS($F$9:$F$2008,$A$9:$A$2008,A1346))&lt;0.5,"Yes","No"))</f>
        <v/>
      </c>
      <c r="L1346" s="10" t="str">
        <f aca="false">IF(A1346="","",IF(IF(K1346="No","Does not balance | ","")&amp;IF(I1346="","Not approved | ",IF(UPPER(TRIM(H1346))=UPPER(TRIM(I1346)),"Self-approved | ",""))&amp;IF(J1346="","No support | ","")&amp;IF(WEEKDAY(B1346,2)&gt;5,"Weekend posting | ","")&amp;IF(COUNTIF(Settings!$A$14:$A$43,B1346)&gt;0,"Holiday posting | ","")&amp;IF(B1346&gt;Settings!$C$8,"Posted after close | ","")&amp;IF(OR(B1346&lt;Settings!$C$6,B1346&gt;Settings!$C$7),"Outside period | ","")&amp;IF(COUNTIF(Settings!$E$14:$E$43,C1346&amp;"")&gt;0,"Sensitive account | ","")&amp;IF(AND(MAX(N(E1346),N(F1346))&gt;=Settings!$C$9,MOD(MAX(N(E1346),N(F1346)),Settings!$C$10)=0),"Round amount | ","")="","",LEFT(IF(K1346="No","Does not balance | ","")&amp;IF(I1346="","Not approved | ",IF(UPPER(TRIM(H1346))=UPPER(TRIM(I1346)),"Self-approved | ",""))&amp;IF(J1346="","No support | ","")&amp;IF(WEEKDAY(B1346,2)&gt;5,"Weekend posting | ","")&amp;IF(COUNTIF(Settings!$A$14:$A$43,B1346)&gt;0,"Holiday posting | ","")&amp;IF(B1346&gt;Settings!$C$8,"Posted after close | ","")&amp;IF(OR(B1346&lt;Settings!$C$6,B1346&gt;Settings!$C$7),"Outside period | ","")&amp;IF(COUNTIF(Settings!$E$14:$E$43,C1346&amp;"")&gt;0,"Sensitive account | ","")&amp;IF(AND(MAX(N(E1346),N(F1346))&gt;=Settings!$C$9,MOD(MAX(N(E1346),N(F1346)),Settings!$C$10)=0),"Round amount | ",""),LEN(IF(K1346="No","Does not balance | ","")&amp;IF(I1346="","Not approved | ",IF(UPPER(TRIM(H1346))=UPPER(TRIM(I1346)),"Self-approved | ",""))&amp;IF(J1346="","No support | ","")&amp;IF(WEEKDAY(B1346,2)&gt;5,"Weekend posting | ","")&amp;IF(COUNTIF(Settings!$A$14:$A$43,B1346)&gt;0,"Holiday posting | ","")&amp;IF(B1346&gt;Settings!$C$8,"Posted after close | ","")&amp;IF(OR(B1346&lt;Settings!$C$6,B1346&gt;Settings!$C$7),"Outside period | ","")&amp;IF(COUNTIF(Settings!$E$14:$E$43,C1346&amp;"")&gt;0,"Sensitive account | ","")&amp;IF(AND(MAX(N(E1346),N(F1346))&gt;=Settings!$C$9,MOD(MAX(N(E1346),N(F1346)),Settings!$C$10)=0),"Round amount | ",""))-3)))</f>
        <v/>
      </c>
      <c r="M1346" s="21" t="str">
        <f aca="false">IF(A1346="","",IF(COUNTIF($A$9:A1346,A1346)=1,MAX($M$8:M1345)+1,""))</f>
        <v/>
      </c>
    </row>
    <row r="1347" customFormat="false" ht="15" hidden="false" customHeight="false" outlineLevel="0" collapsed="false">
      <c r="A1347" s="8"/>
      <c r="B1347" s="17"/>
      <c r="C1347" s="19"/>
      <c r="D1347" s="8"/>
      <c r="E1347" s="18"/>
      <c r="F1347" s="18"/>
      <c r="G1347" s="8"/>
      <c r="H1347" s="8"/>
      <c r="I1347" s="8"/>
      <c r="J1347" s="8"/>
      <c r="K1347" s="10" t="str">
        <f aca="false">IF(A1347="","",IF(ABS(SUMIFS($E$9:$E$2008,$A$9:$A$2008,A1347)-SUMIFS($F$9:$F$2008,$A$9:$A$2008,A1347))&lt;0.5,"Yes","No"))</f>
        <v/>
      </c>
      <c r="L1347" s="10" t="str">
        <f aca="false">IF(A1347="","",IF(IF(K1347="No","Does not balance | ","")&amp;IF(I1347="","Not approved | ",IF(UPPER(TRIM(H1347))=UPPER(TRIM(I1347)),"Self-approved | ",""))&amp;IF(J1347="","No support | ","")&amp;IF(WEEKDAY(B1347,2)&gt;5,"Weekend posting | ","")&amp;IF(COUNTIF(Settings!$A$14:$A$43,B1347)&gt;0,"Holiday posting | ","")&amp;IF(B1347&gt;Settings!$C$8,"Posted after close | ","")&amp;IF(OR(B1347&lt;Settings!$C$6,B1347&gt;Settings!$C$7),"Outside period | ","")&amp;IF(COUNTIF(Settings!$E$14:$E$43,C1347&amp;"")&gt;0,"Sensitive account | ","")&amp;IF(AND(MAX(N(E1347),N(F1347))&gt;=Settings!$C$9,MOD(MAX(N(E1347),N(F1347)),Settings!$C$10)=0),"Round amount | ","")="","",LEFT(IF(K1347="No","Does not balance | ","")&amp;IF(I1347="","Not approved | ",IF(UPPER(TRIM(H1347))=UPPER(TRIM(I1347)),"Self-approved | ",""))&amp;IF(J1347="","No support | ","")&amp;IF(WEEKDAY(B1347,2)&gt;5,"Weekend posting | ","")&amp;IF(COUNTIF(Settings!$A$14:$A$43,B1347)&gt;0,"Holiday posting | ","")&amp;IF(B1347&gt;Settings!$C$8,"Posted after close | ","")&amp;IF(OR(B1347&lt;Settings!$C$6,B1347&gt;Settings!$C$7),"Outside period | ","")&amp;IF(COUNTIF(Settings!$E$14:$E$43,C1347&amp;"")&gt;0,"Sensitive account | ","")&amp;IF(AND(MAX(N(E1347),N(F1347))&gt;=Settings!$C$9,MOD(MAX(N(E1347),N(F1347)),Settings!$C$10)=0),"Round amount | ",""),LEN(IF(K1347="No","Does not balance | ","")&amp;IF(I1347="","Not approved | ",IF(UPPER(TRIM(H1347))=UPPER(TRIM(I1347)),"Self-approved | ",""))&amp;IF(J1347="","No support | ","")&amp;IF(WEEKDAY(B1347,2)&gt;5,"Weekend posting | ","")&amp;IF(COUNTIF(Settings!$A$14:$A$43,B1347)&gt;0,"Holiday posting | ","")&amp;IF(B1347&gt;Settings!$C$8,"Posted after close | ","")&amp;IF(OR(B1347&lt;Settings!$C$6,B1347&gt;Settings!$C$7),"Outside period | ","")&amp;IF(COUNTIF(Settings!$E$14:$E$43,C1347&amp;"")&gt;0,"Sensitive account | ","")&amp;IF(AND(MAX(N(E1347),N(F1347))&gt;=Settings!$C$9,MOD(MAX(N(E1347),N(F1347)),Settings!$C$10)=0),"Round amount | ",""))-3)))</f>
        <v/>
      </c>
      <c r="M1347" s="21" t="str">
        <f aca="false">IF(A1347="","",IF(COUNTIF($A$9:A1347,A1347)=1,MAX($M$8:M1346)+1,""))</f>
        <v/>
      </c>
    </row>
    <row r="1348" customFormat="false" ht="15" hidden="false" customHeight="false" outlineLevel="0" collapsed="false">
      <c r="A1348" s="8"/>
      <c r="B1348" s="17"/>
      <c r="C1348" s="19"/>
      <c r="D1348" s="8"/>
      <c r="E1348" s="18"/>
      <c r="F1348" s="18"/>
      <c r="G1348" s="8"/>
      <c r="H1348" s="8"/>
      <c r="I1348" s="8"/>
      <c r="J1348" s="8"/>
      <c r="K1348" s="10" t="str">
        <f aca="false">IF(A1348="","",IF(ABS(SUMIFS($E$9:$E$2008,$A$9:$A$2008,A1348)-SUMIFS($F$9:$F$2008,$A$9:$A$2008,A1348))&lt;0.5,"Yes","No"))</f>
        <v/>
      </c>
      <c r="L1348" s="10" t="str">
        <f aca="false">IF(A1348="","",IF(IF(K1348="No","Does not balance | ","")&amp;IF(I1348="","Not approved | ",IF(UPPER(TRIM(H1348))=UPPER(TRIM(I1348)),"Self-approved | ",""))&amp;IF(J1348="","No support | ","")&amp;IF(WEEKDAY(B1348,2)&gt;5,"Weekend posting | ","")&amp;IF(COUNTIF(Settings!$A$14:$A$43,B1348)&gt;0,"Holiday posting | ","")&amp;IF(B1348&gt;Settings!$C$8,"Posted after close | ","")&amp;IF(OR(B1348&lt;Settings!$C$6,B1348&gt;Settings!$C$7),"Outside period | ","")&amp;IF(COUNTIF(Settings!$E$14:$E$43,C1348&amp;"")&gt;0,"Sensitive account | ","")&amp;IF(AND(MAX(N(E1348),N(F1348))&gt;=Settings!$C$9,MOD(MAX(N(E1348),N(F1348)),Settings!$C$10)=0),"Round amount | ","")="","",LEFT(IF(K1348="No","Does not balance | ","")&amp;IF(I1348="","Not approved | ",IF(UPPER(TRIM(H1348))=UPPER(TRIM(I1348)),"Self-approved | ",""))&amp;IF(J1348="","No support | ","")&amp;IF(WEEKDAY(B1348,2)&gt;5,"Weekend posting | ","")&amp;IF(COUNTIF(Settings!$A$14:$A$43,B1348)&gt;0,"Holiday posting | ","")&amp;IF(B1348&gt;Settings!$C$8,"Posted after close | ","")&amp;IF(OR(B1348&lt;Settings!$C$6,B1348&gt;Settings!$C$7),"Outside period | ","")&amp;IF(COUNTIF(Settings!$E$14:$E$43,C1348&amp;"")&gt;0,"Sensitive account | ","")&amp;IF(AND(MAX(N(E1348),N(F1348))&gt;=Settings!$C$9,MOD(MAX(N(E1348),N(F1348)),Settings!$C$10)=0),"Round amount | ",""),LEN(IF(K1348="No","Does not balance | ","")&amp;IF(I1348="","Not approved | ",IF(UPPER(TRIM(H1348))=UPPER(TRIM(I1348)),"Self-approved | ",""))&amp;IF(J1348="","No support | ","")&amp;IF(WEEKDAY(B1348,2)&gt;5,"Weekend posting | ","")&amp;IF(COUNTIF(Settings!$A$14:$A$43,B1348)&gt;0,"Holiday posting | ","")&amp;IF(B1348&gt;Settings!$C$8,"Posted after close | ","")&amp;IF(OR(B1348&lt;Settings!$C$6,B1348&gt;Settings!$C$7),"Outside period | ","")&amp;IF(COUNTIF(Settings!$E$14:$E$43,C1348&amp;"")&gt;0,"Sensitive account | ","")&amp;IF(AND(MAX(N(E1348),N(F1348))&gt;=Settings!$C$9,MOD(MAX(N(E1348),N(F1348)),Settings!$C$10)=0),"Round amount | ",""))-3)))</f>
        <v/>
      </c>
      <c r="M1348" s="21" t="str">
        <f aca="false">IF(A1348="","",IF(COUNTIF($A$9:A1348,A1348)=1,MAX($M$8:M1347)+1,""))</f>
        <v/>
      </c>
    </row>
    <row r="1349" customFormat="false" ht="15" hidden="false" customHeight="false" outlineLevel="0" collapsed="false">
      <c r="A1349" s="8"/>
      <c r="B1349" s="17"/>
      <c r="C1349" s="19"/>
      <c r="D1349" s="8"/>
      <c r="E1349" s="18"/>
      <c r="F1349" s="18"/>
      <c r="G1349" s="8"/>
      <c r="H1349" s="8"/>
      <c r="I1349" s="8"/>
      <c r="J1349" s="8"/>
      <c r="K1349" s="10" t="str">
        <f aca="false">IF(A1349="","",IF(ABS(SUMIFS($E$9:$E$2008,$A$9:$A$2008,A1349)-SUMIFS($F$9:$F$2008,$A$9:$A$2008,A1349))&lt;0.5,"Yes","No"))</f>
        <v/>
      </c>
      <c r="L1349" s="10" t="str">
        <f aca="false">IF(A1349="","",IF(IF(K1349="No","Does not balance | ","")&amp;IF(I1349="","Not approved | ",IF(UPPER(TRIM(H1349))=UPPER(TRIM(I1349)),"Self-approved | ",""))&amp;IF(J1349="","No support | ","")&amp;IF(WEEKDAY(B1349,2)&gt;5,"Weekend posting | ","")&amp;IF(COUNTIF(Settings!$A$14:$A$43,B1349)&gt;0,"Holiday posting | ","")&amp;IF(B1349&gt;Settings!$C$8,"Posted after close | ","")&amp;IF(OR(B1349&lt;Settings!$C$6,B1349&gt;Settings!$C$7),"Outside period | ","")&amp;IF(COUNTIF(Settings!$E$14:$E$43,C1349&amp;"")&gt;0,"Sensitive account | ","")&amp;IF(AND(MAX(N(E1349),N(F1349))&gt;=Settings!$C$9,MOD(MAX(N(E1349),N(F1349)),Settings!$C$10)=0),"Round amount | ","")="","",LEFT(IF(K1349="No","Does not balance | ","")&amp;IF(I1349="","Not approved | ",IF(UPPER(TRIM(H1349))=UPPER(TRIM(I1349)),"Self-approved | ",""))&amp;IF(J1349="","No support | ","")&amp;IF(WEEKDAY(B1349,2)&gt;5,"Weekend posting | ","")&amp;IF(COUNTIF(Settings!$A$14:$A$43,B1349)&gt;0,"Holiday posting | ","")&amp;IF(B1349&gt;Settings!$C$8,"Posted after close | ","")&amp;IF(OR(B1349&lt;Settings!$C$6,B1349&gt;Settings!$C$7),"Outside period | ","")&amp;IF(COUNTIF(Settings!$E$14:$E$43,C1349&amp;"")&gt;0,"Sensitive account | ","")&amp;IF(AND(MAX(N(E1349),N(F1349))&gt;=Settings!$C$9,MOD(MAX(N(E1349),N(F1349)),Settings!$C$10)=0),"Round amount | ",""),LEN(IF(K1349="No","Does not balance | ","")&amp;IF(I1349="","Not approved | ",IF(UPPER(TRIM(H1349))=UPPER(TRIM(I1349)),"Self-approved | ",""))&amp;IF(J1349="","No support | ","")&amp;IF(WEEKDAY(B1349,2)&gt;5,"Weekend posting | ","")&amp;IF(COUNTIF(Settings!$A$14:$A$43,B1349)&gt;0,"Holiday posting | ","")&amp;IF(B1349&gt;Settings!$C$8,"Posted after close | ","")&amp;IF(OR(B1349&lt;Settings!$C$6,B1349&gt;Settings!$C$7),"Outside period | ","")&amp;IF(COUNTIF(Settings!$E$14:$E$43,C1349&amp;"")&gt;0,"Sensitive account | ","")&amp;IF(AND(MAX(N(E1349),N(F1349))&gt;=Settings!$C$9,MOD(MAX(N(E1349),N(F1349)),Settings!$C$10)=0),"Round amount | ",""))-3)))</f>
        <v/>
      </c>
      <c r="M1349" s="21" t="str">
        <f aca="false">IF(A1349="","",IF(COUNTIF($A$9:A1349,A1349)=1,MAX($M$8:M1348)+1,""))</f>
        <v/>
      </c>
    </row>
    <row r="1350" customFormat="false" ht="15" hidden="false" customHeight="false" outlineLevel="0" collapsed="false">
      <c r="A1350" s="8"/>
      <c r="B1350" s="17"/>
      <c r="C1350" s="19"/>
      <c r="D1350" s="8"/>
      <c r="E1350" s="18"/>
      <c r="F1350" s="18"/>
      <c r="G1350" s="8"/>
      <c r="H1350" s="8"/>
      <c r="I1350" s="8"/>
      <c r="J1350" s="8"/>
      <c r="K1350" s="10" t="str">
        <f aca="false">IF(A1350="","",IF(ABS(SUMIFS($E$9:$E$2008,$A$9:$A$2008,A1350)-SUMIFS($F$9:$F$2008,$A$9:$A$2008,A1350))&lt;0.5,"Yes","No"))</f>
        <v/>
      </c>
      <c r="L1350" s="10" t="str">
        <f aca="false">IF(A1350="","",IF(IF(K1350="No","Does not balance | ","")&amp;IF(I1350="","Not approved | ",IF(UPPER(TRIM(H1350))=UPPER(TRIM(I1350)),"Self-approved | ",""))&amp;IF(J1350="","No support | ","")&amp;IF(WEEKDAY(B1350,2)&gt;5,"Weekend posting | ","")&amp;IF(COUNTIF(Settings!$A$14:$A$43,B1350)&gt;0,"Holiday posting | ","")&amp;IF(B1350&gt;Settings!$C$8,"Posted after close | ","")&amp;IF(OR(B1350&lt;Settings!$C$6,B1350&gt;Settings!$C$7),"Outside period | ","")&amp;IF(COUNTIF(Settings!$E$14:$E$43,C1350&amp;"")&gt;0,"Sensitive account | ","")&amp;IF(AND(MAX(N(E1350),N(F1350))&gt;=Settings!$C$9,MOD(MAX(N(E1350),N(F1350)),Settings!$C$10)=0),"Round amount | ","")="","",LEFT(IF(K1350="No","Does not balance | ","")&amp;IF(I1350="","Not approved | ",IF(UPPER(TRIM(H1350))=UPPER(TRIM(I1350)),"Self-approved | ",""))&amp;IF(J1350="","No support | ","")&amp;IF(WEEKDAY(B1350,2)&gt;5,"Weekend posting | ","")&amp;IF(COUNTIF(Settings!$A$14:$A$43,B1350)&gt;0,"Holiday posting | ","")&amp;IF(B1350&gt;Settings!$C$8,"Posted after close | ","")&amp;IF(OR(B1350&lt;Settings!$C$6,B1350&gt;Settings!$C$7),"Outside period | ","")&amp;IF(COUNTIF(Settings!$E$14:$E$43,C1350&amp;"")&gt;0,"Sensitive account | ","")&amp;IF(AND(MAX(N(E1350),N(F1350))&gt;=Settings!$C$9,MOD(MAX(N(E1350),N(F1350)),Settings!$C$10)=0),"Round amount | ",""),LEN(IF(K1350="No","Does not balance | ","")&amp;IF(I1350="","Not approved | ",IF(UPPER(TRIM(H1350))=UPPER(TRIM(I1350)),"Self-approved | ",""))&amp;IF(J1350="","No support | ","")&amp;IF(WEEKDAY(B1350,2)&gt;5,"Weekend posting | ","")&amp;IF(COUNTIF(Settings!$A$14:$A$43,B1350)&gt;0,"Holiday posting | ","")&amp;IF(B1350&gt;Settings!$C$8,"Posted after close | ","")&amp;IF(OR(B1350&lt;Settings!$C$6,B1350&gt;Settings!$C$7),"Outside period | ","")&amp;IF(COUNTIF(Settings!$E$14:$E$43,C1350&amp;"")&gt;0,"Sensitive account | ","")&amp;IF(AND(MAX(N(E1350),N(F1350))&gt;=Settings!$C$9,MOD(MAX(N(E1350),N(F1350)),Settings!$C$10)=0),"Round amount | ",""))-3)))</f>
        <v/>
      </c>
      <c r="M1350" s="21" t="str">
        <f aca="false">IF(A1350="","",IF(COUNTIF($A$9:A1350,A1350)=1,MAX($M$8:M1349)+1,""))</f>
        <v/>
      </c>
    </row>
    <row r="1351" customFormat="false" ht="15" hidden="false" customHeight="false" outlineLevel="0" collapsed="false">
      <c r="A1351" s="8"/>
      <c r="B1351" s="17"/>
      <c r="C1351" s="19"/>
      <c r="D1351" s="8"/>
      <c r="E1351" s="18"/>
      <c r="F1351" s="18"/>
      <c r="G1351" s="8"/>
      <c r="H1351" s="8"/>
      <c r="I1351" s="8"/>
      <c r="J1351" s="8"/>
      <c r="K1351" s="10" t="str">
        <f aca="false">IF(A1351="","",IF(ABS(SUMIFS($E$9:$E$2008,$A$9:$A$2008,A1351)-SUMIFS($F$9:$F$2008,$A$9:$A$2008,A1351))&lt;0.5,"Yes","No"))</f>
        <v/>
      </c>
      <c r="L1351" s="10" t="str">
        <f aca="false">IF(A1351="","",IF(IF(K1351="No","Does not balance | ","")&amp;IF(I1351="","Not approved | ",IF(UPPER(TRIM(H1351))=UPPER(TRIM(I1351)),"Self-approved | ",""))&amp;IF(J1351="","No support | ","")&amp;IF(WEEKDAY(B1351,2)&gt;5,"Weekend posting | ","")&amp;IF(COUNTIF(Settings!$A$14:$A$43,B1351)&gt;0,"Holiday posting | ","")&amp;IF(B1351&gt;Settings!$C$8,"Posted after close | ","")&amp;IF(OR(B1351&lt;Settings!$C$6,B1351&gt;Settings!$C$7),"Outside period | ","")&amp;IF(COUNTIF(Settings!$E$14:$E$43,C1351&amp;"")&gt;0,"Sensitive account | ","")&amp;IF(AND(MAX(N(E1351),N(F1351))&gt;=Settings!$C$9,MOD(MAX(N(E1351),N(F1351)),Settings!$C$10)=0),"Round amount | ","")="","",LEFT(IF(K1351="No","Does not balance | ","")&amp;IF(I1351="","Not approved | ",IF(UPPER(TRIM(H1351))=UPPER(TRIM(I1351)),"Self-approved | ",""))&amp;IF(J1351="","No support | ","")&amp;IF(WEEKDAY(B1351,2)&gt;5,"Weekend posting | ","")&amp;IF(COUNTIF(Settings!$A$14:$A$43,B1351)&gt;0,"Holiday posting | ","")&amp;IF(B1351&gt;Settings!$C$8,"Posted after close | ","")&amp;IF(OR(B1351&lt;Settings!$C$6,B1351&gt;Settings!$C$7),"Outside period | ","")&amp;IF(COUNTIF(Settings!$E$14:$E$43,C1351&amp;"")&gt;0,"Sensitive account | ","")&amp;IF(AND(MAX(N(E1351),N(F1351))&gt;=Settings!$C$9,MOD(MAX(N(E1351),N(F1351)),Settings!$C$10)=0),"Round amount | ",""),LEN(IF(K1351="No","Does not balance | ","")&amp;IF(I1351="","Not approved | ",IF(UPPER(TRIM(H1351))=UPPER(TRIM(I1351)),"Self-approved | ",""))&amp;IF(J1351="","No support | ","")&amp;IF(WEEKDAY(B1351,2)&gt;5,"Weekend posting | ","")&amp;IF(COUNTIF(Settings!$A$14:$A$43,B1351)&gt;0,"Holiday posting | ","")&amp;IF(B1351&gt;Settings!$C$8,"Posted after close | ","")&amp;IF(OR(B1351&lt;Settings!$C$6,B1351&gt;Settings!$C$7),"Outside period | ","")&amp;IF(COUNTIF(Settings!$E$14:$E$43,C1351&amp;"")&gt;0,"Sensitive account | ","")&amp;IF(AND(MAX(N(E1351),N(F1351))&gt;=Settings!$C$9,MOD(MAX(N(E1351),N(F1351)),Settings!$C$10)=0),"Round amount | ",""))-3)))</f>
        <v/>
      </c>
      <c r="M1351" s="21" t="str">
        <f aca="false">IF(A1351="","",IF(COUNTIF($A$9:A1351,A1351)=1,MAX($M$8:M1350)+1,""))</f>
        <v/>
      </c>
    </row>
    <row r="1352" customFormat="false" ht="15" hidden="false" customHeight="false" outlineLevel="0" collapsed="false">
      <c r="A1352" s="8"/>
      <c r="B1352" s="17"/>
      <c r="C1352" s="19"/>
      <c r="D1352" s="8"/>
      <c r="E1352" s="18"/>
      <c r="F1352" s="18"/>
      <c r="G1352" s="8"/>
      <c r="H1352" s="8"/>
      <c r="I1352" s="8"/>
      <c r="J1352" s="8"/>
      <c r="K1352" s="10" t="str">
        <f aca="false">IF(A1352="","",IF(ABS(SUMIFS($E$9:$E$2008,$A$9:$A$2008,A1352)-SUMIFS($F$9:$F$2008,$A$9:$A$2008,A1352))&lt;0.5,"Yes","No"))</f>
        <v/>
      </c>
      <c r="L1352" s="10" t="str">
        <f aca="false">IF(A1352="","",IF(IF(K1352="No","Does not balance | ","")&amp;IF(I1352="","Not approved | ",IF(UPPER(TRIM(H1352))=UPPER(TRIM(I1352)),"Self-approved | ",""))&amp;IF(J1352="","No support | ","")&amp;IF(WEEKDAY(B1352,2)&gt;5,"Weekend posting | ","")&amp;IF(COUNTIF(Settings!$A$14:$A$43,B1352)&gt;0,"Holiday posting | ","")&amp;IF(B1352&gt;Settings!$C$8,"Posted after close | ","")&amp;IF(OR(B1352&lt;Settings!$C$6,B1352&gt;Settings!$C$7),"Outside period | ","")&amp;IF(COUNTIF(Settings!$E$14:$E$43,C1352&amp;"")&gt;0,"Sensitive account | ","")&amp;IF(AND(MAX(N(E1352),N(F1352))&gt;=Settings!$C$9,MOD(MAX(N(E1352),N(F1352)),Settings!$C$10)=0),"Round amount | ","")="","",LEFT(IF(K1352="No","Does not balance | ","")&amp;IF(I1352="","Not approved | ",IF(UPPER(TRIM(H1352))=UPPER(TRIM(I1352)),"Self-approved | ",""))&amp;IF(J1352="","No support | ","")&amp;IF(WEEKDAY(B1352,2)&gt;5,"Weekend posting | ","")&amp;IF(COUNTIF(Settings!$A$14:$A$43,B1352)&gt;0,"Holiday posting | ","")&amp;IF(B1352&gt;Settings!$C$8,"Posted after close | ","")&amp;IF(OR(B1352&lt;Settings!$C$6,B1352&gt;Settings!$C$7),"Outside period | ","")&amp;IF(COUNTIF(Settings!$E$14:$E$43,C1352&amp;"")&gt;0,"Sensitive account | ","")&amp;IF(AND(MAX(N(E1352),N(F1352))&gt;=Settings!$C$9,MOD(MAX(N(E1352),N(F1352)),Settings!$C$10)=0),"Round amount | ",""),LEN(IF(K1352="No","Does not balance | ","")&amp;IF(I1352="","Not approved | ",IF(UPPER(TRIM(H1352))=UPPER(TRIM(I1352)),"Self-approved | ",""))&amp;IF(J1352="","No support | ","")&amp;IF(WEEKDAY(B1352,2)&gt;5,"Weekend posting | ","")&amp;IF(COUNTIF(Settings!$A$14:$A$43,B1352)&gt;0,"Holiday posting | ","")&amp;IF(B1352&gt;Settings!$C$8,"Posted after close | ","")&amp;IF(OR(B1352&lt;Settings!$C$6,B1352&gt;Settings!$C$7),"Outside period | ","")&amp;IF(COUNTIF(Settings!$E$14:$E$43,C1352&amp;"")&gt;0,"Sensitive account | ","")&amp;IF(AND(MAX(N(E1352),N(F1352))&gt;=Settings!$C$9,MOD(MAX(N(E1352),N(F1352)),Settings!$C$10)=0),"Round amount | ",""))-3)))</f>
        <v/>
      </c>
      <c r="M1352" s="21" t="str">
        <f aca="false">IF(A1352="","",IF(COUNTIF($A$9:A1352,A1352)=1,MAX($M$8:M1351)+1,""))</f>
        <v/>
      </c>
    </row>
    <row r="1353" customFormat="false" ht="15" hidden="false" customHeight="false" outlineLevel="0" collapsed="false">
      <c r="A1353" s="8"/>
      <c r="B1353" s="17"/>
      <c r="C1353" s="19"/>
      <c r="D1353" s="8"/>
      <c r="E1353" s="18"/>
      <c r="F1353" s="18"/>
      <c r="G1353" s="8"/>
      <c r="H1353" s="8"/>
      <c r="I1353" s="8"/>
      <c r="J1353" s="8"/>
      <c r="K1353" s="10" t="str">
        <f aca="false">IF(A1353="","",IF(ABS(SUMIFS($E$9:$E$2008,$A$9:$A$2008,A1353)-SUMIFS($F$9:$F$2008,$A$9:$A$2008,A1353))&lt;0.5,"Yes","No"))</f>
        <v/>
      </c>
      <c r="L1353" s="10" t="str">
        <f aca="false">IF(A1353="","",IF(IF(K1353="No","Does not balance | ","")&amp;IF(I1353="","Not approved | ",IF(UPPER(TRIM(H1353))=UPPER(TRIM(I1353)),"Self-approved | ",""))&amp;IF(J1353="","No support | ","")&amp;IF(WEEKDAY(B1353,2)&gt;5,"Weekend posting | ","")&amp;IF(COUNTIF(Settings!$A$14:$A$43,B1353)&gt;0,"Holiday posting | ","")&amp;IF(B1353&gt;Settings!$C$8,"Posted after close | ","")&amp;IF(OR(B1353&lt;Settings!$C$6,B1353&gt;Settings!$C$7),"Outside period | ","")&amp;IF(COUNTIF(Settings!$E$14:$E$43,C1353&amp;"")&gt;0,"Sensitive account | ","")&amp;IF(AND(MAX(N(E1353),N(F1353))&gt;=Settings!$C$9,MOD(MAX(N(E1353),N(F1353)),Settings!$C$10)=0),"Round amount | ","")="","",LEFT(IF(K1353="No","Does not balance | ","")&amp;IF(I1353="","Not approved | ",IF(UPPER(TRIM(H1353))=UPPER(TRIM(I1353)),"Self-approved | ",""))&amp;IF(J1353="","No support | ","")&amp;IF(WEEKDAY(B1353,2)&gt;5,"Weekend posting | ","")&amp;IF(COUNTIF(Settings!$A$14:$A$43,B1353)&gt;0,"Holiday posting | ","")&amp;IF(B1353&gt;Settings!$C$8,"Posted after close | ","")&amp;IF(OR(B1353&lt;Settings!$C$6,B1353&gt;Settings!$C$7),"Outside period | ","")&amp;IF(COUNTIF(Settings!$E$14:$E$43,C1353&amp;"")&gt;0,"Sensitive account | ","")&amp;IF(AND(MAX(N(E1353),N(F1353))&gt;=Settings!$C$9,MOD(MAX(N(E1353),N(F1353)),Settings!$C$10)=0),"Round amount | ",""),LEN(IF(K1353="No","Does not balance | ","")&amp;IF(I1353="","Not approved | ",IF(UPPER(TRIM(H1353))=UPPER(TRIM(I1353)),"Self-approved | ",""))&amp;IF(J1353="","No support | ","")&amp;IF(WEEKDAY(B1353,2)&gt;5,"Weekend posting | ","")&amp;IF(COUNTIF(Settings!$A$14:$A$43,B1353)&gt;0,"Holiday posting | ","")&amp;IF(B1353&gt;Settings!$C$8,"Posted after close | ","")&amp;IF(OR(B1353&lt;Settings!$C$6,B1353&gt;Settings!$C$7),"Outside period | ","")&amp;IF(COUNTIF(Settings!$E$14:$E$43,C1353&amp;"")&gt;0,"Sensitive account | ","")&amp;IF(AND(MAX(N(E1353),N(F1353))&gt;=Settings!$C$9,MOD(MAX(N(E1353),N(F1353)),Settings!$C$10)=0),"Round amount | ",""))-3)))</f>
        <v/>
      </c>
      <c r="M1353" s="21" t="str">
        <f aca="false">IF(A1353="","",IF(COUNTIF($A$9:A1353,A1353)=1,MAX($M$8:M1352)+1,""))</f>
        <v/>
      </c>
    </row>
    <row r="1354" customFormat="false" ht="15" hidden="false" customHeight="false" outlineLevel="0" collapsed="false">
      <c r="A1354" s="8"/>
      <c r="B1354" s="17"/>
      <c r="C1354" s="19"/>
      <c r="D1354" s="8"/>
      <c r="E1354" s="18"/>
      <c r="F1354" s="18"/>
      <c r="G1354" s="8"/>
      <c r="H1354" s="8"/>
      <c r="I1354" s="8"/>
      <c r="J1354" s="8"/>
      <c r="K1354" s="10" t="str">
        <f aca="false">IF(A1354="","",IF(ABS(SUMIFS($E$9:$E$2008,$A$9:$A$2008,A1354)-SUMIFS($F$9:$F$2008,$A$9:$A$2008,A1354))&lt;0.5,"Yes","No"))</f>
        <v/>
      </c>
      <c r="L1354" s="10" t="str">
        <f aca="false">IF(A1354="","",IF(IF(K1354="No","Does not balance | ","")&amp;IF(I1354="","Not approved | ",IF(UPPER(TRIM(H1354))=UPPER(TRIM(I1354)),"Self-approved | ",""))&amp;IF(J1354="","No support | ","")&amp;IF(WEEKDAY(B1354,2)&gt;5,"Weekend posting | ","")&amp;IF(COUNTIF(Settings!$A$14:$A$43,B1354)&gt;0,"Holiday posting | ","")&amp;IF(B1354&gt;Settings!$C$8,"Posted after close | ","")&amp;IF(OR(B1354&lt;Settings!$C$6,B1354&gt;Settings!$C$7),"Outside period | ","")&amp;IF(COUNTIF(Settings!$E$14:$E$43,C1354&amp;"")&gt;0,"Sensitive account | ","")&amp;IF(AND(MAX(N(E1354),N(F1354))&gt;=Settings!$C$9,MOD(MAX(N(E1354),N(F1354)),Settings!$C$10)=0),"Round amount | ","")="","",LEFT(IF(K1354="No","Does not balance | ","")&amp;IF(I1354="","Not approved | ",IF(UPPER(TRIM(H1354))=UPPER(TRIM(I1354)),"Self-approved | ",""))&amp;IF(J1354="","No support | ","")&amp;IF(WEEKDAY(B1354,2)&gt;5,"Weekend posting | ","")&amp;IF(COUNTIF(Settings!$A$14:$A$43,B1354)&gt;0,"Holiday posting | ","")&amp;IF(B1354&gt;Settings!$C$8,"Posted after close | ","")&amp;IF(OR(B1354&lt;Settings!$C$6,B1354&gt;Settings!$C$7),"Outside period | ","")&amp;IF(COUNTIF(Settings!$E$14:$E$43,C1354&amp;"")&gt;0,"Sensitive account | ","")&amp;IF(AND(MAX(N(E1354),N(F1354))&gt;=Settings!$C$9,MOD(MAX(N(E1354),N(F1354)),Settings!$C$10)=0),"Round amount | ",""),LEN(IF(K1354="No","Does not balance | ","")&amp;IF(I1354="","Not approved | ",IF(UPPER(TRIM(H1354))=UPPER(TRIM(I1354)),"Self-approved | ",""))&amp;IF(J1354="","No support | ","")&amp;IF(WEEKDAY(B1354,2)&gt;5,"Weekend posting | ","")&amp;IF(COUNTIF(Settings!$A$14:$A$43,B1354)&gt;0,"Holiday posting | ","")&amp;IF(B1354&gt;Settings!$C$8,"Posted after close | ","")&amp;IF(OR(B1354&lt;Settings!$C$6,B1354&gt;Settings!$C$7),"Outside period | ","")&amp;IF(COUNTIF(Settings!$E$14:$E$43,C1354&amp;"")&gt;0,"Sensitive account | ","")&amp;IF(AND(MAX(N(E1354),N(F1354))&gt;=Settings!$C$9,MOD(MAX(N(E1354),N(F1354)),Settings!$C$10)=0),"Round amount | ",""))-3)))</f>
        <v/>
      </c>
      <c r="M1354" s="21" t="str">
        <f aca="false">IF(A1354="","",IF(COUNTIF($A$9:A1354,A1354)=1,MAX($M$8:M1353)+1,""))</f>
        <v/>
      </c>
    </row>
    <row r="1355" customFormat="false" ht="15" hidden="false" customHeight="false" outlineLevel="0" collapsed="false">
      <c r="A1355" s="8"/>
      <c r="B1355" s="17"/>
      <c r="C1355" s="19"/>
      <c r="D1355" s="8"/>
      <c r="E1355" s="18"/>
      <c r="F1355" s="18"/>
      <c r="G1355" s="8"/>
      <c r="H1355" s="8"/>
      <c r="I1355" s="8"/>
      <c r="J1355" s="8"/>
      <c r="K1355" s="10" t="str">
        <f aca="false">IF(A1355="","",IF(ABS(SUMIFS($E$9:$E$2008,$A$9:$A$2008,A1355)-SUMIFS($F$9:$F$2008,$A$9:$A$2008,A1355))&lt;0.5,"Yes","No"))</f>
        <v/>
      </c>
      <c r="L1355" s="10" t="str">
        <f aca="false">IF(A1355="","",IF(IF(K1355="No","Does not balance | ","")&amp;IF(I1355="","Not approved | ",IF(UPPER(TRIM(H1355))=UPPER(TRIM(I1355)),"Self-approved | ",""))&amp;IF(J1355="","No support | ","")&amp;IF(WEEKDAY(B1355,2)&gt;5,"Weekend posting | ","")&amp;IF(COUNTIF(Settings!$A$14:$A$43,B1355)&gt;0,"Holiday posting | ","")&amp;IF(B1355&gt;Settings!$C$8,"Posted after close | ","")&amp;IF(OR(B1355&lt;Settings!$C$6,B1355&gt;Settings!$C$7),"Outside period | ","")&amp;IF(COUNTIF(Settings!$E$14:$E$43,C1355&amp;"")&gt;0,"Sensitive account | ","")&amp;IF(AND(MAX(N(E1355),N(F1355))&gt;=Settings!$C$9,MOD(MAX(N(E1355),N(F1355)),Settings!$C$10)=0),"Round amount | ","")="","",LEFT(IF(K1355="No","Does not balance | ","")&amp;IF(I1355="","Not approved | ",IF(UPPER(TRIM(H1355))=UPPER(TRIM(I1355)),"Self-approved | ",""))&amp;IF(J1355="","No support | ","")&amp;IF(WEEKDAY(B1355,2)&gt;5,"Weekend posting | ","")&amp;IF(COUNTIF(Settings!$A$14:$A$43,B1355)&gt;0,"Holiday posting | ","")&amp;IF(B1355&gt;Settings!$C$8,"Posted after close | ","")&amp;IF(OR(B1355&lt;Settings!$C$6,B1355&gt;Settings!$C$7),"Outside period | ","")&amp;IF(COUNTIF(Settings!$E$14:$E$43,C1355&amp;"")&gt;0,"Sensitive account | ","")&amp;IF(AND(MAX(N(E1355),N(F1355))&gt;=Settings!$C$9,MOD(MAX(N(E1355),N(F1355)),Settings!$C$10)=0),"Round amount | ",""),LEN(IF(K1355="No","Does not balance | ","")&amp;IF(I1355="","Not approved | ",IF(UPPER(TRIM(H1355))=UPPER(TRIM(I1355)),"Self-approved | ",""))&amp;IF(J1355="","No support | ","")&amp;IF(WEEKDAY(B1355,2)&gt;5,"Weekend posting | ","")&amp;IF(COUNTIF(Settings!$A$14:$A$43,B1355)&gt;0,"Holiday posting | ","")&amp;IF(B1355&gt;Settings!$C$8,"Posted after close | ","")&amp;IF(OR(B1355&lt;Settings!$C$6,B1355&gt;Settings!$C$7),"Outside period | ","")&amp;IF(COUNTIF(Settings!$E$14:$E$43,C1355&amp;"")&gt;0,"Sensitive account | ","")&amp;IF(AND(MAX(N(E1355),N(F1355))&gt;=Settings!$C$9,MOD(MAX(N(E1355),N(F1355)),Settings!$C$10)=0),"Round amount | ",""))-3)))</f>
        <v/>
      </c>
      <c r="M1355" s="21" t="str">
        <f aca="false">IF(A1355="","",IF(COUNTIF($A$9:A1355,A1355)=1,MAX($M$8:M1354)+1,""))</f>
        <v/>
      </c>
    </row>
    <row r="1356" customFormat="false" ht="15" hidden="false" customHeight="false" outlineLevel="0" collapsed="false">
      <c r="A1356" s="8"/>
      <c r="B1356" s="17"/>
      <c r="C1356" s="19"/>
      <c r="D1356" s="8"/>
      <c r="E1356" s="18"/>
      <c r="F1356" s="18"/>
      <c r="G1356" s="8"/>
      <c r="H1356" s="8"/>
      <c r="I1356" s="8"/>
      <c r="J1356" s="8"/>
      <c r="K1356" s="10" t="str">
        <f aca="false">IF(A1356="","",IF(ABS(SUMIFS($E$9:$E$2008,$A$9:$A$2008,A1356)-SUMIFS($F$9:$F$2008,$A$9:$A$2008,A1356))&lt;0.5,"Yes","No"))</f>
        <v/>
      </c>
      <c r="L1356" s="10" t="str">
        <f aca="false">IF(A1356="","",IF(IF(K1356="No","Does not balance | ","")&amp;IF(I1356="","Not approved | ",IF(UPPER(TRIM(H1356))=UPPER(TRIM(I1356)),"Self-approved | ",""))&amp;IF(J1356="","No support | ","")&amp;IF(WEEKDAY(B1356,2)&gt;5,"Weekend posting | ","")&amp;IF(COUNTIF(Settings!$A$14:$A$43,B1356)&gt;0,"Holiday posting | ","")&amp;IF(B1356&gt;Settings!$C$8,"Posted after close | ","")&amp;IF(OR(B1356&lt;Settings!$C$6,B1356&gt;Settings!$C$7),"Outside period | ","")&amp;IF(COUNTIF(Settings!$E$14:$E$43,C1356&amp;"")&gt;0,"Sensitive account | ","")&amp;IF(AND(MAX(N(E1356),N(F1356))&gt;=Settings!$C$9,MOD(MAX(N(E1356),N(F1356)),Settings!$C$10)=0),"Round amount | ","")="","",LEFT(IF(K1356="No","Does not balance | ","")&amp;IF(I1356="","Not approved | ",IF(UPPER(TRIM(H1356))=UPPER(TRIM(I1356)),"Self-approved | ",""))&amp;IF(J1356="","No support | ","")&amp;IF(WEEKDAY(B1356,2)&gt;5,"Weekend posting | ","")&amp;IF(COUNTIF(Settings!$A$14:$A$43,B1356)&gt;0,"Holiday posting | ","")&amp;IF(B1356&gt;Settings!$C$8,"Posted after close | ","")&amp;IF(OR(B1356&lt;Settings!$C$6,B1356&gt;Settings!$C$7),"Outside period | ","")&amp;IF(COUNTIF(Settings!$E$14:$E$43,C1356&amp;"")&gt;0,"Sensitive account | ","")&amp;IF(AND(MAX(N(E1356),N(F1356))&gt;=Settings!$C$9,MOD(MAX(N(E1356),N(F1356)),Settings!$C$10)=0),"Round amount | ",""),LEN(IF(K1356="No","Does not balance | ","")&amp;IF(I1356="","Not approved | ",IF(UPPER(TRIM(H1356))=UPPER(TRIM(I1356)),"Self-approved | ",""))&amp;IF(J1356="","No support | ","")&amp;IF(WEEKDAY(B1356,2)&gt;5,"Weekend posting | ","")&amp;IF(COUNTIF(Settings!$A$14:$A$43,B1356)&gt;0,"Holiday posting | ","")&amp;IF(B1356&gt;Settings!$C$8,"Posted after close | ","")&amp;IF(OR(B1356&lt;Settings!$C$6,B1356&gt;Settings!$C$7),"Outside period | ","")&amp;IF(COUNTIF(Settings!$E$14:$E$43,C1356&amp;"")&gt;0,"Sensitive account | ","")&amp;IF(AND(MAX(N(E1356),N(F1356))&gt;=Settings!$C$9,MOD(MAX(N(E1356),N(F1356)),Settings!$C$10)=0),"Round amount | ",""))-3)))</f>
        <v/>
      </c>
      <c r="M1356" s="21" t="str">
        <f aca="false">IF(A1356="","",IF(COUNTIF($A$9:A1356,A1356)=1,MAX($M$8:M1355)+1,""))</f>
        <v/>
      </c>
    </row>
    <row r="1357" customFormat="false" ht="15" hidden="false" customHeight="false" outlineLevel="0" collapsed="false">
      <c r="A1357" s="8"/>
      <c r="B1357" s="17"/>
      <c r="C1357" s="19"/>
      <c r="D1357" s="8"/>
      <c r="E1357" s="18"/>
      <c r="F1357" s="18"/>
      <c r="G1357" s="8"/>
      <c r="H1357" s="8"/>
      <c r="I1357" s="8"/>
      <c r="J1357" s="8"/>
      <c r="K1357" s="10" t="str">
        <f aca="false">IF(A1357="","",IF(ABS(SUMIFS($E$9:$E$2008,$A$9:$A$2008,A1357)-SUMIFS($F$9:$F$2008,$A$9:$A$2008,A1357))&lt;0.5,"Yes","No"))</f>
        <v/>
      </c>
      <c r="L1357" s="10" t="str">
        <f aca="false">IF(A1357="","",IF(IF(K1357="No","Does not balance | ","")&amp;IF(I1357="","Not approved | ",IF(UPPER(TRIM(H1357))=UPPER(TRIM(I1357)),"Self-approved | ",""))&amp;IF(J1357="","No support | ","")&amp;IF(WEEKDAY(B1357,2)&gt;5,"Weekend posting | ","")&amp;IF(COUNTIF(Settings!$A$14:$A$43,B1357)&gt;0,"Holiday posting | ","")&amp;IF(B1357&gt;Settings!$C$8,"Posted after close | ","")&amp;IF(OR(B1357&lt;Settings!$C$6,B1357&gt;Settings!$C$7),"Outside period | ","")&amp;IF(COUNTIF(Settings!$E$14:$E$43,C1357&amp;"")&gt;0,"Sensitive account | ","")&amp;IF(AND(MAX(N(E1357),N(F1357))&gt;=Settings!$C$9,MOD(MAX(N(E1357),N(F1357)),Settings!$C$10)=0),"Round amount | ","")="","",LEFT(IF(K1357="No","Does not balance | ","")&amp;IF(I1357="","Not approved | ",IF(UPPER(TRIM(H1357))=UPPER(TRIM(I1357)),"Self-approved | ",""))&amp;IF(J1357="","No support | ","")&amp;IF(WEEKDAY(B1357,2)&gt;5,"Weekend posting | ","")&amp;IF(COUNTIF(Settings!$A$14:$A$43,B1357)&gt;0,"Holiday posting | ","")&amp;IF(B1357&gt;Settings!$C$8,"Posted after close | ","")&amp;IF(OR(B1357&lt;Settings!$C$6,B1357&gt;Settings!$C$7),"Outside period | ","")&amp;IF(COUNTIF(Settings!$E$14:$E$43,C1357&amp;"")&gt;0,"Sensitive account | ","")&amp;IF(AND(MAX(N(E1357),N(F1357))&gt;=Settings!$C$9,MOD(MAX(N(E1357),N(F1357)),Settings!$C$10)=0),"Round amount | ",""),LEN(IF(K1357="No","Does not balance | ","")&amp;IF(I1357="","Not approved | ",IF(UPPER(TRIM(H1357))=UPPER(TRIM(I1357)),"Self-approved | ",""))&amp;IF(J1357="","No support | ","")&amp;IF(WEEKDAY(B1357,2)&gt;5,"Weekend posting | ","")&amp;IF(COUNTIF(Settings!$A$14:$A$43,B1357)&gt;0,"Holiday posting | ","")&amp;IF(B1357&gt;Settings!$C$8,"Posted after close | ","")&amp;IF(OR(B1357&lt;Settings!$C$6,B1357&gt;Settings!$C$7),"Outside period | ","")&amp;IF(COUNTIF(Settings!$E$14:$E$43,C1357&amp;"")&gt;0,"Sensitive account | ","")&amp;IF(AND(MAX(N(E1357),N(F1357))&gt;=Settings!$C$9,MOD(MAX(N(E1357),N(F1357)),Settings!$C$10)=0),"Round amount | ",""))-3)))</f>
        <v/>
      </c>
      <c r="M1357" s="21" t="str">
        <f aca="false">IF(A1357="","",IF(COUNTIF($A$9:A1357,A1357)=1,MAX($M$8:M1356)+1,""))</f>
        <v/>
      </c>
    </row>
    <row r="1358" customFormat="false" ht="15" hidden="false" customHeight="false" outlineLevel="0" collapsed="false">
      <c r="A1358" s="8"/>
      <c r="B1358" s="17"/>
      <c r="C1358" s="19"/>
      <c r="D1358" s="8"/>
      <c r="E1358" s="18"/>
      <c r="F1358" s="18"/>
      <c r="G1358" s="8"/>
      <c r="H1358" s="8"/>
      <c r="I1358" s="8"/>
      <c r="J1358" s="8"/>
      <c r="K1358" s="10" t="str">
        <f aca="false">IF(A1358="","",IF(ABS(SUMIFS($E$9:$E$2008,$A$9:$A$2008,A1358)-SUMIFS($F$9:$F$2008,$A$9:$A$2008,A1358))&lt;0.5,"Yes","No"))</f>
        <v/>
      </c>
      <c r="L1358" s="10" t="str">
        <f aca="false">IF(A1358="","",IF(IF(K1358="No","Does not balance | ","")&amp;IF(I1358="","Not approved | ",IF(UPPER(TRIM(H1358))=UPPER(TRIM(I1358)),"Self-approved | ",""))&amp;IF(J1358="","No support | ","")&amp;IF(WEEKDAY(B1358,2)&gt;5,"Weekend posting | ","")&amp;IF(COUNTIF(Settings!$A$14:$A$43,B1358)&gt;0,"Holiday posting | ","")&amp;IF(B1358&gt;Settings!$C$8,"Posted after close | ","")&amp;IF(OR(B1358&lt;Settings!$C$6,B1358&gt;Settings!$C$7),"Outside period | ","")&amp;IF(COUNTIF(Settings!$E$14:$E$43,C1358&amp;"")&gt;0,"Sensitive account | ","")&amp;IF(AND(MAX(N(E1358),N(F1358))&gt;=Settings!$C$9,MOD(MAX(N(E1358),N(F1358)),Settings!$C$10)=0),"Round amount | ","")="","",LEFT(IF(K1358="No","Does not balance | ","")&amp;IF(I1358="","Not approved | ",IF(UPPER(TRIM(H1358))=UPPER(TRIM(I1358)),"Self-approved | ",""))&amp;IF(J1358="","No support | ","")&amp;IF(WEEKDAY(B1358,2)&gt;5,"Weekend posting | ","")&amp;IF(COUNTIF(Settings!$A$14:$A$43,B1358)&gt;0,"Holiday posting | ","")&amp;IF(B1358&gt;Settings!$C$8,"Posted after close | ","")&amp;IF(OR(B1358&lt;Settings!$C$6,B1358&gt;Settings!$C$7),"Outside period | ","")&amp;IF(COUNTIF(Settings!$E$14:$E$43,C1358&amp;"")&gt;0,"Sensitive account | ","")&amp;IF(AND(MAX(N(E1358),N(F1358))&gt;=Settings!$C$9,MOD(MAX(N(E1358),N(F1358)),Settings!$C$10)=0),"Round amount | ",""),LEN(IF(K1358="No","Does not balance | ","")&amp;IF(I1358="","Not approved | ",IF(UPPER(TRIM(H1358))=UPPER(TRIM(I1358)),"Self-approved | ",""))&amp;IF(J1358="","No support | ","")&amp;IF(WEEKDAY(B1358,2)&gt;5,"Weekend posting | ","")&amp;IF(COUNTIF(Settings!$A$14:$A$43,B1358)&gt;0,"Holiday posting | ","")&amp;IF(B1358&gt;Settings!$C$8,"Posted after close | ","")&amp;IF(OR(B1358&lt;Settings!$C$6,B1358&gt;Settings!$C$7),"Outside period | ","")&amp;IF(COUNTIF(Settings!$E$14:$E$43,C1358&amp;"")&gt;0,"Sensitive account | ","")&amp;IF(AND(MAX(N(E1358),N(F1358))&gt;=Settings!$C$9,MOD(MAX(N(E1358),N(F1358)),Settings!$C$10)=0),"Round amount | ",""))-3)))</f>
        <v/>
      </c>
      <c r="M1358" s="21" t="str">
        <f aca="false">IF(A1358="","",IF(COUNTIF($A$9:A1358,A1358)=1,MAX($M$8:M1357)+1,""))</f>
        <v/>
      </c>
    </row>
    <row r="1359" customFormat="false" ht="15" hidden="false" customHeight="false" outlineLevel="0" collapsed="false">
      <c r="A1359" s="8"/>
      <c r="B1359" s="17"/>
      <c r="C1359" s="19"/>
      <c r="D1359" s="8"/>
      <c r="E1359" s="18"/>
      <c r="F1359" s="18"/>
      <c r="G1359" s="8"/>
      <c r="H1359" s="8"/>
      <c r="I1359" s="8"/>
      <c r="J1359" s="8"/>
      <c r="K1359" s="10" t="str">
        <f aca="false">IF(A1359="","",IF(ABS(SUMIFS($E$9:$E$2008,$A$9:$A$2008,A1359)-SUMIFS($F$9:$F$2008,$A$9:$A$2008,A1359))&lt;0.5,"Yes","No"))</f>
        <v/>
      </c>
      <c r="L1359" s="10" t="str">
        <f aca="false">IF(A1359="","",IF(IF(K1359="No","Does not balance | ","")&amp;IF(I1359="","Not approved | ",IF(UPPER(TRIM(H1359))=UPPER(TRIM(I1359)),"Self-approved | ",""))&amp;IF(J1359="","No support | ","")&amp;IF(WEEKDAY(B1359,2)&gt;5,"Weekend posting | ","")&amp;IF(COUNTIF(Settings!$A$14:$A$43,B1359)&gt;0,"Holiday posting | ","")&amp;IF(B1359&gt;Settings!$C$8,"Posted after close | ","")&amp;IF(OR(B1359&lt;Settings!$C$6,B1359&gt;Settings!$C$7),"Outside period | ","")&amp;IF(COUNTIF(Settings!$E$14:$E$43,C1359&amp;"")&gt;0,"Sensitive account | ","")&amp;IF(AND(MAX(N(E1359),N(F1359))&gt;=Settings!$C$9,MOD(MAX(N(E1359),N(F1359)),Settings!$C$10)=0),"Round amount | ","")="","",LEFT(IF(K1359="No","Does not balance | ","")&amp;IF(I1359="","Not approved | ",IF(UPPER(TRIM(H1359))=UPPER(TRIM(I1359)),"Self-approved | ",""))&amp;IF(J1359="","No support | ","")&amp;IF(WEEKDAY(B1359,2)&gt;5,"Weekend posting | ","")&amp;IF(COUNTIF(Settings!$A$14:$A$43,B1359)&gt;0,"Holiday posting | ","")&amp;IF(B1359&gt;Settings!$C$8,"Posted after close | ","")&amp;IF(OR(B1359&lt;Settings!$C$6,B1359&gt;Settings!$C$7),"Outside period | ","")&amp;IF(COUNTIF(Settings!$E$14:$E$43,C1359&amp;"")&gt;0,"Sensitive account | ","")&amp;IF(AND(MAX(N(E1359),N(F1359))&gt;=Settings!$C$9,MOD(MAX(N(E1359),N(F1359)),Settings!$C$10)=0),"Round amount | ",""),LEN(IF(K1359="No","Does not balance | ","")&amp;IF(I1359="","Not approved | ",IF(UPPER(TRIM(H1359))=UPPER(TRIM(I1359)),"Self-approved | ",""))&amp;IF(J1359="","No support | ","")&amp;IF(WEEKDAY(B1359,2)&gt;5,"Weekend posting | ","")&amp;IF(COUNTIF(Settings!$A$14:$A$43,B1359)&gt;0,"Holiday posting | ","")&amp;IF(B1359&gt;Settings!$C$8,"Posted after close | ","")&amp;IF(OR(B1359&lt;Settings!$C$6,B1359&gt;Settings!$C$7),"Outside period | ","")&amp;IF(COUNTIF(Settings!$E$14:$E$43,C1359&amp;"")&gt;0,"Sensitive account | ","")&amp;IF(AND(MAX(N(E1359),N(F1359))&gt;=Settings!$C$9,MOD(MAX(N(E1359),N(F1359)),Settings!$C$10)=0),"Round amount | ",""))-3)))</f>
        <v/>
      </c>
      <c r="M1359" s="21" t="str">
        <f aca="false">IF(A1359="","",IF(COUNTIF($A$9:A1359,A1359)=1,MAX($M$8:M1358)+1,""))</f>
        <v/>
      </c>
    </row>
    <row r="1360" customFormat="false" ht="15" hidden="false" customHeight="false" outlineLevel="0" collapsed="false">
      <c r="A1360" s="8"/>
      <c r="B1360" s="17"/>
      <c r="C1360" s="19"/>
      <c r="D1360" s="8"/>
      <c r="E1360" s="18"/>
      <c r="F1360" s="18"/>
      <c r="G1360" s="8"/>
      <c r="H1360" s="8"/>
      <c r="I1360" s="8"/>
      <c r="J1360" s="8"/>
      <c r="K1360" s="10" t="str">
        <f aca="false">IF(A1360="","",IF(ABS(SUMIFS($E$9:$E$2008,$A$9:$A$2008,A1360)-SUMIFS($F$9:$F$2008,$A$9:$A$2008,A1360))&lt;0.5,"Yes","No"))</f>
        <v/>
      </c>
      <c r="L1360" s="10" t="str">
        <f aca="false">IF(A1360="","",IF(IF(K1360="No","Does not balance | ","")&amp;IF(I1360="","Not approved | ",IF(UPPER(TRIM(H1360))=UPPER(TRIM(I1360)),"Self-approved | ",""))&amp;IF(J1360="","No support | ","")&amp;IF(WEEKDAY(B1360,2)&gt;5,"Weekend posting | ","")&amp;IF(COUNTIF(Settings!$A$14:$A$43,B1360)&gt;0,"Holiday posting | ","")&amp;IF(B1360&gt;Settings!$C$8,"Posted after close | ","")&amp;IF(OR(B1360&lt;Settings!$C$6,B1360&gt;Settings!$C$7),"Outside period | ","")&amp;IF(COUNTIF(Settings!$E$14:$E$43,C1360&amp;"")&gt;0,"Sensitive account | ","")&amp;IF(AND(MAX(N(E1360),N(F1360))&gt;=Settings!$C$9,MOD(MAX(N(E1360),N(F1360)),Settings!$C$10)=0),"Round amount | ","")="","",LEFT(IF(K1360="No","Does not balance | ","")&amp;IF(I1360="","Not approved | ",IF(UPPER(TRIM(H1360))=UPPER(TRIM(I1360)),"Self-approved | ",""))&amp;IF(J1360="","No support | ","")&amp;IF(WEEKDAY(B1360,2)&gt;5,"Weekend posting | ","")&amp;IF(COUNTIF(Settings!$A$14:$A$43,B1360)&gt;0,"Holiday posting | ","")&amp;IF(B1360&gt;Settings!$C$8,"Posted after close | ","")&amp;IF(OR(B1360&lt;Settings!$C$6,B1360&gt;Settings!$C$7),"Outside period | ","")&amp;IF(COUNTIF(Settings!$E$14:$E$43,C1360&amp;"")&gt;0,"Sensitive account | ","")&amp;IF(AND(MAX(N(E1360),N(F1360))&gt;=Settings!$C$9,MOD(MAX(N(E1360),N(F1360)),Settings!$C$10)=0),"Round amount | ",""),LEN(IF(K1360="No","Does not balance | ","")&amp;IF(I1360="","Not approved | ",IF(UPPER(TRIM(H1360))=UPPER(TRIM(I1360)),"Self-approved | ",""))&amp;IF(J1360="","No support | ","")&amp;IF(WEEKDAY(B1360,2)&gt;5,"Weekend posting | ","")&amp;IF(COUNTIF(Settings!$A$14:$A$43,B1360)&gt;0,"Holiday posting | ","")&amp;IF(B1360&gt;Settings!$C$8,"Posted after close | ","")&amp;IF(OR(B1360&lt;Settings!$C$6,B1360&gt;Settings!$C$7),"Outside period | ","")&amp;IF(COUNTIF(Settings!$E$14:$E$43,C1360&amp;"")&gt;0,"Sensitive account | ","")&amp;IF(AND(MAX(N(E1360),N(F1360))&gt;=Settings!$C$9,MOD(MAX(N(E1360),N(F1360)),Settings!$C$10)=0),"Round amount | ",""))-3)))</f>
        <v/>
      </c>
      <c r="M1360" s="21" t="str">
        <f aca="false">IF(A1360="","",IF(COUNTIF($A$9:A1360,A1360)=1,MAX($M$8:M1359)+1,""))</f>
        <v/>
      </c>
    </row>
    <row r="1361" customFormat="false" ht="15" hidden="false" customHeight="false" outlineLevel="0" collapsed="false">
      <c r="A1361" s="8"/>
      <c r="B1361" s="17"/>
      <c r="C1361" s="19"/>
      <c r="D1361" s="8"/>
      <c r="E1361" s="18"/>
      <c r="F1361" s="18"/>
      <c r="G1361" s="8"/>
      <c r="H1361" s="8"/>
      <c r="I1361" s="8"/>
      <c r="J1361" s="8"/>
      <c r="K1361" s="10" t="str">
        <f aca="false">IF(A1361="","",IF(ABS(SUMIFS($E$9:$E$2008,$A$9:$A$2008,A1361)-SUMIFS($F$9:$F$2008,$A$9:$A$2008,A1361))&lt;0.5,"Yes","No"))</f>
        <v/>
      </c>
      <c r="L1361" s="10" t="str">
        <f aca="false">IF(A1361="","",IF(IF(K1361="No","Does not balance | ","")&amp;IF(I1361="","Not approved | ",IF(UPPER(TRIM(H1361))=UPPER(TRIM(I1361)),"Self-approved | ",""))&amp;IF(J1361="","No support | ","")&amp;IF(WEEKDAY(B1361,2)&gt;5,"Weekend posting | ","")&amp;IF(COUNTIF(Settings!$A$14:$A$43,B1361)&gt;0,"Holiday posting | ","")&amp;IF(B1361&gt;Settings!$C$8,"Posted after close | ","")&amp;IF(OR(B1361&lt;Settings!$C$6,B1361&gt;Settings!$C$7),"Outside period | ","")&amp;IF(COUNTIF(Settings!$E$14:$E$43,C1361&amp;"")&gt;0,"Sensitive account | ","")&amp;IF(AND(MAX(N(E1361),N(F1361))&gt;=Settings!$C$9,MOD(MAX(N(E1361),N(F1361)),Settings!$C$10)=0),"Round amount | ","")="","",LEFT(IF(K1361="No","Does not balance | ","")&amp;IF(I1361="","Not approved | ",IF(UPPER(TRIM(H1361))=UPPER(TRIM(I1361)),"Self-approved | ",""))&amp;IF(J1361="","No support | ","")&amp;IF(WEEKDAY(B1361,2)&gt;5,"Weekend posting | ","")&amp;IF(COUNTIF(Settings!$A$14:$A$43,B1361)&gt;0,"Holiday posting | ","")&amp;IF(B1361&gt;Settings!$C$8,"Posted after close | ","")&amp;IF(OR(B1361&lt;Settings!$C$6,B1361&gt;Settings!$C$7),"Outside period | ","")&amp;IF(COUNTIF(Settings!$E$14:$E$43,C1361&amp;"")&gt;0,"Sensitive account | ","")&amp;IF(AND(MAX(N(E1361),N(F1361))&gt;=Settings!$C$9,MOD(MAX(N(E1361),N(F1361)),Settings!$C$10)=0),"Round amount | ",""),LEN(IF(K1361="No","Does not balance | ","")&amp;IF(I1361="","Not approved | ",IF(UPPER(TRIM(H1361))=UPPER(TRIM(I1361)),"Self-approved | ",""))&amp;IF(J1361="","No support | ","")&amp;IF(WEEKDAY(B1361,2)&gt;5,"Weekend posting | ","")&amp;IF(COUNTIF(Settings!$A$14:$A$43,B1361)&gt;0,"Holiday posting | ","")&amp;IF(B1361&gt;Settings!$C$8,"Posted after close | ","")&amp;IF(OR(B1361&lt;Settings!$C$6,B1361&gt;Settings!$C$7),"Outside period | ","")&amp;IF(COUNTIF(Settings!$E$14:$E$43,C1361&amp;"")&gt;0,"Sensitive account | ","")&amp;IF(AND(MAX(N(E1361),N(F1361))&gt;=Settings!$C$9,MOD(MAX(N(E1361),N(F1361)),Settings!$C$10)=0),"Round amount | ",""))-3)))</f>
        <v/>
      </c>
      <c r="M1361" s="21" t="str">
        <f aca="false">IF(A1361="","",IF(COUNTIF($A$9:A1361,A1361)=1,MAX($M$8:M1360)+1,""))</f>
        <v/>
      </c>
    </row>
    <row r="1362" customFormat="false" ht="15" hidden="false" customHeight="false" outlineLevel="0" collapsed="false">
      <c r="A1362" s="8"/>
      <c r="B1362" s="17"/>
      <c r="C1362" s="19"/>
      <c r="D1362" s="8"/>
      <c r="E1362" s="18"/>
      <c r="F1362" s="18"/>
      <c r="G1362" s="8"/>
      <c r="H1362" s="8"/>
      <c r="I1362" s="8"/>
      <c r="J1362" s="8"/>
      <c r="K1362" s="10" t="str">
        <f aca="false">IF(A1362="","",IF(ABS(SUMIFS($E$9:$E$2008,$A$9:$A$2008,A1362)-SUMIFS($F$9:$F$2008,$A$9:$A$2008,A1362))&lt;0.5,"Yes","No"))</f>
        <v/>
      </c>
      <c r="L1362" s="10" t="str">
        <f aca="false">IF(A1362="","",IF(IF(K1362="No","Does not balance | ","")&amp;IF(I1362="","Not approved | ",IF(UPPER(TRIM(H1362))=UPPER(TRIM(I1362)),"Self-approved | ",""))&amp;IF(J1362="","No support | ","")&amp;IF(WEEKDAY(B1362,2)&gt;5,"Weekend posting | ","")&amp;IF(COUNTIF(Settings!$A$14:$A$43,B1362)&gt;0,"Holiday posting | ","")&amp;IF(B1362&gt;Settings!$C$8,"Posted after close | ","")&amp;IF(OR(B1362&lt;Settings!$C$6,B1362&gt;Settings!$C$7),"Outside period | ","")&amp;IF(COUNTIF(Settings!$E$14:$E$43,C1362&amp;"")&gt;0,"Sensitive account | ","")&amp;IF(AND(MAX(N(E1362),N(F1362))&gt;=Settings!$C$9,MOD(MAX(N(E1362),N(F1362)),Settings!$C$10)=0),"Round amount | ","")="","",LEFT(IF(K1362="No","Does not balance | ","")&amp;IF(I1362="","Not approved | ",IF(UPPER(TRIM(H1362))=UPPER(TRIM(I1362)),"Self-approved | ",""))&amp;IF(J1362="","No support | ","")&amp;IF(WEEKDAY(B1362,2)&gt;5,"Weekend posting | ","")&amp;IF(COUNTIF(Settings!$A$14:$A$43,B1362)&gt;0,"Holiday posting | ","")&amp;IF(B1362&gt;Settings!$C$8,"Posted after close | ","")&amp;IF(OR(B1362&lt;Settings!$C$6,B1362&gt;Settings!$C$7),"Outside period | ","")&amp;IF(COUNTIF(Settings!$E$14:$E$43,C1362&amp;"")&gt;0,"Sensitive account | ","")&amp;IF(AND(MAX(N(E1362),N(F1362))&gt;=Settings!$C$9,MOD(MAX(N(E1362),N(F1362)),Settings!$C$10)=0),"Round amount | ",""),LEN(IF(K1362="No","Does not balance | ","")&amp;IF(I1362="","Not approved | ",IF(UPPER(TRIM(H1362))=UPPER(TRIM(I1362)),"Self-approved | ",""))&amp;IF(J1362="","No support | ","")&amp;IF(WEEKDAY(B1362,2)&gt;5,"Weekend posting | ","")&amp;IF(COUNTIF(Settings!$A$14:$A$43,B1362)&gt;0,"Holiday posting | ","")&amp;IF(B1362&gt;Settings!$C$8,"Posted after close | ","")&amp;IF(OR(B1362&lt;Settings!$C$6,B1362&gt;Settings!$C$7),"Outside period | ","")&amp;IF(COUNTIF(Settings!$E$14:$E$43,C1362&amp;"")&gt;0,"Sensitive account | ","")&amp;IF(AND(MAX(N(E1362),N(F1362))&gt;=Settings!$C$9,MOD(MAX(N(E1362),N(F1362)),Settings!$C$10)=0),"Round amount | ",""))-3)))</f>
        <v/>
      </c>
      <c r="M1362" s="21" t="str">
        <f aca="false">IF(A1362="","",IF(COUNTIF($A$9:A1362,A1362)=1,MAX($M$8:M1361)+1,""))</f>
        <v/>
      </c>
    </row>
    <row r="1363" customFormat="false" ht="15" hidden="false" customHeight="false" outlineLevel="0" collapsed="false">
      <c r="A1363" s="8"/>
      <c r="B1363" s="17"/>
      <c r="C1363" s="19"/>
      <c r="D1363" s="8"/>
      <c r="E1363" s="18"/>
      <c r="F1363" s="18"/>
      <c r="G1363" s="8"/>
      <c r="H1363" s="8"/>
      <c r="I1363" s="8"/>
      <c r="J1363" s="8"/>
      <c r="K1363" s="10" t="str">
        <f aca="false">IF(A1363="","",IF(ABS(SUMIFS($E$9:$E$2008,$A$9:$A$2008,A1363)-SUMIFS($F$9:$F$2008,$A$9:$A$2008,A1363))&lt;0.5,"Yes","No"))</f>
        <v/>
      </c>
      <c r="L1363" s="10" t="str">
        <f aca="false">IF(A1363="","",IF(IF(K1363="No","Does not balance | ","")&amp;IF(I1363="","Not approved | ",IF(UPPER(TRIM(H1363))=UPPER(TRIM(I1363)),"Self-approved | ",""))&amp;IF(J1363="","No support | ","")&amp;IF(WEEKDAY(B1363,2)&gt;5,"Weekend posting | ","")&amp;IF(COUNTIF(Settings!$A$14:$A$43,B1363)&gt;0,"Holiday posting | ","")&amp;IF(B1363&gt;Settings!$C$8,"Posted after close | ","")&amp;IF(OR(B1363&lt;Settings!$C$6,B1363&gt;Settings!$C$7),"Outside period | ","")&amp;IF(COUNTIF(Settings!$E$14:$E$43,C1363&amp;"")&gt;0,"Sensitive account | ","")&amp;IF(AND(MAX(N(E1363),N(F1363))&gt;=Settings!$C$9,MOD(MAX(N(E1363),N(F1363)),Settings!$C$10)=0),"Round amount | ","")="","",LEFT(IF(K1363="No","Does not balance | ","")&amp;IF(I1363="","Not approved | ",IF(UPPER(TRIM(H1363))=UPPER(TRIM(I1363)),"Self-approved | ",""))&amp;IF(J1363="","No support | ","")&amp;IF(WEEKDAY(B1363,2)&gt;5,"Weekend posting | ","")&amp;IF(COUNTIF(Settings!$A$14:$A$43,B1363)&gt;0,"Holiday posting | ","")&amp;IF(B1363&gt;Settings!$C$8,"Posted after close | ","")&amp;IF(OR(B1363&lt;Settings!$C$6,B1363&gt;Settings!$C$7),"Outside period | ","")&amp;IF(COUNTIF(Settings!$E$14:$E$43,C1363&amp;"")&gt;0,"Sensitive account | ","")&amp;IF(AND(MAX(N(E1363),N(F1363))&gt;=Settings!$C$9,MOD(MAX(N(E1363),N(F1363)),Settings!$C$10)=0),"Round amount | ",""),LEN(IF(K1363="No","Does not balance | ","")&amp;IF(I1363="","Not approved | ",IF(UPPER(TRIM(H1363))=UPPER(TRIM(I1363)),"Self-approved | ",""))&amp;IF(J1363="","No support | ","")&amp;IF(WEEKDAY(B1363,2)&gt;5,"Weekend posting | ","")&amp;IF(COUNTIF(Settings!$A$14:$A$43,B1363)&gt;0,"Holiday posting | ","")&amp;IF(B1363&gt;Settings!$C$8,"Posted after close | ","")&amp;IF(OR(B1363&lt;Settings!$C$6,B1363&gt;Settings!$C$7),"Outside period | ","")&amp;IF(COUNTIF(Settings!$E$14:$E$43,C1363&amp;"")&gt;0,"Sensitive account | ","")&amp;IF(AND(MAX(N(E1363),N(F1363))&gt;=Settings!$C$9,MOD(MAX(N(E1363),N(F1363)),Settings!$C$10)=0),"Round amount | ",""))-3)))</f>
        <v/>
      </c>
      <c r="M1363" s="21" t="str">
        <f aca="false">IF(A1363="","",IF(COUNTIF($A$9:A1363,A1363)=1,MAX($M$8:M1362)+1,""))</f>
        <v/>
      </c>
    </row>
    <row r="1364" customFormat="false" ht="15" hidden="false" customHeight="false" outlineLevel="0" collapsed="false">
      <c r="A1364" s="8"/>
      <c r="B1364" s="17"/>
      <c r="C1364" s="19"/>
      <c r="D1364" s="8"/>
      <c r="E1364" s="18"/>
      <c r="F1364" s="18"/>
      <c r="G1364" s="8"/>
      <c r="H1364" s="8"/>
      <c r="I1364" s="8"/>
      <c r="J1364" s="8"/>
      <c r="K1364" s="10" t="str">
        <f aca="false">IF(A1364="","",IF(ABS(SUMIFS($E$9:$E$2008,$A$9:$A$2008,A1364)-SUMIFS($F$9:$F$2008,$A$9:$A$2008,A1364))&lt;0.5,"Yes","No"))</f>
        <v/>
      </c>
      <c r="L1364" s="10" t="str">
        <f aca="false">IF(A1364="","",IF(IF(K1364="No","Does not balance | ","")&amp;IF(I1364="","Not approved | ",IF(UPPER(TRIM(H1364))=UPPER(TRIM(I1364)),"Self-approved | ",""))&amp;IF(J1364="","No support | ","")&amp;IF(WEEKDAY(B1364,2)&gt;5,"Weekend posting | ","")&amp;IF(COUNTIF(Settings!$A$14:$A$43,B1364)&gt;0,"Holiday posting | ","")&amp;IF(B1364&gt;Settings!$C$8,"Posted after close | ","")&amp;IF(OR(B1364&lt;Settings!$C$6,B1364&gt;Settings!$C$7),"Outside period | ","")&amp;IF(COUNTIF(Settings!$E$14:$E$43,C1364&amp;"")&gt;0,"Sensitive account | ","")&amp;IF(AND(MAX(N(E1364),N(F1364))&gt;=Settings!$C$9,MOD(MAX(N(E1364),N(F1364)),Settings!$C$10)=0),"Round amount | ","")="","",LEFT(IF(K1364="No","Does not balance | ","")&amp;IF(I1364="","Not approved | ",IF(UPPER(TRIM(H1364))=UPPER(TRIM(I1364)),"Self-approved | ",""))&amp;IF(J1364="","No support | ","")&amp;IF(WEEKDAY(B1364,2)&gt;5,"Weekend posting | ","")&amp;IF(COUNTIF(Settings!$A$14:$A$43,B1364)&gt;0,"Holiday posting | ","")&amp;IF(B1364&gt;Settings!$C$8,"Posted after close | ","")&amp;IF(OR(B1364&lt;Settings!$C$6,B1364&gt;Settings!$C$7),"Outside period | ","")&amp;IF(COUNTIF(Settings!$E$14:$E$43,C1364&amp;"")&gt;0,"Sensitive account | ","")&amp;IF(AND(MAX(N(E1364),N(F1364))&gt;=Settings!$C$9,MOD(MAX(N(E1364),N(F1364)),Settings!$C$10)=0),"Round amount | ",""),LEN(IF(K1364="No","Does not balance | ","")&amp;IF(I1364="","Not approved | ",IF(UPPER(TRIM(H1364))=UPPER(TRIM(I1364)),"Self-approved | ",""))&amp;IF(J1364="","No support | ","")&amp;IF(WEEKDAY(B1364,2)&gt;5,"Weekend posting | ","")&amp;IF(COUNTIF(Settings!$A$14:$A$43,B1364)&gt;0,"Holiday posting | ","")&amp;IF(B1364&gt;Settings!$C$8,"Posted after close | ","")&amp;IF(OR(B1364&lt;Settings!$C$6,B1364&gt;Settings!$C$7),"Outside period | ","")&amp;IF(COUNTIF(Settings!$E$14:$E$43,C1364&amp;"")&gt;0,"Sensitive account | ","")&amp;IF(AND(MAX(N(E1364),N(F1364))&gt;=Settings!$C$9,MOD(MAX(N(E1364),N(F1364)),Settings!$C$10)=0),"Round amount | ",""))-3)))</f>
        <v/>
      </c>
      <c r="M1364" s="21" t="str">
        <f aca="false">IF(A1364="","",IF(COUNTIF($A$9:A1364,A1364)=1,MAX($M$8:M1363)+1,""))</f>
        <v/>
      </c>
    </row>
    <row r="1365" customFormat="false" ht="15" hidden="false" customHeight="false" outlineLevel="0" collapsed="false">
      <c r="A1365" s="8"/>
      <c r="B1365" s="17"/>
      <c r="C1365" s="19"/>
      <c r="D1365" s="8"/>
      <c r="E1365" s="18"/>
      <c r="F1365" s="18"/>
      <c r="G1365" s="8"/>
      <c r="H1365" s="8"/>
      <c r="I1365" s="8"/>
      <c r="J1365" s="8"/>
      <c r="K1365" s="10" t="str">
        <f aca="false">IF(A1365="","",IF(ABS(SUMIFS($E$9:$E$2008,$A$9:$A$2008,A1365)-SUMIFS($F$9:$F$2008,$A$9:$A$2008,A1365))&lt;0.5,"Yes","No"))</f>
        <v/>
      </c>
      <c r="L1365" s="10" t="str">
        <f aca="false">IF(A1365="","",IF(IF(K1365="No","Does not balance | ","")&amp;IF(I1365="","Not approved | ",IF(UPPER(TRIM(H1365))=UPPER(TRIM(I1365)),"Self-approved | ",""))&amp;IF(J1365="","No support | ","")&amp;IF(WEEKDAY(B1365,2)&gt;5,"Weekend posting | ","")&amp;IF(COUNTIF(Settings!$A$14:$A$43,B1365)&gt;0,"Holiday posting | ","")&amp;IF(B1365&gt;Settings!$C$8,"Posted after close | ","")&amp;IF(OR(B1365&lt;Settings!$C$6,B1365&gt;Settings!$C$7),"Outside period | ","")&amp;IF(COUNTIF(Settings!$E$14:$E$43,C1365&amp;"")&gt;0,"Sensitive account | ","")&amp;IF(AND(MAX(N(E1365),N(F1365))&gt;=Settings!$C$9,MOD(MAX(N(E1365),N(F1365)),Settings!$C$10)=0),"Round amount | ","")="","",LEFT(IF(K1365="No","Does not balance | ","")&amp;IF(I1365="","Not approved | ",IF(UPPER(TRIM(H1365))=UPPER(TRIM(I1365)),"Self-approved | ",""))&amp;IF(J1365="","No support | ","")&amp;IF(WEEKDAY(B1365,2)&gt;5,"Weekend posting | ","")&amp;IF(COUNTIF(Settings!$A$14:$A$43,B1365)&gt;0,"Holiday posting | ","")&amp;IF(B1365&gt;Settings!$C$8,"Posted after close | ","")&amp;IF(OR(B1365&lt;Settings!$C$6,B1365&gt;Settings!$C$7),"Outside period | ","")&amp;IF(COUNTIF(Settings!$E$14:$E$43,C1365&amp;"")&gt;0,"Sensitive account | ","")&amp;IF(AND(MAX(N(E1365),N(F1365))&gt;=Settings!$C$9,MOD(MAX(N(E1365),N(F1365)),Settings!$C$10)=0),"Round amount | ",""),LEN(IF(K1365="No","Does not balance | ","")&amp;IF(I1365="","Not approved | ",IF(UPPER(TRIM(H1365))=UPPER(TRIM(I1365)),"Self-approved | ",""))&amp;IF(J1365="","No support | ","")&amp;IF(WEEKDAY(B1365,2)&gt;5,"Weekend posting | ","")&amp;IF(COUNTIF(Settings!$A$14:$A$43,B1365)&gt;0,"Holiday posting | ","")&amp;IF(B1365&gt;Settings!$C$8,"Posted after close | ","")&amp;IF(OR(B1365&lt;Settings!$C$6,B1365&gt;Settings!$C$7),"Outside period | ","")&amp;IF(COUNTIF(Settings!$E$14:$E$43,C1365&amp;"")&gt;0,"Sensitive account | ","")&amp;IF(AND(MAX(N(E1365),N(F1365))&gt;=Settings!$C$9,MOD(MAX(N(E1365),N(F1365)),Settings!$C$10)=0),"Round amount | ",""))-3)))</f>
        <v/>
      </c>
      <c r="M1365" s="21" t="str">
        <f aca="false">IF(A1365="","",IF(COUNTIF($A$9:A1365,A1365)=1,MAX($M$8:M1364)+1,""))</f>
        <v/>
      </c>
    </row>
    <row r="1366" customFormat="false" ht="15" hidden="false" customHeight="false" outlineLevel="0" collapsed="false">
      <c r="A1366" s="8"/>
      <c r="B1366" s="17"/>
      <c r="C1366" s="19"/>
      <c r="D1366" s="8"/>
      <c r="E1366" s="18"/>
      <c r="F1366" s="18"/>
      <c r="G1366" s="8"/>
      <c r="H1366" s="8"/>
      <c r="I1366" s="8"/>
      <c r="J1366" s="8"/>
      <c r="K1366" s="10" t="str">
        <f aca="false">IF(A1366="","",IF(ABS(SUMIFS($E$9:$E$2008,$A$9:$A$2008,A1366)-SUMIFS($F$9:$F$2008,$A$9:$A$2008,A1366))&lt;0.5,"Yes","No"))</f>
        <v/>
      </c>
      <c r="L1366" s="10" t="str">
        <f aca="false">IF(A1366="","",IF(IF(K1366="No","Does not balance | ","")&amp;IF(I1366="","Not approved | ",IF(UPPER(TRIM(H1366))=UPPER(TRIM(I1366)),"Self-approved | ",""))&amp;IF(J1366="","No support | ","")&amp;IF(WEEKDAY(B1366,2)&gt;5,"Weekend posting | ","")&amp;IF(COUNTIF(Settings!$A$14:$A$43,B1366)&gt;0,"Holiday posting | ","")&amp;IF(B1366&gt;Settings!$C$8,"Posted after close | ","")&amp;IF(OR(B1366&lt;Settings!$C$6,B1366&gt;Settings!$C$7),"Outside period | ","")&amp;IF(COUNTIF(Settings!$E$14:$E$43,C1366&amp;"")&gt;0,"Sensitive account | ","")&amp;IF(AND(MAX(N(E1366),N(F1366))&gt;=Settings!$C$9,MOD(MAX(N(E1366),N(F1366)),Settings!$C$10)=0),"Round amount | ","")="","",LEFT(IF(K1366="No","Does not balance | ","")&amp;IF(I1366="","Not approved | ",IF(UPPER(TRIM(H1366))=UPPER(TRIM(I1366)),"Self-approved | ",""))&amp;IF(J1366="","No support | ","")&amp;IF(WEEKDAY(B1366,2)&gt;5,"Weekend posting | ","")&amp;IF(COUNTIF(Settings!$A$14:$A$43,B1366)&gt;0,"Holiday posting | ","")&amp;IF(B1366&gt;Settings!$C$8,"Posted after close | ","")&amp;IF(OR(B1366&lt;Settings!$C$6,B1366&gt;Settings!$C$7),"Outside period | ","")&amp;IF(COUNTIF(Settings!$E$14:$E$43,C1366&amp;"")&gt;0,"Sensitive account | ","")&amp;IF(AND(MAX(N(E1366),N(F1366))&gt;=Settings!$C$9,MOD(MAX(N(E1366),N(F1366)),Settings!$C$10)=0),"Round amount | ",""),LEN(IF(K1366="No","Does not balance | ","")&amp;IF(I1366="","Not approved | ",IF(UPPER(TRIM(H1366))=UPPER(TRIM(I1366)),"Self-approved | ",""))&amp;IF(J1366="","No support | ","")&amp;IF(WEEKDAY(B1366,2)&gt;5,"Weekend posting | ","")&amp;IF(COUNTIF(Settings!$A$14:$A$43,B1366)&gt;0,"Holiday posting | ","")&amp;IF(B1366&gt;Settings!$C$8,"Posted after close | ","")&amp;IF(OR(B1366&lt;Settings!$C$6,B1366&gt;Settings!$C$7),"Outside period | ","")&amp;IF(COUNTIF(Settings!$E$14:$E$43,C1366&amp;"")&gt;0,"Sensitive account | ","")&amp;IF(AND(MAX(N(E1366),N(F1366))&gt;=Settings!$C$9,MOD(MAX(N(E1366),N(F1366)),Settings!$C$10)=0),"Round amount | ",""))-3)))</f>
        <v/>
      </c>
      <c r="M1366" s="21" t="str">
        <f aca="false">IF(A1366="","",IF(COUNTIF($A$9:A1366,A1366)=1,MAX($M$8:M1365)+1,""))</f>
        <v/>
      </c>
    </row>
    <row r="1367" customFormat="false" ht="15" hidden="false" customHeight="false" outlineLevel="0" collapsed="false">
      <c r="A1367" s="8"/>
      <c r="B1367" s="17"/>
      <c r="C1367" s="19"/>
      <c r="D1367" s="8"/>
      <c r="E1367" s="18"/>
      <c r="F1367" s="18"/>
      <c r="G1367" s="8"/>
      <c r="H1367" s="8"/>
      <c r="I1367" s="8"/>
      <c r="J1367" s="8"/>
      <c r="K1367" s="10" t="str">
        <f aca="false">IF(A1367="","",IF(ABS(SUMIFS($E$9:$E$2008,$A$9:$A$2008,A1367)-SUMIFS($F$9:$F$2008,$A$9:$A$2008,A1367))&lt;0.5,"Yes","No"))</f>
        <v/>
      </c>
      <c r="L1367" s="10" t="str">
        <f aca="false">IF(A1367="","",IF(IF(K1367="No","Does not balance | ","")&amp;IF(I1367="","Not approved | ",IF(UPPER(TRIM(H1367))=UPPER(TRIM(I1367)),"Self-approved | ",""))&amp;IF(J1367="","No support | ","")&amp;IF(WEEKDAY(B1367,2)&gt;5,"Weekend posting | ","")&amp;IF(COUNTIF(Settings!$A$14:$A$43,B1367)&gt;0,"Holiday posting | ","")&amp;IF(B1367&gt;Settings!$C$8,"Posted after close | ","")&amp;IF(OR(B1367&lt;Settings!$C$6,B1367&gt;Settings!$C$7),"Outside period | ","")&amp;IF(COUNTIF(Settings!$E$14:$E$43,C1367&amp;"")&gt;0,"Sensitive account | ","")&amp;IF(AND(MAX(N(E1367),N(F1367))&gt;=Settings!$C$9,MOD(MAX(N(E1367),N(F1367)),Settings!$C$10)=0),"Round amount | ","")="","",LEFT(IF(K1367="No","Does not balance | ","")&amp;IF(I1367="","Not approved | ",IF(UPPER(TRIM(H1367))=UPPER(TRIM(I1367)),"Self-approved | ",""))&amp;IF(J1367="","No support | ","")&amp;IF(WEEKDAY(B1367,2)&gt;5,"Weekend posting | ","")&amp;IF(COUNTIF(Settings!$A$14:$A$43,B1367)&gt;0,"Holiday posting | ","")&amp;IF(B1367&gt;Settings!$C$8,"Posted after close | ","")&amp;IF(OR(B1367&lt;Settings!$C$6,B1367&gt;Settings!$C$7),"Outside period | ","")&amp;IF(COUNTIF(Settings!$E$14:$E$43,C1367&amp;"")&gt;0,"Sensitive account | ","")&amp;IF(AND(MAX(N(E1367),N(F1367))&gt;=Settings!$C$9,MOD(MAX(N(E1367),N(F1367)),Settings!$C$10)=0),"Round amount | ",""),LEN(IF(K1367="No","Does not balance | ","")&amp;IF(I1367="","Not approved | ",IF(UPPER(TRIM(H1367))=UPPER(TRIM(I1367)),"Self-approved | ",""))&amp;IF(J1367="","No support | ","")&amp;IF(WEEKDAY(B1367,2)&gt;5,"Weekend posting | ","")&amp;IF(COUNTIF(Settings!$A$14:$A$43,B1367)&gt;0,"Holiday posting | ","")&amp;IF(B1367&gt;Settings!$C$8,"Posted after close | ","")&amp;IF(OR(B1367&lt;Settings!$C$6,B1367&gt;Settings!$C$7),"Outside period | ","")&amp;IF(COUNTIF(Settings!$E$14:$E$43,C1367&amp;"")&gt;0,"Sensitive account | ","")&amp;IF(AND(MAX(N(E1367),N(F1367))&gt;=Settings!$C$9,MOD(MAX(N(E1367),N(F1367)),Settings!$C$10)=0),"Round amount | ",""))-3)))</f>
        <v/>
      </c>
      <c r="M1367" s="21" t="str">
        <f aca="false">IF(A1367="","",IF(COUNTIF($A$9:A1367,A1367)=1,MAX($M$8:M1366)+1,""))</f>
        <v/>
      </c>
    </row>
    <row r="1368" customFormat="false" ht="15" hidden="false" customHeight="false" outlineLevel="0" collapsed="false">
      <c r="A1368" s="8"/>
      <c r="B1368" s="17"/>
      <c r="C1368" s="19"/>
      <c r="D1368" s="8"/>
      <c r="E1368" s="18"/>
      <c r="F1368" s="18"/>
      <c r="G1368" s="8"/>
      <c r="H1368" s="8"/>
      <c r="I1368" s="8"/>
      <c r="J1368" s="8"/>
      <c r="K1368" s="10" t="str">
        <f aca="false">IF(A1368="","",IF(ABS(SUMIFS($E$9:$E$2008,$A$9:$A$2008,A1368)-SUMIFS($F$9:$F$2008,$A$9:$A$2008,A1368))&lt;0.5,"Yes","No"))</f>
        <v/>
      </c>
      <c r="L1368" s="10" t="str">
        <f aca="false">IF(A1368="","",IF(IF(K1368="No","Does not balance | ","")&amp;IF(I1368="","Not approved | ",IF(UPPER(TRIM(H1368))=UPPER(TRIM(I1368)),"Self-approved | ",""))&amp;IF(J1368="","No support | ","")&amp;IF(WEEKDAY(B1368,2)&gt;5,"Weekend posting | ","")&amp;IF(COUNTIF(Settings!$A$14:$A$43,B1368)&gt;0,"Holiday posting | ","")&amp;IF(B1368&gt;Settings!$C$8,"Posted after close | ","")&amp;IF(OR(B1368&lt;Settings!$C$6,B1368&gt;Settings!$C$7),"Outside period | ","")&amp;IF(COUNTIF(Settings!$E$14:$E$43,C1368&amp;"")&gt;0,"Sensitive account | ","")&amp;IF(AND(MAX(N(E1368),N(F1368))&gt;=Settings!$C$9,MOD(MAX(N(E1368),N(F1368)),Settings!$C$10)=0),"Round amount | ","")="","",LEFT(IF(K1368="No","Does not balance | ","")&amp;IF(I1368="","Not approved | ",IF(UPPER(TRIM(H1368))=UPPER(TRIM(I1368)),"Self-approved | ",""))&amp;IF(J1368="","No support | ","")&amp;IF(WEEKDAY(B1368,2)&gt;5,"Weekend posting | ","")&amp;IF(COUNTIF(Settings!$A$14:$A$43,B1368)&gt;0,"Holiday posting | ","")&amp;IF(B1368&gt;Settings!$C$8,"Posted after close | ","")&amp;IF(OR(B1368&lt;Settings!$C$6,B1368&gt;Settings!$C$7),"Outside period | ","")&amp;IF(COUNTIF(Settings!$E$14:$E$43,C1368&amp;"")&gt;0,"Sensitive account | ","")&amp;IF(AND(MAX(N(E1368),N(F1368))&gt;=Settings!$C$9,MOD(MAX(N(E1368),N(F1368)),Settings!$C$10)=0),"Round amount | ",""),LEN(IF(K1368="No","Does not balance | ","")&amp;IF(I1368="","Not approved | ",IF(UPPER(TRIM(H1368))=UPPER(TRIM(I1368)),"Self-approved | ",""))&amp;IF(J1368="","No support | ","")&amp;IF(WEEKDAY(B1368,2)&gt;5,"Weekend posting | ","")&amp;IF(COUNTIF(Settings!$A$14:$A$43,B1368)&gt;0,"Holiday posting | ","")&amp;IF(B1368&gt;Settings!$C$8,"Posted after close | ","")&amp;IF(OR(B1368&lt;Settings!$C$6,B1368&gt;Settings!$C$7),"Outside period | ","")&amp;IF(COUNTIF(Settings!$E$14:$E$43,C1368&amp;"")&gt;0,"Sensitive account | ","")&amp;IF(AND(MAX(N(E1368),N(F1368))&gt;=Settings!$C$9,MOD(MAX(N(E1368),N(F1368)),Settings!$C$10)=0),"Round amount | ",""))-3)))</f>
        <v/>
      </c>
      <c r="M1368" s="21" t="str">
        <f aca="false">IF(A1368="","",IF(COUNTIF($A$9:A1368,A1368)=1,MAX($M$8:M1367)+1,""))</f>
        <v/>
      </c>
    </row>
    <row r="1369" customFormat="false" ht="15" hidden="false" customHeight="false" outlineLevel="0" collapsed="false">
      <c r="A1369" s="8"/>
      <c r="B1369" s="17"/>
      <c r="C1369" s="19"/>
      <c r="D1369" s="8"/>
      <c r="E1369" s="18"/>
      <c r="F1369" s="18"/>
      <c r="G1369" s="8"/>
      <c r="H1369" s="8"/>
      <c r="I1369" s="8"/>
      <c r="J1369" s="8"/>
      <c r="K1369" s="10" t="str">
        <f aca="false">IF(A1369="","",IF(ABS(SUMIFS($E$9:$E$2008,$A$9:$A$2008,A1369)-SUMIFS($F$9:$F$2008,$A$9:$A$2008,A1369))&lt;0.5,"Yes","No"))</f>
        <v/>
      </c>
      <c r="L1369" s="10" t="str">
        <f aca="false">IF(A1369="","",IF(IF(K1369="No","Does not balance | ","")&amp;IF(I1369="","Not approved | ",IF(UPPER(TRIM(H1369))=UPPER(TRIM(I1369)),"Self-approved | ",""))&amp;IF(J1369="","No support | ","")&amp;IF(WEEKDAY(B1369,2)&gt;5,"Weekend posting | ","")&amp;IF(COUNTIF(Settings!$A$14:$A$43,B1369)&gt;0,"Holiday posting | ","")&amp;IF(B1369&gt;Settings!$C$8,"Posted after close | ","")&amp;IF(OR(B1369&lt;Settings!$C$6,B1369&gt;Settings!$C$7),"Outside period | ","")&amp;IF(COUNTIF(Settings!$E$14:$E$43,C1369&amp;"")&gt;0,"Sensitive account | ","")&amp;IF(AND(MAX(N(E1369),N(F1369))&gt;=Settings!$C$9,MOD(MAX(N(E1369),N(F1369)),Settings!$C$10)=0),"Round amount | ","")="","",LEFT(IF(K1369="No","Does not balance | ","")&amp;IF(I1369="","Not approved | ",IF(UPPER(TRIM(H1369))=UPPER(TRIM(I1369)),"Self-approved | ",""))&amp;IF(J1369="","No support | ","")&amp;IF(WEEKDAY(B1369,2)&gt;5,"Weekend posting | ","")&amp;IF(COUNTIF(Settings!$A$14:$A$43,B1369)&gt;0,"Holiday posting | ","")&amp;IF(B1369&gt;Settings!$C$8,"Posted after close | ","")&amp;IF(OR(B1369&lt;Settings!$C$6,B1369&gt;Settings!$C$7),"Outside period | ","")&amp;IF(COUNTIF(Settings!$E$14:$E$43,C1369&amp;"")&gt;0,"Sensitive account | ","")&amp;IF(AND(MAX(N(E1369),N(F1369))&gt;=Settings!$C$9,MOD(MAX(N(E1369),N(F1369)),Settings!$C$10)=0),"Round amount | ",""),LEN(IF(K1369="No","Does not balance | ","")&amp;IF(I1369="","Not approved | ",IF(UPPER(TRIM(H1369))=UPPER(TRIM(I1369)),"Self-approved | ",""))&amp;IF(J1369="","No support | ","")&amp;IF(WEEKDAY(B1369,2)&gt;5,"Weekend posting | ","")&amp;IF(COUNTIF(Settings!$A$14:$A$43,B1369)&gt;0,"Holiday posting | ","")&amp;IF(B1369&gt;Settings!$C$8,"Posted after close | ","")&amp;IF(OR(B1369&lt;Settings!$C$6,B1369&gt;Settings!$C$7),"Outside period | ","")&amp;IF(COUNTIF(Settings!$E$14:$E$43,C1369&amp;"")&gt;0,"Sensitive account | ","")&amp;IF(AND(MAX(N(E1369),N(F1369))&gt;=Settings!$C$9,MOD(MAX(N(E1369),N(F1369)),Settings!$C$10)=0),"Round amount | ",""))-3)))</f>
        <v/>
      </c>
      <c r="M1369" s="21" t="str">
        <f aca="false">IF(A1369="","",IF(COUNTIF($A$9:A1369,A1369)=1,MAX($M$8:M1368)+1,""))</f>
        <v/>
      </c>
    </row>
    <row r="1370" customFormat="false" ht="15" hidden="false" customHeight="false" outlineLevel="0" collapsed="false">
      <c r="A1370" s="8"/>
      <c r="B1370" s="17"/>
      <c r="C1370" s="19"/>
      <c r="D1370" s="8"/>
      <c r="E1370" s="18"/>
      <c r="F1370" s="18"/>
      <c r="G1370" s="8"/>
      <c r="H1370" s="8"/>
      <c r="I1370" s="8"/>
      <c r="J1370" s="8"/>
      <c r="K1370" s="10" t="str">
        <f aca="false">IF(A1370="","",IF(ABS(SUMIFS($E$9:$E$2008,$A$9:$A$2008,A1370)-SUMIFS($F$9:$F$2008,$A$9:$A$2008,A1370))&lt;0.5,"Yes","No"))</f>
        <v/>
      </c>
      <c r="L1370" s="10" t="str">
        <f aca="false">IF(A1370="","",IF(IF(K1370="No","Does not balance | ","")&amp;IF(I1370="","Not approved | ",IF(UPPER(TRIM(H1370))=UPPER(TRIM(I1370)),"Self-approved | ",""))&amp;IF(J1370="","No support | ","")&amp;IF(WEEKDAY(B1370,2)&gt;5,"Weekend posting | ","")&amp;IF(COUNTIF(Settings!$A$14:$A$43,B1370)&gt;0,"Holiday posting | ","")&amp;IF(B1370&gt;Settings!$C$8,"Posted after close | ","")&amp;IF(OR(B1370&lt;Settings!$C$6,B1370&gt;Settings!$C$7),"Outside period | ","")&amp;IF(COUNTIF(Settings!$E$14:$E$43,C1370&amp;"")&gt;0,"Sensitive account | ","")&amp;IF(AND(MAX(N(E1370),N(F1370))&gt;=Settings!$C$9,MOD(MAX(N(E1370),N(F1370)),Settings!$C$10)=0),"Round amount | ","")="","",LEFT(IF(K1370="No","Does not balance | ","")&amp;IF(I1370="","Not approved | ",IF(UPPER(TRIM(H1370))=UPPER(TRIM(I1370)),"Self-approved | ",""))&amp;IF(J1370="","No support | ","")&amp;IF(WEEKDAY(B1370,2)&gt;5,"Weekend posting | ","")&amp;IF(COUNTIF(Settings!$A$14:$A$43,B1370)&gt;0,"Holiday posting | ","")&amp;IF(B1370&gt;Settings!$C$8,"Posted after close | ","")&amp;IF(OR(B1370&lt;Settings!$C$6,B1370&gt;Settings!$C$7),"Outside period | ","")&amp;IF(COUNTIF(Settings!$E$14:$E$43,C1370&amp;"")&gt;0,"Sensitive account | ","")&amp;IF(AND(MAX(N(E1370),N(F1370))&gt;=Settings!$C$9,MOD(MAX(N(E1370),N(F1370)),Settings!$C$10)=0),"Round amount | ",""),LEN(IF(K1370="No","Does not balance | ","")&amp;IF(I1370="","Not approved | ",IF(UPPER(TRIM(H1370))=UPPER(TRIM(I1370)),"Self-approved | ",""))&amp;IF(J1370="","No support | ","")&amp;IF(WEEKDAY(B1370,2)&gt;5,"Weekend posting | ","")&amp;IF(COUNTIF(Settings!$A$14:$A$43,B1370)&gt;0,"Holiday posting | ","")&amp;IF(B1370&gt;Settings!$C$8,"Posted after close | ","")&amp;IF(OR(B1370&lt;Settings!$C$6,B1370&gt;Settings!$C$7),"Outside period | ","")&amp;IF(COUNTIF(Settings!$E$14:$E$43,C1370&amp;"")&gt;0,"Sensitive account | ","")&amp;IF(AND(MAX(N(E1370),N(F1370))&gt;=Settings!$C$9,MOD(MAX(N(E1370),N(F1370)),Settings!$C$10)=0),"Round amount | ",""))-3)))</f>
        <v/>
      </c>
      <c r="M1370" s="21" t="str">
        <f aca="false">IF(A1370="","",IF(COUNTIF($A$9:A1370,A1370)=1,MAX($M$8:M1369)+1,""))</f>
        <v/>
      </c>
    </row>
    <row r="1371" customFormat="false" ht="15" hidden="false" customHeight="false" outlineLevel="0" collapsed="false">
      <c r="A1371" s="8"/>
      <c r="B1371" s="17"/>
      <c r="C1371" s="19"/>
      <c r="D1371" s="8"/>
      <c r="E1371" s="18"/>
      <c r="F1371" s="18"/>
      <c r="G1371" s="8"/>
      <c r="H1371" s="8"/>
      <c r="I1371" s="8"/>
      <c r="J1371" s="8"/>
      <c r="K1371" s="10" t="str">
        <f aca="false">IF(A1371="","",IF(ABS(SUMIFS($E$9:$E$2008,$A$9:$A$2008,A1371)-SUMIFS($F$9:$F$2008,$A$9:$A$2008,A1371))&lt;0.5,"Yes","No"))</f>
        <v/>
      </c>
      <c r="L1371" s="10" t="str">
        <f aca="false">IF(A1371="","",IF(IF(K1371="No","Does not balance | ","")&amp;IF(I1371="","Not approved | ",IF(UPPER(TRIM(H1371))=UPPER(TRIM(I1371)),"Self-approved | ",""))&amp;IF(J1371="","No support | ","")&amp;IF(WEEKDAY(B1371,2)&gt;5,"Weekend posting | ","")&amp;IF(COUNTIF(Settings!$A$14:$A$43,B1371)&gt;0,"Holiday posting | ","")&amp;IF(B1371&gt;Settings!$C$8,"Posted after close | ","")&amp;IF(OR(B1371&lt;Settings!$C$6,B1371&gt;Settings!$C$7),"Outside period | ","")&amp;IF(COUNTIF(Settings!$E$14:$E$43,C1371&amp;"")&gt;0,"Sensitive account | ","")&amp;IF(AND(MAX(N(E1371),N(F1371))&gt;=Settings!$C$9,MOD(MAX(N(E1371),N(F1371)),Settings!$C$10)=0),"Round amount | ","")="","",LEFT(IF(K1371="No","Does not balance | ","")&amp;IF(I1371="","Not approved | ",IF(UPPER(TRIM(H1371))=UPPER(TRIM(I1371)),"Self-approved | ",""))&amp;IF(J1371="","No support | ","")&amp;IF(WEEKDAY(B1371,2)&gt;5,"Weekend posting | ","")&amp;IF(COUNTIF(Settings!$A$14:$A$43,B1371)&gt;0,"Holiday posting | ","")&amp;IF(B1371&gt;Settings!$C$8,"Posted after close | ","")&amp;IF(OR(B1371&lt;Settings!$C$6,B1371&gt;Settings!$C$7),"Outside period | ","")&amp;IF(COUNTIF(Settings!$E$14:$E$43,C1371&amp;"")&gt;0,"Sensitive account | ","")&amp;IF(AND(MAX(N(E1371),N(F1371))&gt;=Settings!$C$9,MOD(MAX(N(E1371),N(F1371)),Settings!$C$10)=0),"Round amount | ",""),LEN(IF(K1371="No","Does not balance | ","")&amp;IF(I1371="","Not approved | ",IF(UPPER(TRIM(H1371))=UPPER(TRIM(I1371)),"Self-approved | ",""))&amp;IF(J1371="","No support | ","")&amp;IF(WEEKDAY(B1371,2)&gt;5,"Weekend posting | ","")&amp;IF(COUNTIF(Settings!$A$14:$A$43,B1371)&gt;0,"Holiday posting | ","")&amp;IF(B1371&gt;Settings!$C$8,"Posted after close | ","")&amp;IF(OR(B1371&lt;Settings!$C$6,B1371&gt;Settings!$C$7),"Outside period | ","")&amp;IF(COUNTIF(Settings!$E$14:$E$43,C1371&amp;"")&gt;0,"Sensitive account | ","")&amp;IF(AND(MAX(N(E1371),N(F1371))&gt;=Settings!$C$9,MOD(MAX(N(E1371),N(F1371)),Settings!$C$10)=0),"Round amount | ",""))-3)))</f>
        <v/>
      </c>
      <c r="M1371" s="21" t="str">
        <f aca="false">IF(A1371="","",IF(COUNTIF($A$9:A1371,A1371)=1,MAX($M$8:M1370)+1,""))</f>
        <v/>
      </c>
    </row>
    <row r="1372" customFormat="false" ht="15" hidden="false" customHeight="false" outlineLevel="0" collapsed="false">
      <c r="A1372" s="8"/>
      <c r="B1372" s="17"/>
      <c r="C1372" s="19"/>
      <c r="D1372" s="8"/>
      <c r="E1372" s="18"/>
      <c r="F1372" s="18"/>
      <c r="G1372" s="8"/>
      <c r="H1372" s="8"/>
      <c r="I1372" s="8"/>
      <c r="J1372" s="8"/>
      <c r="K1372" s="10" t="str">
        <f aca="false">IF(A1372="","",IF(ABS(SUMIFS($E$9:$E$2008,$A$9:$A$2008,A1372)-SUMIFS($F$9:$F$2008,$A$9:$A$2008,A1372))&lt;0.5,"Yes","No"))</f>
        <v/>
      </c>
      <c r="L1372" s="10" t="str">
        <f aca="false">IF(A1372="","",IF(IF(K1372="No","Does not balance | ","")&amp;IF(I1372="","Not approved | ",IF(UPPER(TRIM(H1372))=UPPER(TRIM(I1372)),"Self-approved | ",""))&amp;IF(J1372="","No support | ","")&amp;IF(WEEKDAY(B1372,2)&gt;5,"Weekend posting | ","")&amp;IF(COUNTIF(Settings!$A$14:$A$43,B1372)&gt;0,"Holiday posting | ","")&amp;IF(B1372&gt;Settings!$C$8,"Posted after close | ","")&amp;IF(OR(B1372&lt;Settings!$C$6,B1372&gt;Settings!$C$7),"Outside period | ","")&amp;IF(COUNTIF(Settings!$E$14:$E$43,C1372&amp;"")&gt;0,"Sensitive account | ","")&amp;IF(AND(MAX(N(E1372),N(F1372))&gt;=Settings!$C$9,MOD(MAX(N(E1372),N(F1372)),Settings!$C$10)=0),"Round amount | ","")="","",LEFT(IF(K1372="No","Does not balance | ","")&amp;IF(I1372="","Not approved | ",IF(UPPER(TRIM(H1372))=UPPER(TRIM(I1372)),"Self-approved | ",""))&amp;IF(J1372="","No support | ","")&amp;IF(WEEKDAY(B1372,2)&gt;5,"Weekend posting | ","")&amp;IF(COUNTIF(Settings!$A$14:$A$43,B1372)&gt;0,"Holiday posting | ","")&amp;IF(B1372&gt;Settings!$C$8,"Posted after close | ","")&amp;IF(OR(B1372&lt;Settings!$C$6,B1372&gt;Settings!$C$7),"Outside period | ","")&amp;IF(COUNTIF(Settings!$E$14:$E$43,C1372&amp;"")&gt;0,"Sensitive account | ","")&amp;IF(AND(MAX(N(E1372),N(F1372))&gt;=Settings!$C$9,MOD(MAX(N(E1372),N(F1372)),Settings!$C$10)=0),"Round amount | ",""),LEN(IF(K1372="No","Does not balance | ","")&amp;IF(I1372="","Not approved | ",IF(UPPER(TRIM(H1372))=UPPER(TRIM(I1372)),"Self-approved | ",""))&amp;IF(J1372="","No support | ","")&amp;IF(WEEKDAY(B1372,2)&gt;5,"Weekend posting | ","")&amp;IF(COUNTIF(Settings!$A$14:$A$43,B1372)&gt;0,"Holiday posting | ","")&amp;IF(B1372&gt;Settings!$C$8,"Posted after close | ","")&amp;IF(OR(B1372&lt;Settings!$C$6,B1372&gt;Settings!$C$7),"Outside period | ","")&amp;IF(COUNTIF(Settings!$E$14:$E$43,C1372&amp;"")&gt;0,"Sensitive account | ","")&amp;IF(AND(MAX(N(E1372),N(F1372))&gt;=Settings!$C$9,MOD(MAX(N(E1372),N(F1372)),Settings!$C$10)=0),"Round amount | ",""))-3)))</f>
        <v/>
      </c>
      <c r="M1372" s="21" t="str">
        <f aca="false">IF(A1372="","",IF(COUNTIF($A$9:A1372,A1372)=1,MAX($M$8:M1371)+1,""))</f>
        <v/>
      </c>
    </row>
    <row r="1373" customFormat="false" ht="15" hidden="false" customHeight="false" outlineLevel="0" collapsed="false">
      <c r="A1373" s="8"/>
      <c r="B1373" s="17"/>
      <c r="C1373" s="19"/>
      <c r="D1373" s="8"/>
      <c r="E1373" s="18"/>
      <c r="F1373" s="18"/>
      <c r="G1373" s="8"/>
      <c r="H1373" s="8"/>
      <c r="I1373" s="8"/>
      <c r="J1373" s="8"/>
      <c r="K1373" s="10" t="str">
        <f aca="false">IF(A1373="","",IF(ABS(SUMIFS($E$9:$E$2008,$A$9:$A$2008,A1373)-SUMIFS($F$9:$F$2008,$A$9:$A$2008,A1373))&lt;0.5,"Yes","No"))</f>
        <v/>
      </c>
      <c r="L1373" s="10" t="str">
        <f aca="false">IF(A1373="","",IF(IF(K1373="No","Does not balance | ","")&amp;IF(I1373="","Not approved | ",IF(UPPER(TRIM(H1373))=UPPER(TRIM(I1373)),"Self-approved | ",""))&amp;IF(J1373="","No support | ","")&amp;IF(WEEKDAY(B1373,2)&gt;5,"Weekend posting | ","")&amp;IF(COUNTIF(Settings!$A$14:$A$43,B1373)&gt;0,"Holiday posting | ","")&amp;IF(B1373&gt;Settings!$C$8,"Posted after close | ","")&amp;IF(OR(B1373&lt;Settings!$C$6,B1373&gt;Settings!$C$7),"Outside period | ","")&amp;IF(COUNTIF(Settings!$E$14:$E$43,C1373&amp;"")&gt;0,"Sensitive account | ","")&amp;IF(AND(MAX(N(E1373),N(F1373))&gt;=Settings!$C$9,MOD(MAX(N(E1373),N(F1373)),Settings!$C$10)=0),"Round amount | ","")="","",LEFT(IF(K1373="No","Does not balance | ","")&amp;IF(I1373="","Not approved | ",IF(UPPER(TRIM(H1373))=UPPER(TRIM(I1373)),"Self-approved | ",""))&amp;IF(J1373="","No support | ","")&amp;IF(WEEKDAY(B1373,2)&gt;5,"Weekend posting | ","")&amp;IF(COUNTIF(Settings!$A$14:$A$43,B1373)&gt;0,"Holiday posting | ","")&amp;IF(B1373&gt;Settings!$C$8,"Posted after close | ","")&amp;IF(OR(B1373&lt;Settings!$C$6,B1373&gt;Settings!$C$7),"Outside period | ","")&amp;IF(COUNTIF(Settings!$E$14:$E$43,C1373&amp;"")&gt;0,"Sensitive account | ","")&amp;IF(AND(MAX(N(E1373),N(F1373))&gt;=Settings!$C$9,MOD(MAX(N(E1373),N(F1373)),Settings!$C$10)=0),"Round amount | ",""),LEN(IF(K1373="No","Does not balance | ","")&amp;IF(I1373="","Not approved | ",IF(UPPER(TRIM(H1373))=UPPER(TRIM(I1373)),"Self-approved | ",""))&amp;IF(J1373="","No support | ","")&amp;IF(WEEKDAY(B1373,2)&gt;5,"Weekend posting | ","")&amp;IF(COUNTIF(Settings!$A$14:$A$43,B1373)&gt;0,"Holiday posting | ","")&amp;IF(B1373&gt;Settings!$C$8,"Posted after close | ","")&amp;IF(OR(B1373&lt;Settings!$C$6,B1373&gt;Settings!$C$7),"Outside period | ","")&amp;IF(COUNTIF(Settings!$E$14:$E$43,C1373&amp;"")&gt;0,"Sensitive account | ","")&amp;IF(AND(MAX(N(E1373),N(F1373))&gt;=Settings!$C$9,MOD(MAX(N(E1373),N(F1373)),Settings!$C$10)=0),"Round amount | ",""))-3)))</f>
        <v/>
      </c>
      <c r="M1373" s="21" t="str">
        <f aca="false">IF(A1373="","",IF(COUNTIF($A$9:A1373,A1373)=1,MAX($M$8:M1372)+1,""))</f>
        <v/>
      </c>
    </row>
    <row r="1374" customFormat="false" ht="15" hidden="false" customHeight="false" outlineLevel="0" collapsed="false">
      <c r="A1374" s="8"/>
      <c r="B1374" s="17"/>
      <c r="C1374" s="19"/>
      <c r="D1374" s="8"/>
      <c r="E1374" s="18"/>
      <c r="F1374" s="18"/>
      <c r="G1374" s="8"/>
      <c r="H1374" s="8"/>
      <c r="I1374" s="8"/>
      <c r="J1374" s="8"/>
      <c r="K1374" s="10" t="str">
        <f aca="false">IF(A1374="","",IF(ABS(SUMIFS($E$9:$E$2008,$A$9:$A$2008,A1374)-SUMIFS($F$9:$F$2008,$A$9:$A$2008,A1374))&lt;0.5,"Yes","No"))</f>
        <v/>
      </c>
      <c r="L1374" s="10" t="str">
        <f aca="false">IF(A1374="","",IF(IF(K1374="No","Does not balance | ","")&amp;IF(I1374="","Not approved | ",IF(UPPER(TRIM(H1374))=UPPER(TRIM(I1374)),"Self-approved | ",""))&amp;IF(J1374="","No support | ","")&amp;IF(WEEKDAY(B1374,2)&gt;5,"Weekend posting | ","")&amp;IF(COUNTIF(Settings!$A$14:$A$43,B1374)&gt;0,"Holiday posting | ","")&amp;IF(B1374&gt;Settings!$C$8,"Posted after close | ","")&amp;IF(OR(B1374&lt;Settings!$C$6,B1374&gt;Settings!$C$7),"Outside period | ","")&amp;IF(COUNTIF(Settings!$E$14:$E$43,C1374&amp;"")&gt;0,"Sensitive account | ","")&amp;IF(AND(MAX(N(E1374),N(F1374))&gt;=Settings!$C$9,MOD(MAX(N(E1374),N(F1374)),Settings!$C$10)=0),"Round amount | ","")="","",LEFT(IF(K1374="No","Does not balance | ","")&amp;IF(I1374="","Not approved | ",IF(UPPER(TRIM(H1374))=UPPER(TRIM(I1374)),"Self-approved | ",""))&amp;IF(J1374="","No support | ","")&amp;IF(WEEKDAY(B1374,2)&gt;5,"Weekend posting | ","")&amp;IF(COUNTIF(Settings!$A$14:$A$43,B1374)&gt;0,"Holiday posting | ","")&amp;IF(B1374&gt;Settings!$C$8,"Posted after close | ","")&amp;IF(OR(B1374&lt;Settings!$C$6,B1374&gt;Settings!$C$7),"Outside period | ","")&amp;IF(COUNTIF(Settings!$E$14:$E$43,C1374&amp;"")&gt;0,"Sensitive account | ","")&amp;IF(AND(MAX(N(E1374),N(F1374))&gt;=Settings!$C$9,MOD(MAX(N(E1374),N(F1374)),Settings!$C$10)=0),"Round amount | ",""),LEN(IF(K1374="No","Does not balance | ","")&amp;IF(I1374="","Not approved | ",IF(UPPER(TRIM(H1374))=UPPER(TRIM(I1374)),"Self-approved | ",""))&amp;IF(J1374="","No support | ","")&amp;IF(WEEKDAY(B1374,2)&gt;5,"Weekend posting | ","")&amp;IF(COUNTIF(Settings!$A$14:$A$43,B1374)&gt;0,"Holiday posting | ","")&amp;IF(B1374&gt;Settings!$C$8,"Posted after close | ","")&amp;IF(OR(B1374&lt;Settings!$C$6,B1374&gt;Settings!$C$7),"Outside period | ","")&amp;IF(COUNTIF(Settings!$E$14:$E$43,C1374&amp;"")&gt;0,"Sensitive account | ","")&amp;IF(AND(MAX(N(E1374),N(F1374))&gt;=Settings!$C$9,MOD(MAX(N(E1374),N(F1374)),Settings!$C$10)=0),"Round amount | ",""))-3)))</f>
        <v/>
      </c>
      <c r="M1374" s="21" t="str">
        <f aca="false">IF(A1374="","",IF(COUNTIF($A$9:A1374,A1374)=1,MAX($M$8:M1373)+1,""))</f>
        <v/>
      </c>
    </row>
    <row r="1375" customFormat="false" ht="15" hidden="false" customHeight="false" outlineLevel="0" collapsed="false">
      <c r="A1375" s="8"/>
      <c r="B1375" s="17"/>
      <c r="C1375" s="19"/>
      <c r="D1375" s="8"/>
      <c r="E1375" s="18"/>
      <c r="F1375" s="18"/>
      <c r="G1375" s="8"/>
      <c r="H1375" s="8"/>
      <c r="I1375" s="8"/>
      <c r="J1375" s="8"/>
      <c r="K1375" s="10" t="str">
        <f aca="false">IF(A1375="","",IF(ABS(SUMIFS($E$9:$E$2008,$A$9:$A$2008,A1375)-SUMIFS($F$9:$F$2008,$A$9:$A$2008,A1375))&lt;0.5,"Yes","No"))</f>
        <v/>
      </c>
      <c r="L1375" s="10" t="str">
        <f aca="false">IF(A1375="","",IF(IF(K1375="No","Does not balance | ","")&amp;IF(I1375="","Not approved | ",IF(UPPER(TRIM(H1375))=UPPER(TRIM(I1375)),"Self-approved | ",""))&amp;IF(J1375="","No support | ","")&amp;IF(WEEKDAY(B1375,2)&gt;5,"Weekend posting | ","")&amp;IF(COUNTIF(Settings!$A$14:$A$43,B1375)&gt;0,"Holiday posting | ","")&amp;IF(B1375&gt;Settings!$C$8,"Posted after close | ","")&amp;IF(OR(B1375&lt;Settings!$C$6,B1375&gt;Settings!$C$7),"Outside period | ","")&amp;IF(COUNTIF(Settings!$E$14:$E$43,C1375&amp;"")&gt;0,"Sensitive account | ","")&amp;IF(AND(MAX(N(E1375),N(F1375))&gt;=Settings!$C$9,MOD(MAX(N(E1375),N(F1375)),Settings!$C$10)=0),"Round amount | ","")="","",LEFT(IF(K1375="No","Does not balance | ","")&amp;IF(I1375="","Not approved | ",IF(UPPER(TRIM(H1375))=UPPER(TRIM(I1375)),"Self-approved | ",""))&amp;IF(J1375="","No support | ","")&amp;IF(WEEKDAY(B1375,2)&gt;5,"Weekend posting | ","")&amp;IF(COUNTIF(Settings!$A$14:$A$43,B1375)&gt;0,"Holiday posting | ","")&amp;IF(B1375&gt;Settings!$C$8,"Posted after close | ","")&amp;IF(OR(B1375&lt;Settings!$C$6,B1375&gt;Settings!$C$7),"Outside period | ","")&amp;IF(COUNTIF(Settings!$E$14:$E$43,C1375&amp;"")&gt;0,"Sensitive account | ","")&amp;IF(AND(MAX(N(E1375),N(F1375))&gt;=Settings!$C$9,MOD(MAX(N(E1375),N(F1375)),Settings!$C$10)=0),"Round amount | ",""),LEN(IF(K1375="No","Does not balance | ","")&amp;IF(I1375="","Not approved | ",IF(UPPER(TRIM(H1375))=UPPER(TRIM(I1375)),"Self-approved | ",""))&amp;IF(J1375="","No support | ","")&amp;IF(WEEKDAY(B1375,2)&gt;5,"Weekend posting | ","")&amp;IF(COUNTIF(Settings!$A$14:$A$43,B1375)&gt;0,"Holiday posting | ","")&amp;IF(B1375&gt;Settings!$C$8,"Posted after close | ","")&amp;IF(OR(B1375&lt;Settings!$C$6,B1375&gt;Settings!$C$7),"Outside period | ","")&amp;IF(COUNTIF(Settings!$E$14:$E$43,C1375&amp;"")&gt;0,"Sensitive account | ","")&amp;IF(AND(MAX(N(E1375),N(F1375))&gt;=Settings!$C$9,MOD(MAX(N(E1375),N(F1375)),Settings!$C$10)=0),"Round amount | ",""))-3)))</f>
        <v/>
      </c>
      <c r="M1375" s="21" t="str">
        <f aca="false">IF(A1375="","",IF(COUNTIF($A$9:A1375,A1375)=1,MAX($M$8:M1374)+1,""))</f>
        <v/>
      </c>
    </row>
    <row r="1376" customFormat="false" ht="15" hidden="false" customHeight="false" outlineLevel="0" collapsed="false">
      <c r="A1376" s="8"/>
      <c r="B1376" s="17"/>
      <c r="C1376" s="19"/>
      <c r="D1376" s="8"/>
      <c r="E1376" s="18"/>
      <c r="F1376" s="18"/>
      <c r="G1376" s="8"/>
      <c r="H1376" s="8"/>
      <c r="I1376" s="8"/>
      <c r="J1376" s="8"/>
      <c r="K1376" s="10" t="str">
        <f aca="false">IF(A1376="","",IF(ABS(SUMIFS($E$9:$E$2008,$A$9:$A$2008,A1376)-SUMIFS($F$9:$F$2008,$A$9:$A$2008,A1376))&lt;0.5,"Yes","No"))</f>
        <v/>
      </c>
      <c r="L1376" s="10" t="str">
        <f aca="false">IF(A1376="","",IF(IF(K1376="No","Does not balance | ","")&amp;IF(I1376="","Not approved | ",IF(UPPER(TRIM(H1376))=UPPER(TRIM(I1376)),"Self-approved | ",""))&amp;IF(J1376="","No support | ","")&amp;IF(WEEKDAY(B1376,2)&gt;5,"Weekend posting | ","")&amp;IF(COUNTIF(Settings!$A$14:$A$43,B1376)&gt;0,"Holiday posting | ","")&amp;IF(B1376&gt;Settings!$C$8,"Posted after close | ","")&amp;IF(OR(B1376&lt;Settings!$C$6,B1376&gt;Settings!$C$7),"Outside period | ","")&amp;IF(COUNTIF(Settings!$E$14:$E$43,C1376&amp;"")&gt;0,"Sensitive account | ","")&amp;IF(AND(MAX(N(E1376),N(F1376))&gt;=Settings!$C$9,MOD(MAX(N(E1376),N(F1376)),Settings!$C$10)=0),"Round amount | ","")="","",LEFT(IF(K1376="No","Does not balance | ","")&amp;IF(I1376="","Not approved | ",IF(UPPER(TRIM(H1376))=UPPER(TRIM(I1376)),"Self-approved | ",""))&amp;IF(J1376="","No support | ","")&amp;IF(WEEKDAY(B1376,2)&gt;5,"Weekend posting | ","")&amp;IF(COUNTIF(Settings!$A$14:$A$43,B1376)&gt;0,"Holiday posting | ","")&amp;IF(B1376&gt;Settings!$C$8,"Posted after close | ","")&amp;IF(OR(B1376&lt;Settings!$C$6,B1376&gt;Settings!$C$7),"Outside period | ","")&amp;IF(COUNTIF(Settings!$E$14:$E$43,C1376&amp;"")&gt;0,"Sensitive account | ","")&amp;IF(AND(MAX(N(E1376),N(F1376))&gt;=Settings!$C$9,MOD(MAX(N(E1376),N(F1376)),Settings!$C$10)=0),"Round amount | ",""),LEN(IF(K1376="No","Does not balance | ","")&amp;IF(I1376="","Not approved | ",IF(UPPER(TRIM(H1376))=UPPER(TRIM(I1376)),"Self-approved | ",""))&amp;IF(J1376="","No support | ","")&amp;IF(WEEKDAY(B1376,2)&gt;5,"Weekend posting | ","")&amp;IF(COUNTIF(Settings!$A$14:$A$43,B1376)&gt;0,"Holiday posting | ","")&amp;IF(B1376&gt;Settings!$C$8,"Posted after close | ","")&amp;IF(OR(B1376&lt;Settings!$C$6,B1376&gt;Settings!$C$7),"Outside period | ","")&amp;IF(COUNTIF(Settings!$E$14:$E$43,C1376&amp;"")&gt;0,"Sensitive account | ","")&amp;IF(AND(MAX(N(E1376),N(F1376))&gt;=Settings!$C$9,MOD(MAX(N(E1376),N(F1376)),Settings!$C$10)=0),"Round amount | ",""))-3)))</f>
        <v/>
      </c>
      <c r="M1376" s="21" t="str">
        <f aca="false">IF(A1376="","",IF(COUNTIF($A$9:A1376,A1376)=1,MAX($M$8:M1375)+1,""))</f>
        <v/>
      </c>
    </row>
    <row r="1377" customFormat="false" ht="15" hidden="false" customHeight="false" outlineLevel="0" collapsed="false">
      <c r="A1377" s="8"/>
      <c r="B1377" s="17"/>
      <c r="C1377" s="19"/>
      <c r="D1377" s="8"/>
      <c r="E1377" s="18"/>
      <c r="F1377" s="18"/>
      <c r="G1377" s="8"/>
      <c r="H1377" s="8"/>
      <c r="I1377" s="8"/>
      <c r="J1377" s="8"/>
      <c r="K1377" s="10" t="str">
        <f aca="false">IF(A1377="","",IF(ABS(SUMIFS($E$9:$E$2008,$A$9:$A$2008,A1377)-SUMIFS($F$9:$F$2008,$A$9:$A$2008,A1377))&lt;0.5,"Yes","No"))</f>
        <v/>
      </c>
      <c r="L1377" s="10" t="str">
        <f aca="false">IF(A1377="","",IF(IF(K1377="No","Does not balance | ","")&amp;IF(I1377="","Not approved | ",IF(UPPER(TRIM(H1377))=UPPER(TRIM(I1377)),"Self-approved | ",""))&amp;IF(J1377="","No support | ","")&amp;IF(WEEKDAY(B1377,2)&gt;5,"Weekend posting | ","")&amp;IF(COUNTIF(Settings!$A$14:$A$43,B1377)&gt;0,"Holiday posting | ","")&amp;IF(B1377&gt;Settings!$C$8,"Posted after close | ","")&amp;IF(OR(B1377&lt;Settings!$C$6,B1377&gt;Settings!$C$7),"Outside period | ","")&amp;IF(COUNTIF(Settings!$E$14:$E$43,C1377&amp;"")&gt;0,"Sensitive account | ","")&amp;IF(AND(MAX(N(E1377),N(F1377))&gt;=Settings!$C$9,MOD(MAX(N(E1377),N(F1377)),Settings!$C$10)=0),"Round amount | ","")="","",LEFT(IF(K1377="No","Does not balance | ","")&amp;IF(I1377="","Not approved | ",IF(UPPER(TRIM(H1377))=UPPER(TRIM(I1377)),"Self-approved | ",""))&amp;IF(J1377="","No support | ","")&amp;IF(WEEKDAY(B1377,2)&gt;5,"Weekend posting | ","")&amp;IF(COUNTIF(Settings!$A$14:$A$43,B1377)&gt;0,"Holiday posting | ","")&amp;IF(B1377&gt;Settings!$C$8,"Posted after close | ","")&amp;IF(OR(B1377&lt;Settings!$C$6,B1377&gt;Settings!$C$7),"Outside period | ","")&amp;IF(COUNTIF(Settings!$E$14:$E$43,C1377&amp;"")&gt;0,"Sensitive account | ","")&amp;IF(AND(MAX(N(E1377),N(F1377))&gt;=Settings!$C$9,MOD(MAX(N(E1377),N(F1377)),Settings!$C$10)=0),"Round amount | ",""),LEN(IF(K1377="No","Does not balance | ","")&amp;IF(I1377="","Not approved | ",IF(UPPER(TRIM(H1377))=UPPER(TRIM(I1377)),"Self-approved | ",""))&amp;IF(J1377="","No support | ","")&amp;IF(WEEKDAY(B1377,2)&gt;5,"Weekend posting | ","")&amp;IF(COUNTIF(Settings!$A$14:$A$43,B1377)&gt;0,"Holiday posting | ","")&amp;IF(B1377&gt;Settings!$C$8,"Posted after close | ","")&amp;IF(OR(B1377&lt;Settings!$C$6,B1377&gt;Settings!$C$7),"Outside period | ","")&amp;IF(COUNTIF(Settings!$E$14:$E$43,C1377&amp;"")&gt;0,"Sensitive account | ","")&amp;IF(AND(MAX(N(E1377),N(F1377))&gt;=Settings!$C$9,MOD(MAX(N(E1377),N(F1377)),Settings!$C$10)=0),"Round amount | ",""))-3)))</f>
        <v/>
      </c>
      <c r="M1377" s="21" t="str">
        <f aca="false">IF(A1377="","",IF(COUNTIF($A$9:A1377,A1377)=1,MAX($M$8:M1376)+1,""))</f>
        <v/>
      </c>
    </row>
    <row r="1378" customFormat="false" ht="15" hidden="false" customHeight="false" outlineLevel="0" collapsed="false">
      <c r="A1378" s="8"/>
      <c r="B1378" s="17"/>
      <c r="C1378" s="19"/>
      <c r="D1378" s="8"/>
      <c r="E1378" s="18"/>
      <c r="F1378" s="18"/>
      <c r="G1378" s="8"/>
      <c r="H1378" s="8"/>
      <c r="I1378" s="8"/>
      <c r="J1378" s="8"/>
      <c r="K1378" s="10" t="str">
        <f aca="false">IF(A1378="","",IF(ABS(SUMIFS($E$9:$E$2008,$A$9:$A$2008,A1378)-SUMIFS($F$9:$F$2008,$A$9:$A$2008,A1378))&lt;0.5,"Yes","No"))</f>
        <v/>
      </c>
      <c r="L1378" s="10" t="str">
        <f aca="false">IF(A1378="","",IF(IF(K1378="No","Does not balance | ","")&amp;IF(I1378="","Not approved | ",IF(UPPER(TRIM(H1378))=UPPER(TRIM(I1378)),"Self-approved | ",""))&amp;IF(J1378="","No support | ","")&amp;IF(WEEKDAY(B1378,2)&gt;5,"Weekend posting | ","")&amp;IF(COUNTIF(Settings!$A$14:$A$43,B1378)&gt;0,"Holiday posting | ","")&amp;IF(B1378&gt;Settings!$C$8,"Posted after close | ","")&amp;IF(OR(B1378&lt;Settings!$C$6,B1378&gt;Settings!$C$7),"Outside period | ","")&amp;IF(COUNTIF(Settings!$E$14:$E$43,C1378&amp;"")&gt;0,"Sensitive account | ","")&amp;IF(AND(MAX(N(E1378),N(F1378))&gt;=Settings!$C$9,MOD(MAX(N(E1378),N(F1378)),Settings!$C$10)=0),"Round amount | ","")="","",LEFT(IF(K1378="No","Does not balance | ","")&amp;IF(I1378="","Not approved | ",IF(UPPER(TRIM(H1378))=UPPER(TRIM(I1378)),"Self-approved | ",""))&amp;IF(J1378="","No support | ","")&amp;IF(WEEKDAY(B1378,2)&gt;5,"Weekend posting | ","")&amp;IF(COUNTIF(Settings!$A$14:$A$43,B1378)&gt;0,"Holiday posting | ","")&amp;IF(B1378&gt;Settings!$C$8,"Posted after close | ","")&amp;IF(OR(B1378&lt;Settings!$C$6,B1378&gt;Settings!$C$7),"Outside period | ","")&amp;IF(COUNTIF(Settings!$E$14:$E$43,C1378&amp;"")&gt;0,"Sensitive account | ","")&amp;IF(AND(MAX(N(E1378),N(F1378))&gt;=Settings!$C$9,MOD(MAX(N(E1378),N(F1378)),Settings!$C$10)=0),"Round amount | ",""),LEN(IF(K1378="No","Does not balance | ","")&amp;IF(I1378="","Not approved | ",IF(UPPER(TRIM(H1378))=UPPER(TRIM(I1378)),"Self-approved | ",""))&amp;IF(J1378="","No support | ","")&amp;IF(WEEKDAY(B1378,2)&gt;5,"Weekend posting | ","")&amp;IF(COUNTIF(Settings!$A$14:$A$43,B1378)&gt;0,"Holiday posting | ","")&amp;IF(B1378&gt;Settings!$C$8,"Posted after close | ","")&amp;IF(OR(B1378&lt;Settings!$C$6,B1378&gt;Settings!$C$7),"Outside period | ","")&amp;IF(COUNTIF(Settings!$E$14:$E$43,C1378&amp;"")&gt;0,"Sensitive account | ","")&amp;IF(AND(MAX(N(E1378),N(F1378))&gt;=Settings!$C$9,MOD(MAX(N(E1378),N(F1378)),Settings!$C$10)=0),"Round amount | ",""))-3)))</f>
        <v/>
      </c>
      <c r="M1378" s="21" t="str">
        <f aca="false">IF(A1378="","",IF(COUNTIF($A$9:A1378,A1378)=1,MAX($M$8:M1377)+1,""))</f>
        <v/>
      </c>
    </row>
    <row r="1379" customFormat="false" ht="15" hidden="false" customHeight="false" outlineLevel="0" collapsed="false">
      <c r="A1379" s="8"/>
      <c r="B1379" s="17"/>
      <c r="C1379" s="19"/>
      <c r="D1379" s="8"/>
      <c r="E1379" s="18"/>
      <c r="F1379" s="18"/>
      <c r="G1379" s="8"/>
      <c r="H1379" s="8"/>
      <c r="I1379" s="8"/>
      <c r="J1379" s="8"/>
      <c r="K1379" s="10" t="str">
        <f aca="false">IF(A1379="","",IF(ABS(SUMIFS($E$9:$E$2008,$A$9:$A$2008,A1379)-SUMIFS($F$9:$F$2008,$A$9:$A$2008,A1379))&lt;0.5,"Yes","No"))</f>
        <v/>
      </c>
      <c r="L1379" s="10" t="str">
        <f aca="false">IF(A1379="","",IF(IF(K1379="No","Does not balance | ","")&amp;IF(I1379="","Not approved | ",IF(UPPER(TRIM(H1379))=UPPER(TRIM(I1379)),"Self-approved | ",""))&amp;IF(J1379="","No support | ","")&amp;IF(WEEKDAY(B1379,2)&gt;5,"Weekend posting | ","")&amp;IF(COUNTIF(Settings!$A$14:$A$43,B1379)&gt;0,"Holiday posting | ","")&amp;IF(B1379&gt;Settings!$C$8,"Posted after close | ","")&amp;IF(OR(B1379&lt;Settings!$C$6,B1379&gt;Settings!$C$7),"Outside period | ","")&amp;IF(COUNTIF(Settings!$E$14:$E$43,C1379&amp;"")&gt;0,"Sensitive account | ","")&amp;IF(AND(MAX(N(E1379),N(F1379))&gt;=Settings!$C$9,MOD(MAX(N(E1379),N(F1379)),Settings!$C$10)=0),"Round amount | ","")="","",LEFT(IF(K1379="No","Does not balance | ","")&amp;IF(I1379="","Not approved | ",IF(UPPER(TRIM(H1379))=UPPER(TRIM(I1379)),"Self-approved | ",""))&amp;IF(J1379="","No support | ","")&amp;IF(WEEKDAY(B1379,2)&gt;5,"Weekend posting | ","")&amp;IF(COUNTIF(Settings!$A$14:$A$43,B1379)&gt;0,"Holiday posting | ","")&amp;IF(B1379&gt;Settings!$C$8,"Posted after close | ","")&amp;IF(OR(B1379&lt;Settings!$C$6,B1379&gt;Settings!$C$7),"Outside period | ","")&amp;IF(COUNTIF(Settings!$E$14:$E$43,C1379&amp;"")&gt;0,"Sensitive account | ","")&amp;IF(AND(MAX(N(E1379),N(F1379))&gt;=Settings!$C$9,MOD(MAX(N(E1379),N(F1379)),Settings!$C$10)=0),"Round amount | ",""),LEN(IF(K1379="No","Does not balance | ","")&amp;IF(I1379="","Not approved | ",IF(UPPER(TRIM(H1379))=UPPER(TRIM(I1379)),"Self-approved | ",""))&amp;IF(J1379="","No support | ","")&amp;IF(WEEKDAY(B1379,2)&gt;5,"Weekend posting | ","")&amp;IF(COUNTIF(Settings!$A$14:$A$43,B1379)&gt;0,"Holiday posting | ","")&amp;IF(B1379&gt;Settings!$C$8,"Posted after close | ","")&amp;IF(OR(B1379&lt;Settings!$C$6,B1379&gt;Settings!$C$7),"Outside period | ","")&amp;IF(COUNTIF(Settings!$E$14:$E$43,C1379&amp;"")&gt;0,"Sensitive account | ","")&amp;IF(AND(MAX(N(E1379),N(F1379))&gt;=Settings!$C$9,MOD(MAX(N(E1379),N(F1379)),Settings!$C$10)=0),"Round amount | ",""))-3)))</f>
        <v/>
      </c>
      <c r="M1379" s="21" t="str">
        <f aca="false">IF(A1379="","",IF(COUNTIF($A$9:A1379,A1379)=1,MAX($M$8:M1378)+1,""))</f>
        <v/>
      </c>
    </row>
    <row r="1380" customFormat="false" ht="15" hidden="false" customHeight="false" outlineLevel="0" collapsed="false">
      <c r="A1380" s="8"/>
      <c r="B1380" s="17"/>
      <c r="C1380" s="19"/>
      <c r="D1380" s="8"/>
      <c r="E1380" s="18"/>
      <c r="F1380" s="18"/>
      <c r="G1380" s="8"/>
      <c r="H1380" s="8"/>
      <c r="I1380" s="8"/>
      <c r="J1380" s="8"/>
      <c r="K1380" s="10" t="str">
        <f aca="false">IF(A1380="","",IF(ABS(SUMIFS($E$9:$E$2008,$A$9:$A$2008,A1380)-SUMIFS($F$9:$F$2008,$A$9:$A$2008,A1380))&lt;0.5,"Yes","No"))</f>
        <v/>
      </c>
      <c r="L1380" s="10" t="str">
        <f aca="false">IF(A1380="","",IF(IF(K1380="No","Does not balance | ","")&amp;IF(I1380="","Not approved | ",IF(UPPER(TRIM(H1380))=UPPER(TRIM(I1380)),"Self-approved | ",""))&amp;IF(J1380="","No support | ","")&amp;IF(WEEKDAY(B1380,2)&gt;5,"Weekend posting | ","")&amp;IF(COUNTIF(Settings!$A$14:$A$43,B1380)&gt;0,"Holiday posting | ","")&amp;IF(B1380&gt;Settings!$C$8,"Posted after close | ","")&amp;IF(OR(B1380&lt;Settings!$C$6,B1380&gt;Settings!$C$7),"Outside period | ","")&amp;IF(COUNTIF(Settings!$E$14:$E$43,C1380&amp;"")&gt;0,"Sensitive account | ","")&amp;IF(AND(MAX(N(E1380),N(F1380))&gt;=Settings!$C$9,MOD(MAX(N(E1380),N(F1380)),Settings!$C$10)=0),"Round amount | ","")="","",LEFT(IF(K1380="No","Does not balance | ","")&amp;IF(I1380="","Not approved | ",IF(UPPER(TRIM(H1380))=UPPER(TRIM(I1380)),"Self-approved | ",""))&amp;IF(J1380="","No support | ","")&amp;IF(WEEKDAY(B1380,2)&gt;5,"Weekend posting | ","")&amp;IF(COUNTIF(Settings!$A$14:$A$43,B1380)&gt;0,"Holiday posting | ","")&amp;IF(B1380&gt;Settings!$C$8,"Posted after close | ","")&amp;IF(OR(B1380&lt;Settings!$C$6,B1380&gt;Settings!$C$7),"Outside period | ","")&amp;IF(COUNTIF(Settings!$E$14:$E$43,C1380&amp;"")&gt;0,"Sensitive account | ","")&amp;IF(AND(MAX(N(E1380),N(F1380))&gt;=Settings!$C$9,MOD(MAX(N(E1380),N(F1380)),Settings!$C$10)=0),"Round amount | ",""),LEN(IF(K1380="No","Does not balance | ","")&amp;IF(I1380="","Not approved | ",IF(UPPER(TRIM(H1380))=UPPER(TRIM(I1380)),"Self-approved | ",""))&amp;IF(J1380="","No support | ","")&amp;IF(WEEKDAY(B1380,2)&gt;5,"Weekend posting | ","")&amp;IF(COUNTIF(Settings!$A$14:$A$43,B1380)&gt;0,"Holiday posting | ","")&amp;IF(B1380&gt;Settings!$C$8,"Posted after close | ","")&amp;IF(OR(B1380&lt;Settings!$C$6,B1380&gt;Settings!$C$7),"Outside period | ","")&amp;IF(COUNTIF(Settings!$E$14:$E$43,C1380&amp;"")&gt;0,"Sensitive account | ","")&amp;IF(AND(MAX(N(E1380),N(F1380))&gt;=Settings!$C$9,MOD(MAX(N(E1380),N(F1380)),Settings!$C$10)=0),"Round amount | ",""))-3)))</f>
        <v/>
      </c>
      <c r="M1380" s="21" t="str">
        <f aca="false">IF(A1380="","",IF(COUNTIF($A$9:A1380,A1380)=1,MAX($M$8:M1379)+1,""))</f>
        <v/>
      </c>
    </row>
    <row r="1381" customFormat="false" ht="15" hidden="false" customHeight="false" outlineLevel="0" collapsed="false">
      <c r="A1381" s="8"/>
      <c r="B1381" s="17"/>
      <c r="C1381" s="19"/>
      <c r="D1381" s="8"/>
      <c r="E1381" s="18"/>
      <c r="F1381" s="18"/>
      <c r="G1381" s="8"/>
      <c r="H1381" s="8"/>
      <c r="I1381" s="8"/>
      <c r="J1381" s="8"/>
      <c r="K1381" s="10" t="str">
        <f aca="false">IF(A1381="","",IF(ABS(SUMIFS($E$9:$E$2008,$A$9:$A$2008,A1381)-SUMIFS($F$9:$F$2008,$A$9:$A$2008,A1381))&lt;0.5,"Yes","No"))</f>
        <v/>
      </c>
      <c r="L1381" s="10" t="str">
        <f aca="false">IF(A1381="","",IF(IF(K1381="No","Does not balance | ","")&amp;IF(I1381="","Not approved | ",IF(UPPER(TRIM(H1381))=UPPER(TRIM(I1381)),"Self-approved | ",""))&amp;IF(J1381="","No support | ","")&amp;IF(WEEKDAY(B1381,2)&gt;5,"Weekend posting | ","")&amp;IF(COUNTIF(Settings!$A$14:$A$43,B1381)&gt;0,"Holiday posting | ","")&amp;IF(B1381&gt;Settings!$C$8,"Posted after close | ","")&amp;IF(OR(B1381&lt;Settings!$C$6,B1381&gt;Settings!$C$7),"Outside period | ","")&amp;IF(COUNTIF(Settings!$E$14:$E$43,C1381&amp;"")&gt;0,"Sensitive account | ","")&amp;IF(AND(MAX(N(E1381),N(F1381))&gt;=Settings!$C$9,MOD(MAX(N(E1381),N(F1381)),Settings!$C$10)=0),"Round amount | ","")="","",LEFT(IF(K1381="No","Does not balance | ","")&amp;IF(I1381="","Not approved | ",IF(UPPER(TRIM(H1381))=UPPER(TRIM(I1381)),"Self-approved | ",""))&amp;IF(J1381="","No support | ","")&amp;IF(WEEKDAY(B1381,2)&gt;5,"Weekend posting | ","")&amp;IF(COUNTIF(Settings!$A$14:$A$43,B1381)&gt;0,"Holiday posting | ","")&amp;IF(B1381&gt;Settings!$C$8,"Posted after close | ","")&amp;IF(OR(B1381&lt;Settings!$C$6,B1381&gt;Settings!$C$7),"Outside period | ","")&amp;IF(COUNTIF(Settings!$E$14:$E$43,C1381&amp;"")&gt;0,"Sensitive account | ","")&amp;IF(AND(MAX(N(E1381),N(F1381))&gt;=Settings!$C$9,MOD(MAX(N(E1381),N(F1381)),Settings!$C$10)=0),"Round amount | ",""),LEN(IF(K1381="No","Does not balance | ","")&amp;IF(I1381="","Not approved | ",IF(UPPER(TRIM(H1381))=UPPER(TRIM(I1381)),"Self-approved | ",""))&amp;IF(J1381="","No support | ","")&amp;IF(WEEKDAY(B1381,2)&gt;5,"Weekend posting | ","")&amp;IF(COUNTIF(Settings!$A$14:$A$43,B1381)&gt;0,"Holiday posting | ","")&amp;IF(B1381&gt;Settings!$C$8,"Posted after close | ","")&amp;IF(OR(B1381&lt;Settings!$C$6,B1381&gt;Settings!$C$7),"Outside period | ","")&amp;IF(COUNTIF(Settings!$E$14:$E$43,C1381&amp;"")&gt;0,"Sensitive account | ","")&amp;IF(AND(MAX(N(E1381),N(F1381))&gt;=Settings!$C$9,MOD(MAX(N(E1381),N(F1381)),Settings!$C$10)=0),"Round amount | ",""))-3)))</f>
        <v/>
      </c>
      <c r="M1381" s="21" t="str">
        <f aca="false">IF(A1381="","",IF(COUNTIF($A$9:A1381,A1381)=1,MAX($M$8:M1380)+1,""))</f>
        <v/>
      </c>
    </row>
    <row r="1382" customFormat="false" ht="15" hidden="false" customHeight="false" outlineLevel="0" collapsed="false">
      <c r="A1382" s="8"/>
      <c r="B1382" s="17"/>
      <c r="C1382" s="19"/>
      <c r="D1382" s="8"/>
      <c r="E1382" s="18"/>
      <c r="F1382" s="18"/>
      <c r="G1382" s="8"/>
      <c r="H1382" s="8"/>
      <c r="I1382" s="8"/>
      <c r="J1382" s="8"/>
      <c r="K1382" s="10" t="str">
        <f aca="false">IF(A1382="","",IF(ABS(SUMIFS($E$9:$E$2008,$A$9:$A$2008,A1382)-SUMIFS($F$9:$F$2008,$A$9:$A$2008,A1382))&lt;0.5,"Yes","No"))</f>
        <v/>
      </c>
      <c r="L1382" s="10" t="str">
        <f aca="false">IF(A1382="","",IF(IF(K1382="No","Does not balance | ","")&amp;IF(I1382="","Not approved | ",IF(UPPER(TRIM(H1382))=UPPER(TRIM(I1382)),"Self-approved | ",""))&amp;IF(J1382="","No support | ","")&amp;IF(WEEKDAY(B1382,2)&gt;5,"Weekend posting | ","")&amp;IF(COUNTIF(Settings!$A$14:$A$43,B1382)&gt;0,"Holiday posting | ","")&amp;IF(B1382&gt;Settings!$C$8,"Posted after close | ","")&amp;IF(OR(B1382&lt;Settings!$C$6,B1382&gt;Settings!$C$7),"Outside period | ","")&amp;IF(COUNTIF(Settings!$E$14:$E$43,C1382&amp;"")&gt;0,"Sensitive account | ","")&amp;IF(AND(MAX(N(E1382),N(F1382))&gt;=Settings!$C$9,MOD(MAX(N(E1382),N(F1382)),Settings!$C$10)=0),"Round amount | ","")="","",LEFT(IF(K1382="No","Does not balance | ","")&amp;IF(I1382="","Not approved | ",IF(UPPER(TRIM(H1382))=UPPER(TRIM(I1382)),"Self-approved | ",""))&amp;IF(J1382="","No support | ","")&amp;IF(WEEKDAY(B1382,2)&gt;5,"Weekend posting | ","")&amp;IF(COUNTIF(Settings!$A$14:$A$43,B1382)&gt;0,"Holiday posting | ","")&amp;IF(B1382&gt;Settings!$C$8,"Posted after close | ","")&amp;IF(OR(B1382&lt;Settings!$C$6,B1382&gt;Settings!$C$7),"Outside period | ","")&amp;IF(COUNTIF(Settings!$E$14:$E$43,C1382&amp;"")&gt;0,"Sensitive account | ","")&amp;IF(AND(MAX(N(E1382),N(F1382))&gt;=Settings!$C$9,MOD(MAX(N(E1382),N(F1382)),Settings!$C$10)=0),"Round amount | ",""),LEN(IF(K1382="No","Does not balance | ","")&amp;IF(I1382="","Not approved | ",IF(UPPER(TRIM(H1382))=UPPER(TRIM(I1382)),"Self-approved | ",""))&amp;IF(J1382="","No support | ","")&amp;IF(WEEKDAY(B1382,2)&gt;5,"Weekend posting | ","")&amp;IF(COUNTIF(Settings!$A$14:$A$43,B1382)&gt;0,"Holiday posting | ","")&amp;IF(B1382&gt;Settings!$C$8,"Posted after close | ","")&amp;IF(OR(B1382&lt;Settings!$C$6,B1382&gt;Settings!$C$7),"Outside period | ","")&amp;IF(COUNTIF(Settings!$E$14:$E$43,C1382&amp;"")&gt;0,"Sensitive account | ","")&amp;IF(AND(MAX(N(E1382),N(F1382))&gt;=Settings!$C$9,MOD(MAX(N(E1382),N(F1382)),Settings!$C$10)=0),"Round amount | ",""))-3)))</f>
        <v/>
      </c>
      <c r="M1382" s="21" t="str">
        <f aca="false">IF(A1382="","",IF(COUNTIF($A$9:A1382,A1382)=1,MAX($M$8:M1381)+1,""))</f>
        <v/>
      </c>
    </row>
    <row r="1383" customFormat="false" ht="15" hidden="false" customHeight="false" outlineLevel="0" collapsed="false">
      <c r="A1383" s="8"/>
      <c r="B1383" s="17"/>
      <c r="C1383" s="19"/>
      <c r="D1383" s="8"/>
      <c r="E1383" s="18"/>
      <c r="F1383" s="18"/>
      <c r="G1383" s="8"/>
      <c r="H1383" s="8"/>
      <c r="I1383" s="8"/>
      <c r="J1383" s="8"/>
      <c r="K1383" s="10" t="str">
        <f aca="false">IF(A1383="","",IF(ABS(SUMIFS($E$9:$E$2008,$A$9:$A$2008,A1383)-SUMIFS($F$9:$F$2008,$A$9:$A$2008,A1383))&lt;0.5,"Yes","No"))</f>
        <v/>
      </c>
      <c r="L1383" s="10" t="str">
        <f aca="false">IF(A1383="","",IF(IF(K1383="No","Does not balance | ","")&amp;IF(I1383="","Not approved | ",IF(UPPER(TRIM(H1383))=UPPER(TRIM(I1383)),"Self-approved | ",""))&amp;IF(J1383="","No support | ","")&amp;IF(WEEKDAY(B1383,2)&gt;5,"Weekend posting | ","")&amp;IF(COUNTIF(Settings!$A$14:$A$43,B1383)&gt;0,"Holiday posting | ","")&amp;IF(B1383&gt;Settings!$C$8,"Posted after close | ","")&amp;IF(OR(B1383&lt;Settings!$C$6,B1383&gt;Settings!$C$7),"Outside period | ","")&amp;IF(COUNTIF(Settings!$E$14:$E$43,C1383&amp;"")&gt;0,"Sensitive account | ","")&amp;IF(AND(MAX(N(E1383),N(F1383))&gt;=Settings!$C$9,MOD(MAX(N(E1383),N(F1383)),Settings!$C$10)=0),"Round amount | ","")="","",LEFT(IF(K1383="No","Does not balance | ","")&amp;IF(I1383="","Not approved | ",IF(UPPER(TRIM(H1383))=UPPER(TRIM(I1383)),"Self-approved | ",""))&amp;IF(J1383="","No support | ","")&amp;IF(WEEKDAY(B1383,2)&gt;5,"Weekend posting | ","")&amp;IF(COUNTIF(Settings!$A$14:$A$43,B1383)&gt;0,"Holiday posting | ","")&amp;IF(B1383&gt;Settings!$C$8,"Posted after close | ","")&amp;IF(OR(B1383&lt;Settings!$C$6,B1383&gt;Settings!$C$7),"Outside period | ","")&amp;IF(COUNTIF(Settings!$E$14:$E$43,C1383&amp;"")&gt;0,"Sensitive account | ","")&amp;IF(AND(MAX(N(E1383),N(F1383))&gt;=Settings!$C$9,MOD(MAX(N(E1383),N(F1383)),Settings!$C$10)=0),"Round amount | ",""),LEN(IF(K1383="No","Does not balance | ","")&amp;IF(I1383="","Not approved | ",IF(UPPER(TRIM(H1383))=UPPER(TRIM(I1383)),"Self-approved | ",""))&amp;IF(J1383="","No support | ","")&amp;IF(WEEKDAY(B1383,2)&gt;5,"Weekend posting | ","")&amp;IF(COUNTIF(Settings!$A$14:$A$43,B1383)&gt;0,"Holiday posting | ","")&amp;IF(B1383&gt;Settings!$C$8,"Posted after close | ","")&amp;IF(OR(B1383&lt;Settings!$C$6,B1383&gt;Settings!$C$7),"Outside period | ","")&amp;IF(COUNTIF(Settings!$E$14:$E$43,C1383&amp;"")&gt;0,"Sensitive account | ","")&amp;IF(AND(MAX(N(E1383),N(F1383))&gt;=Settings!$C$9,MOD(MAX(N(E1383),N(F1383)),Settings!$C$10)=0),"Round amount | ",""))-3)))</f>
        <v/>
      </c>
      <c r="M1383" s="21" t="str">
        <f aca="false">IF(A1383="","",IF(COUNTIF($A$9:A1383,A1383)=1,MAX($M$8:M1382)+1,""))</f>
        <v/>
      </c>
    </row>
    <row r="1384" customFormat="false" ht="15" hidden="false" customHeight="false" outlineLevel="0" collapsed="false">
      <c r="A1384" s="8"/>
      <c r="B1384" s="17"/>
      <c r="C1384" s="19"/>
      <c r="D1384" s="8"/>
      <c r="E1384" s="18"/>
      <c r="F1384" s="18"/>
      <c r="G1384" s="8"/>
      <c r="H1384" s="8"/>
      <c r="I1384" s="8"/>
      <c r="J1384" s="8"/>
      <c r="K1384" s="10" t="str">
        <f aca="false">IF(A1384="","",IF(ABS(SUMIFS($E$9:$E$2008,$A$9:$A$2008,A1384)-SUMIFS($F$9:$F$2008,$A$9:$A$2008,A1384))&lt;0.5,"Yes","No"))</f>
        <v/>
      </c>
      <c r="L1384" s="10" t="str">
        <f aca="false">IF(A1384="","",IF(IF(K1384="No","Does not balance | ","")&amp;IF(I1384="","Not approved | ",IF(UPPER(TRIM(H1384))=UPPER(TRIM(I1384)),"Self-approved | ",""))&amp;IF(J1384="","No support | ","")&amp;IF(WEEKDAY(B1384,2)&gt;5,"Weekend posting | ","")&amp;IF(COUNTIF(Settings!$A$14:$A$43,B1384)&gt;0,"Holiday posting | ","")&amp;IF(B1384&gt;Settings!$C$8,"Posted after close | ","")&amp;IF(OR(B1384&lt;Settings!$C$6,B1384&gt;Settings!$C$7),"Outside period | ","")&amp;IF(COUNTIF(Settings!$E$14:$E$43,C1384&amp;"")&gt;0,"Sensitive account | ","")&amp;IF(AND(MAX(N(E1384),N(F1384))&gt;=Settings!$C$9,MOD(MAX(N(E1384),N(F1384)),Settings!$C$10)=0),"Round amount | ","")="","",LEFT(IF(K1384="No","Does not balance | ","")&amp;IF(I1384="","Not approved | ",IF(UPPER(TRIM(H1384))=UPPER(TRIM(I1384)),"Self-approved | ",""))&amp;IF(J1384="","No support | ","")&amp;IF(WEEKDAY(B1384,2)&gt;5,"Weekend posting | ","")&amp;IF(COUNTIF(Settings!$A$14:$A$43,B1384)&gt;0,"Holiday posting | ","")&amp;IF(B1384&gt;Settings!$C$8,"Posted after close | ","")&amp;IF(OR(B1384&lt;Settings!$C$6,B1384&gt;Settings!$C$7),"Outside period | ","")&amp;IF(COUNTIF(Settings!$E$14:$E$43,C1384&amp;"")&gt;0,"Sensitive account | ","")&amp;IF(AND(MAX(N(E1384),N(F1384))&gt;=Settings!$C$9,MOD(MAX(N(E1384),N(F1384)),Settings!$C$10)=0),"Round amount | ",""),LEN(IF(K1384="No","Does not balance | ","")&amp;IF(I1384="","Not approved | ",IF(UPPER(TRIM(H1384))=UPPER(TRIM(I1384)),"Self-approved | ",""))&amp;IF(J1384="","No support | ","")&amp;IF(WEEKDAY(B1384,2)&gt;5,"Weekend posting | ","")&amp;IF(COUNTIF(Settings!$A$14:$A$43,B1384)&gt;0,"Holiday posting | ","")&amp;IF(B1384&gt;Settings!$C$8,"Posted after close | ","")&amp;IF(OR(B1384&lt;Settings!$C$6,B1384&gt;Settings!$C$7),"Outside period | ","")&amp;IF(COUNTIF(Settings!$E$14:$E$43,C1384&amp;"")&gt;0,"Sensitive account | ","")&amp;IF(AND(MAX(N(E1384),N(F1384))&gt;=Settings!$C$9,MOD(MAX(N(E1384),N(F1384)),Settings!$C$10)=0),"Round amount | ",""))-3)))</f>
        <v/>
      </c>
      <c r="M1384" s="21" t="str">
        <f aca="false">IF(A1384="","",IF(COUNTIF($A$9:A1384,A1384)=1,MAX($M$8:M1383)+1,""))</f>
        <v/>
      </c>
    </row>
    <row r="1385" customFormat="false" ht="15" hidden="false" customHeight="false" outlineLevel="0" collapsed="false">
      <c r="A1385" s="8"/>
      <c r="B1385" s="17"/>
      <c r="C1385" s="19"/>
      <c r="D1385" s="8"/>
      <c r="E1385" s="18"/>
      <c r="F1385" s="18"/>
      <c r="G1385" s="8"/>
      <c r="H1385" s="8"/>
      <c r="I1385" s="8"/>
      <c r="J1385" s="8"/>
      <c r="K1385" s="10" t="str">
        <f aca="false">IF(A1385="","",IF(ABS(SUMIFS($E$9:$E$2008,$A$9:$A$2008,A1385)-SUMIFS($F$9:$F$2008,$A$9:$A$2008,A1385))&lt;0.5,"Yes","No"))</f>
        <v/>
      </c>
      <c r="L1385" s="10" t="str">
        <f aca="false">IF(A1385="","",IF(IF(K1385="No","Does not balance | ","")&amp;IF(I1385="","Not approved | ",IF(UPPER(TRIM(H1385))=UPPER(TRIM(I1385)),"Self-approved | ",""))&amp;IF(J1385="","No support | ","")&amp;IF(WEEKDAY(B1385,2)&gt;5,"Weekend posting | ","")&amp;IF(COUNTIF(Settings!$A$14:$A$43,B1385)&gt;0,"Holiday posting | ","")&amp;IF(B1385&gt;Settings!$C$8,"Posted after close | ","")&amp;IF(OR(B1385&lt;Settings!$C$6,B1385&gt;Settings!$C$7),"Outside period | ","")&amp;IF(COUNTIF(Settings!$E$14:$E$43,C1385&amp;"")&gt;0,"Sensitive account | ","")&amp;IF(AND(MAX(N(E1385),N(F1385))&gt;=Settings!$C$9,MOD(MAX(N(E1385),N(F1385)),Settings!$C$10)=0),"Round amount | ","")="","",LEFT(IF(K1385="No","Does not balance | ","")&amp;IF(I1385="","Not approved | ",IF(UPPER(TRIM(H1385))=UPPER(TRIM(I1385)),"Self-approved | ",""))&amp;IF(J1385="","No support | ","")&amp;IF(WEEKDAY(B1385,2)&gt;5,"Weekend posting | ","")&amp;IF(COUNTIF(Settings!$A$14:$A$43,B1385)&gt;0,"Holiday posting | ","")&amp;IF(B1385&gt;Settings!$C$8,"Posted after close | ","")&amp;IF(OR(B1385&lt;Settings!$C$6,B1385&gt;Settings!$C$7),"Outside period | ","")&amp;IF(COUNTIF(Settings!$E$14:$E$43,C1385&amp;"")&gt;0,"Sensitive account | ","")&amp;IF(AND(MAX(N(E1385),N(F1385))&gt;=Settings!$C$9,MOD(MAX(N(E1385),N(F1385)),Settings!$C$10)=0),"Round amount | ",""),LEN(IF(K1385="No","Does not balance | ","")&amp;IF(I1385="","Not approved | ",IF(UPPER(TRIM(H1385))=UPPER(TRIM(I1385)),"Self-approved | ",""))&amp;IF(J1385="","No support | ","")&amp;IF(WEEKDAY(B1385,2)&gt;5,"Weekend posting | ","")&amp;IF(COUNTIF(Settings!$A$14:$A$43,B1385)&gt;0,"Holiday posting | ","")&amp;IF(B1385&gt;Settings!$C$8,"Posted after close | ","")&amp;IF(OR(B1385&lt;Settings!$C$6,B1385&gt;Settings!$C$7),"Outside period | ","")&amp;IF(COUNTIF(Settings!$E$14:$E$43,C1385&amp;"")&gt;0,"Sensitive account | ","")&amp;IF(AND(MAX(N(E1385),N(F1385))&gt;=Settings!$C$9,MOD(MAX(N(E1385),N(F1385)),Settings!$C$10)=0),"Round amount | ",""))-3)))</f>
        <v/>
      </c>
      <c r="M1385" s="21" t="str">
        <f aca="false">IF(A1385="","",IF(COUNTIF($A$9:A1385,A1385)=1,MAX($M$8:M1384)+1,""))</f>
        <v/>
      </c>
    </row>
    <row r="1386" customFormat="false" ht="15" hidden="false" customHeight="false" outlineLevel="0" collapsed="false">
      <c r="A1386" s="8"/>
      <c r="B1386" s="17"/>
      <c r="C1386" s="19"/>
      <c r="D1386" s="8"/>
      <c r="E1386" s="18"/>
      <c r="F1386" s="18"/>
      <c r="G1386" s="8"/>
      <c r="H1386" s="8"/>
      <c r="I1386" s="8"/>
      <c r="J1386" s="8"/>
      <c r="K1386" s="10" t="str">
        <f aca="false">IF(A1386="","",IF(ABS(SUMIFS($E$9:$E$2008,$A$9:$A$2008,A1386)-SUMIFS($F$9:$F$2008,$A$9:$A$2008,A1386))&lt;0.5,"Yes","No"))</f>
        <v/>
      </c>
      <c r="L1386" s="10" t="str">
        <f aca="false">IF(A1386="","",IF(IF(K1386="No","Does not balance | ","")&amp;IF(I1386="","Not approved | ",IF(UPPER(TRIM(H1386))=UPPER(TRIM(I1386)),"Self-approved | ",""))&amp;IF(J1386="","No support | ","")&amp;IF(WEEKDAY(B1386,2)&gt;5,"Weekend posting | ","")&amp;IF(COUNTIF(Settings!$A$14:$A$43,B1386)&gt;0,"Holiday posting | ","")&amp;IF(B1386&gt;Settings!$C$8,"Posted after close | ","")&amp;IF(OR(B1386&lt;Settings!$C$6,B1386&gt;Settings!$C$7),"Outside period | ","")&amp;IF(COUNTIF(Settings!$E$14:$E$43,C1386&amp;"")&gt;0,"Sensitive account | ","")&amp;IF(AND(MAX(N(E1386),N(F1386))&gt;=Settings!$C$9,MOD(MAX(N(E1386),N(F1386)),Settings!$C$10)=0),"Round amount | ","")="","",LEFT(IF(K1386="No","Does not balance | ","")&amp;IF(I1386="","Not approved | ",IF(UPPER(TRIM(H1386))=UPPER(TRIM(I1386)),"Self-approved | ",""))&amp;IF(J1386="","No support | ","")&amp;IF(WEEKDAY(B1386,2)&gt;5,"Weekend posting | ","")&amp;IF(COUNTIF(Settings!$A$14:$A$43,B1386)&gt;0,"Holiday posting | ","")&amp;IF(B1386&gt;Settings!$C$8,"Posted after close | ","")&amp;IF(OR(B1386&lt;Settings!$C$6,B1386&gt;Settings!$C$7),"Outside period | ","")&amp;IF(COUNTIF(Settings!$E$14:$E$43,C1386&amp;"")&gt;0,"Sensitive account | ","")&amp;IF(AND(MAX(N(E1386),N(F1386))&gt;=Settings!$C$9,MOD(MAX(N(E1386),N(F1386)),Settings!$C$10)=0),"Round amount | ",""),LEN(IF(K1386="No","Does not balance | ","")&amp;IF(I1386="","Not approved | ",IF(UPPER(TRIM(H1386))=UPPER(TRIM(I1386)),"Self-approved | ",""))&amp;IF(J1386="","No support | ","")&amp;IF(WEEKDAY(B1386,2)&gt;5,"Weekend posting | ","")&amp;IF(COUNTIF(Settings!$A$14:$A$43,B1386)&gt;0,"Holiday posting | ","")&amp;IF(B1386&gt;Settings!$C$8,"Posted after close | ","")&amp;IF(OR(B1386&lt;Settings!$C$6,B1386&gt;Settings!$C$7),"Outside period | ","")&amp;IF(COUNTIF(Settings!$E$14:$E$43,C1386&amp;"")&gt;0,"Sensitive account | ","")&amp;IF(AND(MAX(N(E1386),N(F1386))&gt;=Settings!$C$9,MOD(MAX(N(E1386),N(F1386)),Settings!$C$10)=0),"Round amount | ",""))-3)))</f>
        <v/>
      </c>
      <c r="M1386" s="21" t="str">
        <f aca="false">IF(A1386="","",IF(COUNTIF($A$9:A1386,A1386)=1,MAX($M$8:M1385)+1,""))</f>
        <v/>
      </c>
    </row>
    <row r="1387" customFormat="false" ht="15" hidden="false" customHeight="false" outlineLevel="0" collapsed="false">
      <c r="A1387" s="8"/>
      <c r="B1387" s="17"/>
      <c r="C1387" s="19"/>
      <c r="D1387" s="8"/>
      <c r="E1387" s="18"/>
      <c r="F1387" s="18"/>
      <c r="G1387" s="8"/>
      <c r="H1387" s="8"/>
      <c r="I1387" s="8"/>
      <c r="J1387" s="8"/>
      <c r="K1387" s="10" t="str">
        <f aca="false">IF(A1387="","",IF(ABS(SUMIFS($E$9:$E$2008,$A$9:$A$2008,A1387)-SUMIFS($F$9:$F$2008,$A$9:$A$2008,A1387))&lt;0.5,"Yes","No"))</f>
        <v/>
      </c>
      <c r="L1387" s="10" t="str">
        <f aca="false">IF(A1387="","",IF(IF(K1387="No","Does not balance | ","")&amp;IF(I1387="","Not approved | ",IF(UPPER(TRIM(H1387))=UPPER(TRIM(I1387)),"Self-approved | ",""))&amp;IF(J1387="","No support | ","")&amp;IF(WEEKDAY(B1387,2)&gt;5,"Weekend posting | ","")&amp;IF(COUNTIF(Settings!$A$14:$A$43,B1387)&gt;0,"Holiday posting | ","")&amp;IF(B1387&gt;Settings!$C$8,"Posted after close | ","")&amp;IF(OR(B1387&lt;Settings!$C$6,B1387&gt;Settings!$C$7),"Outside period | ","")&amp;IF(COUNTIF(Settings!$E$14:$E$43,C1387&amp;"")&gt;0,"Sensitive account | ","")&amp;IF(AND(MAX(N(E1387),N(F1387))&gt;=Settings!$C$9,MOD(MAX(N(E1387),N(F1387)),Settings!$C$10)=0),"Round amount | ","")="","",LEFT(IF(K1387="No","Does not balance | ","")&amp;IF(I1387="","Not approved | ",IF(UPPER(TRIM(H1387))=UPPER(TRIM(I1387)),"Self-approved | ",""))&amp;IF(J1387="","No support | ","")&amp;IF(WEEKDAY(B1387,2)&gt;5,"Weekend posting | ","")&amp;IF(COUNTIF(Settings!$A$14:$A$43,B1387)&gt;0,"Holiday posting | ","")&amp;IF(B1387&gt;Settings!$C$8,"Posted after close | ","")&amp;IF(OR(B1387&lt;Settings!$C$6,B1387&gt;Settings!$C$7),"Outside period | ","")&amp;IF(COUNTIF(Settings!$E$14:$E$43,C1387&amp;"")&gt;0,"Sensitive account | ","")&amp;IF(AND(MAX(N(E1387),N(F1387))&gt;=Settings!$C$9,MOD(MAX(N(E1387),N(F1387)),Settings!$C$10)=0),"Round amount | ",""),LEN(IF(K1387="No","Does not balance | ","")&amp;IF(I1387="","Not approved | ",IF(UPPER(TRIM(H1387))=UPPER(TRIM(I1387)),"Self-approved | ",""))&amp;IF(J1387="","No support | ","")&amp;IF(WEEKDAY(B1387,2)&gt;5,"Weekend posting | ","")&amp;IF(COUNTIF(Settings!$A$14:$A$43,B1387)&gt;0,"Holiday posting | ","")&amp;IF(B1387&gt;Settings!$C$8,"Posted after close | ","")&amp;IF(OR(B1387&lt;Settings!$C$6,B1387&gt;Settings!$C$7),"Outside period | ","")&amp;IF(COUNTIF(Settings!$E$14:$E$43,C1387&amp;"")&gt;0,"Sensitive account | ","")&amp;IF(AND(MAX(N(E1387),N(F1387))&gt;=Settings!$C$9,MOD(MAX(N(E1387),N(F1387)),Settings!$C$10)=0),"Round amount | ",""))-3)))</f>
        <v/>
      </c>
      <c r="M1387" s="21" t="str">
        <f aca="false">IF(A1387="","",IF(COUNTIF($A$9:A1387,A1387)=1,MAX($M$8:M1386)+1,""))</f>
        <v/>
      </c>
    </row>
    <row r="1388" customFormat="false" ht="15" hidden="false" customHeight="false" outlineLevel="0" collapsed="false">
      <c r="A1388" s="8"/>
      <c r="B1388" s="17"/>
      <c r="C1388" s="19"/>
      <c r="D1388" s="8"/>
      <c r="E1388" s="18"/>
      <c r="F1388" s="18"/>
      <c r="G1388" s="8"/>
      <c r="H1388" s="8"/>
      <c r="I1388" s="8"/>
      <c r="J1388" s="8"/>
      <c r="K1388" s="10" t="str">
        <f aca="false">IF(A1388="","",IF(ABS(SUMIFS($E$9:$E$2008,$A$9:$A$2008,A1388)-SUMIFS($F$9:$F$2008,$A$9:$A$2008,A1388))&lt;0.5,"Yes","No"))</f>
        <v/>
      </c>
      <c r="L1388" s="10" t="str">
        <f aca="false">IF(A1388="","",IF(IF(K1388="No","Does not balance | ","")&amp;IF(I1388="","Not approved | ",IF(UPPER(TRIM(H1388))=UPPER(TRIM(I1388)),"Self-approved | ",""))&amp;IF(J1388="","No support | ","")&amp;IF(WEEKDAY(B1388,2)&gt;5,"Weekend posting | ","")&amp;IF(COUNTIF(Settings!$A$14:$A$43,B1388)&gt;0,"Holiday posting | ","")&amp;IF(B1388&gt;Settings!$C$8,"Posted after close | ","")&amp;IF(OR(B1388&lt;Settings!$C$6,B1388&gt;Settings!$C$7),"Outside period | ","")&amp;IF(COUNTIF(Settings!$E$14:$E$43,C1388&amp;"")&gt;0,"Sensitive account | ","")&amp;IF(AND(MAX(N(E1388),N(F1388))&gt;=Settings!$C$9,MOD(MAX(N(E1388),N(F1388)),Settings!$C$10)=0),"Round amount | ","")="","",LEFT(IF(K1388="No","Does not balance | ","")&amp;IF(I1388="","Not approved | ",IF(UPPER(TRIM(H1388))=UPPER(TRIM(I1388)),"Self-approved | ",""))&amp;IF(J1388="","No support | ","")&amp;IF(WEEKDAY(B1388,2)&gt;5,"Weekend posting | ","")&amp;IF(COUNTIF(Settings!$A$14:$A$43,B1388)&gt;0,"Holiday posting | ","")&amp;IF(B1388&gt;Settings!$C$8,"Posted after close | ","")&amp;IF(OR(B1388&lt;Settings!$C$6,B1388&gt;Settings!$C$7),"Outside period | ","")&amp;IF(COUNTIF(Settings!$E$14:$E$43,C1388&amp;"")&gt;0,"Sensitive account | ","")&amp;IF(AND(MAX(N(E1388),N(F1388))&gt;=Settings!$C$9,MOD(MAX(N(E1388),N(F1388)),Settings!$C$10)=0),"Round amount | ",""),LEN(IF(K1388="No","Does not balance | ","")&amp;IF(I1388="","Not approved | ",IF(UPPER(TRIM(H1388))=UPPER(TRIM(I1388)),"Self-approved | ",""))&amp;IF(J1388="","No support | ","")&amp;IF(WEEKDAY(B1388,2)&gt;5,"Weekend posting | ","")&amp;IF(COUNTIF(Settings!$A$14:$A$43,B1388)&gt;0,"Holiday posting | ","")&amp;IF(B1388&gt;Settings!$C$8,"Posted after close | ","")&amp;IF(OR(B1388&lt;Settings!$C$6,B1388&gt;Settings!$C$7),"Outside period | ","")&amp;IF(COUNTIF(Settings!$E$14:$E$43,C1388&amp;"")&gt;0,"Sensitive account | ","")&amp;IF(AND(MAX(N(E1388),N(F1388))&gt;=Settings!$C$9,MOD(MAX(N(E1388),N(F1388)),Settings!$C$10)=0),"Round amount | ",""))-3)))</f>
        <v/>
      </c>
      <c r="M1388" s="21" t="str">
        <f aca="false">IF(A1388="","",IF(COUNTIF($A$9:A1388,A1388)=1,MAX($M$8:M1387)+1,""))</f>
        <v/>
      </c>
    </row>
    <row r="1389" customFormat="false" ht="15" hidden="false" customHeight="false" outlineLevel="0" collapsed="false">
      <c r="A1389" s="8"/>
      <c r="B1389" s="17"/>
      <c r="C1389" s="19"/>
      <c r="D1389" s="8"/>
      <c r="E1389" s="18"/>
      <c r="F1389" s="18"/>
      <c r="G1389" s="8"/>
      <c r="H1389" s="8"/>
      <c r="I1389" s="8"/>
      <c r="J1389" s="8"/>
      <c r="K1389" s="10" t="str">
        <f aca="false">IF(A1389="","",IF(ABS(SUMIFS($E$9:$E$2008,$A$9:$A$2008,A1389)-SUMIFS($F$9:$F$2008,$A$9:$A$2008,A1389))&lt;0.5,"Yes","No"))</f>
        <v/>
      </c>
      <c r="L1389" s="10" t="str">
        <f aca="false">IF(A1389="","",IF(IF(K1389="No","Does not balance | ","")&amp;IF(I1389="","Not approved | ",IF(UPPER(TRIM(H1389))=UPPER(TRIM(I1389)),"Self-approved | ",""))&amp;IF(J1389="","No support | ","")&amp;IF(WEEKDAY(B1389,2)&gt;5,"Weekend posting | ","")&amp;IF(COUNTIF(Settings!$A$14:$A$43,B1389)&gt;0,"Holiday posting | ","")&amp;IF(B1389&gt;Settings!$C$8,"Posted after close | ","")&amp;IF(OR(B1389&lt;Settings!$C$6,B1389&gt;Settings!$C$7),"Outside period | ","")&amp;IF(COUNTIF(Settings!$E$14:$E$43,C1389&amp;"")&gt;0,"Sensitive account | ","")&amp;IF(AND(MAX(N(E1389),N(F1389))&gt;=Settings!$C$9,MOD(MAX(N(E1389),N(F1389)),Settings!$C$10)=0),"Round amount | ","")="","",LEFT(IF(K1389="No","Does not balance | ","")&amp;IF(I1389="","Not approved | ",IF(UPPER(TRIM(H1389))=UPPER(TRIM(I1389)),"Self-approved | ",""))&amp;IF(J1389="","No support | ","")&amp;IF(WEEKDAY(B1389,2)&gt;5,"Weekend posting | ","")&amp;IF(COUNTIF(Settings!$A$14:$A$43,B1389)&gt;0,"Holiday posting | ","")&amp;IF(B1389&gt;Settings!$C$8,"Posted after close | ","")&amp;IF(OR(B1389&lt;Settings!$C$6,B1389&gt;Settings!$C$7),"Outside period | ","")&amp;IF(COUNTIF(Settings!$E$14:$E$43,C1389&amp;"")&gt;0,"Sensitive account | ","")&amp;IF(AND(MAX(N(E1389),N(F1389))&gt;=Settings!$C$9,MOD(MAX(N(E1389),N(F1389)),Settings!$C$10)=0),"Round amount | ",""),LEN(IF(K1389="No","Does not balance | ","")&amp;IF(I1389="","Not approved | ",IF(UPPER(TRIM(H1389))=UPPER(TRIM(I1389)),"Self-approved | ",""))&amp;IF(J1389="","No support | ","")&amp;IF(WEEKDAY(B1389,2)&gt;5,"Weekend posting | ","")&amp;IF(COUNTIF(Settings!$A$14:$A$43,B1389)&gt;0,"Holiday posting | ","")&amp;IF(B1389&gt;Settings!$C$8,"Posted after close | ","")&amp;IF(OR(B1389&lt;Settings!$C$6,B1389&gt;Settings!$C$7),"Outside period | ","")&amp;IF(COUNTIF(Settings!$E$14:$E$43,C1389&amp;"")&gt;0,"Sensitive account | ","")&amp;IF(AND(MAX(N(E1389),N(F1389))&gt;=Settings!$C$9,MOD(MAX(N(E1389),N(F1389)),Settings!$C$10)=0),"Round amount | ",""))-3)))</f>
        <v/>
      </c>
      <c r="M1389" s="21" t="str">
        <f aca="false">IF(A1389="","",IF(COUNTIF($A$9:A1389,A1389)=1,MAX($M$8:M1388)+1,""))</f>
        <v/>
      </c>
    </row>
    <row r="1390" customFormat="false" ht="15" hidden="false" customHeight="false" outlineLevel="0" collapsed="false">
      <c r="A1390" s="8"/>
      <c r="B1390" s="17"/>
      <c r="C1390" s="19"/>
      <c r="D1390" s="8"/>
      <c r="E1390" s="18"/>
      <c r="F1390" s="18"/>
      <c r="G1390" s="8"/>
      <c r="H1390" s="8"/>
      <c r="I1390" s="8"/>
      <c r="J1390" s="8"/>
      <c r="K1390" s="10" t="str">
        <f aca="false">IF(A1390="","",IF(ABS(SUMIFS($E$9:$E$2008,$A$9:$A$2008,A1390)-SUMIFS($F$9:$F$2008,$A$9:$A$2008,A1390))&lt;0.5,"Yes","No"))</f>
        <v/>
      </c>
      <c r="L1390" s="10" t="str">
        <f aca="false">IF(A1390="","",IF(IF(K1390="No","Does not balance | ","")&amp;IF(I1390="","Not approved | ",IF(UPPER(TRIM(H1390))=UPPER(TRIM(I1390)),"Self-approved | ",""))&amp;IF(J1390="","No support | ","")&amp;IF(WEEKDAY(B1390,2)&gt;5,"Weekend posting | ","")&amp;IF(COUNTIF(Settings!$A$14:$A$43,B1390)&gt;0,"Holiday posting | ","")&amp;IF(B1390&gt;Settings!$C$8,"Posted after close | ","")&amp;IF(OR(B1390&lt;Settings!$C$6,B1390&gt;Settings!$C$7),"Outside period | ","")&amp;IF(COUNTIF(Settings!$E$14:$E$43,C1390&amp;"")&gt;0,"Sensitive account | ","")&amp;IF(AND(MAX(N(E1390),N(F1390))&gt;=Settings!$C$9,MOD(MAX(N(E1390),N(F1390)),Settings!$C$10)=0),"Round amount | ","")="","",LEFT(IF(K1390="No","Does not balance | ","")&amp;IF(I1390="","Not approved | ",IF(UPPER(TRIM(H1390))=UPPER(TRIM(I1390)),"Self-approved | ",""))&amp;IF(J1390="","No support | ","")&amp;IF(WEEKDAY(B1390,2)&gt;5,"Weekend posting | ","")&amp;IF(COUNTIF(Settings!$A$14:$A$43,B1390)&gt;0,"Holiday posting | ","")&amp;IF(B1390&gt;Settings!$C$8,"Posted after close | ","")&amp;IF(OR(B1390&lt;Settings!$C$6,B1390&gt;Settings!$C$7),"Outside period | ","")&amp;IF(COUNTIF(Settings!$E$14:$E$43,C1390&amp;"")&gt;0,"Sensitive account | ","")&amp;IF(AND(MAX(N(E1390),N(F1390))&gt;=Settings!$C$9,MOD(MAX(N(E1390),N(F1390)),Settings!$C$10)=0),"Round amount | ",""),LEN(IF(K1390="No","Does not balance | ","")&amp;IF(I1390="","Not approved | ",IF(UPPER(TRIM(H1390))=UPPER(TRIM(I1390)),"Self-approved | ",""))&amp;IF(J1390="","No support | ","")&amp;IF(WEEKDAY(B1390,2)&gt;5,"Weekend posting | ","")&amp;IF(COUNTIF(Settings!$A$14:$A$43,B1390)&gt;0,"Holiday posting | ","")&amp;IF(B1390&gt;Settings!$C$8,"Posted after close | ","")&amp;IF(OR(B1390&lt;Settings!$C$6,B1390&gt;Settings!$C$7),"Outside period | ","")&amp;IF(COUNTIF(Settings!$E$14:$E$43,C1390&amp;"")&gt;0,"Sensitive account | ","")&amp;IF(AND(MAX(N(E1390),N(F1390))&gt;=Settings!$C$9,MOD(MAX(N(E1390),N(F1390)),Settings!$C$10)=0),"Round amount | ",""))-3)))</f>
        <v/>
      </c>
      <c r="M1390" s="21" t="str">
        <f aca="false">IF(A1390="","",IF(COUNTIF($A$9:A1390,A1390)=1,MAX($M$8:M1389)+1,""))</f>
        <v/>
      </c>
    </row>
    <row r="1391" customFormat="false" ht="15" hidden="false" customHeight="false" outlineLevel="0" collapsed="false">
      <c r="A1391" s="8"/>
      <c r="B1391" s="17"/>
      <c r="C1391" s="19"/>
      <c r="D1391" s="8"/>
      <c r="E1391" s="18"/>
      <c r="F1391" s="18"/>
      <c r="G1391" s="8"/>
      <c r="H1391" s="8"/>
      <c r="I1391" s="8"/>
      <c r="J1391" s="8"/>
      <c r="K1391" s="10" t="str">
        <f aca="false">IF(A1391="","",IF(ABS(SUMIFS($E$9:$E$2008,$A$9:$A$2008,A1391)-SUMIFS($F$9:$F$2008,$A$9:$A$2008,A1391))&lt;0.5,"Yes","No"))</f>
        <v/>
      </c>
      <c r="L1391" s="10" t="str">
        <f aca="false">IF(A1391="","",IF(IF(K1391="No","Does not balance | ","")&amp;IF(I1391="","Not approved | ",IF(UPPER(TRIM(H1391))=UPPER(TRIM(I1391)),"Self-approved | ",""))&amp;IF(J1391="","No support | ","")&amp;IF(WEEKDAY(B1391,2)&gt;5,"Weekend posting | ","")&amp;IF(COUNTIF(Settings!$A$14:$A$43,B1391)&gt;0,"Holiday posting | ","")&amp;IF(B1391&gt;Settings!$C$8,"Posted after close | ","")&amp;IF(OR(B1391&lt;Settings!$C$6,B1391&gt;Settings!$C$7),"Outside period | ","")&amp;IF(COUNTIF(Settings!$E$14:$E$43,C1391&amp;"")&gt;0,"Sensitive account | ","")&amp;IF(AND(MAX(N(E1391),N(F1391))&gt;=Settings!$C$9,MOD(MAX(N(E1391),N(F1391)),Settings!$C$10)=0),"Round amount | ","")="","",LEFT(IF(K1391="No","Does not balance | ","")&amp;IF(I1391="","Not approved | ",IF(UPPER(TRIM(H1391))=UPPER(TRIM(I1391)),"Self-approved | ",""))&amp;IF(J1391="","No support | ","")&amp;IF(WEEKDAY(B1391,2)&gt;5,"Weekend posting | ","")&amp;IF(COUNTIF(Settings!$A$14:$A$43,B1391)&gt;0,"Holiday posting | ","")&amp;IF(B1391&gt;Settings!$C$8,"Posted after close | ","")&amp;IF(OR(B1391&lt;Settings!$C$6,B1391&gt;Settings!$C$7),"Outside period | ","")&amp;IF(COUNTIF(Settings!$E$14:$E$43,C1391&amp;"")&gt;0,"Sensitive account | ","")&amp;IF(AND(MAX(N(E1391),N(F1391))&gt;=Settings!$C$9,MOD(MAX(N(E1391),N(F1391)),Settings!$C$10)=0),"Round amount | ",""),LEN(IF(K1391="No","Does not balance | ","")&amp;IF(I1391="","Not approved | ",IF(UPPER(TRIM(H1391))=UPPER(TRIM(I1391)),"Self-approved | ",""))&amp;IF(J1391="","No support | ","")&amp;IF(WEEKDAY(B1391,2)&gt;5,"Weekend posting | ","")&amp;IF(COUNTIF(Settings!$A$14:$A$43,B1391)&gt;0,"Holiday posting | ","")&amp;IF(B1391&gt;Settings!$C$8,"Posted after close | ","")&amp;IF(OR(B1391&lt;Settings!$C$6,B1391&gt;Settings!$C$7),"Outside period | ","")&amp;IF(COUNTIF(Settings!$E$14:$E$43,C1391&amp;"")&gt;0,"Sensitive account | ","")&amp;IF(AND(MAX(N(E1391),N(F1391))&gt;=Settings!$C$9,MOD(MAX(N(E1391),N(F1391)),Settings!$C$10)=0),"Round amount | ",""))-3)))</f>
        <v/>
      </c>
      <c r="M1391" s="21" t="str">
        <f aca="false">IF(A1391="","",IF(COUNTIF($A$9:A1391,A1391)=1,MAX($M$8:M1390)+1,""))</f>
        <v/>
      </c>
    </row>
    <row r="1392" customFormat="false" ht="15" hidden="false" customHeight="false" outlineLevel="0" collapsed="false">
      <c r="A1392" s="8"/>
      <c r="B1392" s="17"/>
      <c r="C1392" s="19"/>
      <c r="D1392" s="8"/>
      <c r="E1392" s="18"/>
      <c r="F1392" s="18"/>
      <c r="G1392" s="8"/>
      <c r="H1392" s="8"/>
      <c r="I1392" s="8"/>
      <c r="J1392" s="8"/>
      <c r="K1392" s="10" t="str">
        <f aca="false">IF(A1392="","",IF(ABS(SUMIFS($E$9:$E$2008,$A$9:$A$2008,A1392)-SUMIFS($F$9:$F$2008,$A$9:$A$2008,A1392))&lt;0.5,"Yes","No"))</f>
        <v/>
      </c>
      <c r="L1392" s="10" t="str">
        <f aca="false">IF(A1392="","",IF(IF(K1392="No","Does not balance | ","")&amp;IF(I1392="","Not approved | ",IF(UPPER(TRIM(H1392))=UPPER(TRIM(I1392)),"Self-approved | ",""))&amp;IF(J1392="","No support | ","")&amp;IF(WEEKDAY(B1392,2)&gt;5,"Weekend posting | ","")&amp;IF(COUNTIF(Settings!$A$14:$A$43,B1392)&gt;0,"Holiday posting | ","")&amp;IF(B1392&gt;Settings!$C$8,"Posted after close | ","")&amp;IF(OR(B1392&lt;Settings!$C$6,B1392&gt;Settings!$C$7),"Outside period | ","")&amp;IF(COUNTIF(Settings!$E$14:$E$43,C1392&amp;"")&gt;0,"Sensitive account | ","")&amp;IF(AND(MAX(N(E1392),N(F1392))&gt;=Settings!$C$9,MOD(MAX(N(E1392),N(F1392)),Settings!$C$10)=0),"Round amount | ","")="","",LEFT(IF(K1392="No","Does not balance | ","")&amp;IF(I1392="","Not approved | ",IF(UPPER(TRIM(H1392))=UPPER(TRIM(I1392)),"Self-approved | ",""))&amp;IF(J1392="","No support | ","")&amp;IF(WEEKDAY(B1392,2)&gt;5,"Weekend posting | ","")&amp;IF(COUNTIF(Settings!$A$14:$A$43,B1392)&gt;0,"Holiday posting | ","")&amp;IF(B1392&gt;Settings!$C$8,"Posted after close | ","")&amp;IF(OR(B1392&lt;Settings!$C$6,B1392&gt;Settings!$C$7),"Outside period | ","")&amp;IF(COUNTIF(Settings!$E$14:$E$43,C1392&amp;"")&gt;0,"Sensitive account | ","")&amp;IF(AND(MAX(N(E1392),N(F1392))&gt;=Settings!$C$9,MOD(MAX(N(E1392),N(F1392)),Settings!$C$10)=0),"Round amount | ",""),LEN(IF(K1392="No","Does not balance | ","")&amp;IF(I1392="","Not approved | ",IF(UPPER(TRIM(H1392))=UPPER(TRIM(I1392)),"Self-approved | ",""))&amp;IF(J1392="","No support | ","")&amp;IF(WEEKDAY(B1392,2)&gt;5,"Weekend posting | ","")&amp;IF(COUNTIF(Settings!$A$14:$A$43,B1392)&gt;0,"Holiday posting | ","")&amp;IF(B1392&gt;Settings!$C$8,"Posted after close | ","")&amp;IF(OR(B1392&lt;Settings!$C$6,B1392&gt;Settings!$C$7),"Outside period | ","")&amp;IF(COUNTIF(Settings!$E$14:$E$43,C1392&amp;"")&gt;0,"Sensitive account | ","")&amp;IF(AND(MAX(N(E1392),N(F1392))&gt;=Settings!$C$9,MOD(MAX(N(E1392),N(F1392)),Settings!$C$10)=0),"Round amount | ",""))-3)))</f>
        <v/>
      </c>
      <c r="M1392" s="21" t="str">
        <f aca="false">IF(A1392="","",IF(COUNTIF($A$9:A1392,A1392)=1,MAX($M$8:M1391)+1,""))</f>
        <v/>
      </c>
    </row>
    <row r="1393" customFormat="false" ht="15" hidden="false" customHeight="false" outlineLevel="0" collapsed="false">
      <c r="A1393" s="8"/>
      <c r="B1393" s="17"/>
      <c r="C1393" s="19"/>
      <c r="D1393" s="8"/>
      <c r="E1393" s="18"/>
      <c r="F1393" s="18"/>
      <c r="G1393" s="8"/>
      <c r="H1393" s="8"/>
      <c r="I1393" s="8"/>
      <c r="J1393" s="8"/>
      <c r="K1393" s="10" t="str">
        <f aca="false">IF(A1393="","",IF(ABS(SUMIFS($E$9:$E$2008,$A$9:$A$2008,A1393)-SUMIFS($F$9:$F$2008,$A$9:$A$2008,A1393))&lt;0.5,"Yes","No"))</f>
        <v/>
      </c>
      <c r="L1393" s="10" t="str">
        <f aca="false">IF(A1393="","",IF(IF(K1393="No","Does not balance | ","")&amp;IF(I1393="","Not approved | ",IF(UPPER(TRIM(H1393))=UPPER(TRIM(I1393)),"Self-approved | ",""))&amp;IF(J1393="","No support | ","")&amp;IF(WEEKDAY(B1393,2)&gt;5,"Weekend posting | ","")&amp;IF(COUNTIF(Settings!$A$14:$A$43,B1393)&gt;0,"Holiday posting | ","")&amp;IF(B1393&gt;Settings!$C$8,"Posted after close | ","")&amp;IF(OR(B1393&lt;Settings!$C$6,B1393&gt;Settings!$C$7),"Outside period | ","")&amp;IF(COUNTIF(Settings!$E$14:$E$43,C1393&amp;"")&gt;0,"Sensitive account | ","")&amp;IF(AND(MAX(N(E1393),N(F1393))&gt;=Settings!$C$9,MOD(MAX(N(E1393),N(F1393)),Settings!$C$10)=0),"Round amount | ","")="","",LEFT(IF(K1393="No","Does not balance | ","")&amp;IF(I1393="","Not approved | ",IF(UPPER(TRIM(H1393))=UPPER(TRIM(I1393)),"Self-approved | ",""))&amp;IF(J1393="","No support | ","")&amp;IF(WEEKDAY(B1393,2)&gt;5,"Weekend posting | ","")&amp;IF(COUNTIF(Settings!$A$14:$A$43,B1393)&gt;0,"Holiday posting | ","")&amp;IF(B1393&gt;Settings!$C$8,"Posted after close | ","")&amp;IF(OR(B1393&lt;Settings!$C$6,B1393&gt;Settings!$C$7),"Outside period | ","")&amp;IF(COUNTIF(Settings!$E$14:$E$43,C1393&amp;"")&gt;0,"Sensitive account | ","")&amp;IF(AND(MAX(N(E1393),N(F1393))&gt;=Settings!$C$9,MOD(MAX(N(E1393),N(F1393)),Settings!$C$10)=0),"Round amount | ",""),LEN(IF(K1393="No","Does not balance | ","")&amp;IF(I1393="","Not approved | ",IF(UPPER(TRIM(H1393))=UPPER(TRIM(I1393)),"Self-approved | ",""))&amp;IF(J1393="","No support | ","")&amp;IF(WEEKDAY(B1393,2)&gt;5,"Weekend posting | ","")&amp;IF(COUNTIF(Settings!$A$14:$A$43,B1393)&gt;0,"Holiday posting | ","")&amp;IF(B1393&gt;Settings!$C$8,"Posted after close | ","")&amp;IF(OR(B1393&lt;Settings!$C$6,B1393&gt;Settings!$C$7),"Outside period | ","")&amp;IF(COUNTIF(Settings!$E$14:$E$43,C1393&amp;"")&gt;0,"Sensitive account | ","")&amp;IF(AND(MAX(N(E1393),N(F1393))&gt;=Settings!$C$9,MOD(MAX(N(E1393),N(F1393)),Settings!$C$10)=0),"Round amount | ",""))-3)))</f>
        <v/>
      </c>
      <c r="M1393" s="21" t="str">
        <f aca="false">IF(A1393="","",IF(COUNTIF($A$9:A1393,A1393)=1,MAX($M$8:M1392)+1,""))</f>
        <v/>
      </c>
    </row>
    <row r="1394" customFormat="false" ht="15" hidden="false" customHeight="false" outlineLevel="0" collapsed="false">
      <c r="A1394" s="8"/>
      <c r="B1394" s="17"/>
      <c r="C1394" s="19"/>
      <c r="D1394" s="8"/>
      <c r="E1394" s="18"/>
      <c r="F1394" s="18"/>
      <c r="G1394" s="8"/>
      <c r="H1394" s="8"/>
      <c r="I1394" s="8"/>
      <c r="J1394" s="8"/>
      <c r="K1394" s="10" t="str">
        <f aca="false">IF(A1394="","",IF(ABS(SUMIFS($E$9:$E$2008,$A$9:$A$2008,A1394)-SUMIFS($F$9:$F$2008,$A$9:$A$2008,A1394))&lt;0.5,"Yes","No"))</f>
        <v/>
      </c>
      <c r="L1394" s="10" t="str">
        <f aca="false">IF(A1394="","",IF(IF(K1394="No","Does not balance | ","")&amp;IF(I1394="","Not approved | ",IF(UPPER(TRIM(H1394))=UPPER(TRIM(I1394)),"Self-approved | ",""))&amp;IF(J1394="","No support | ","")&amp;IF(WEEKDAY(B1394,2)&gt;5,"Weekend posting | ","")&amp;IF(COUNTIF(Settings!$A$14:$A$43,B1394)&gt;0,"Holiday posting | ","")&amp;IF(B1394&gt;Settings!$C$8,"Posted after close | ","")&amp;IF(OR(B1394&lt;Settings!$C$6,B1394&gt;Settings!$C$7),"Outside period | ","")&amp;IF(COUNTIF(Settings!$E$14:$E$43,C1394&amp;"")&gt;0,"Sensitive account | ","")&amp;IF(AND(MAX(N(E1394),N(F1394))&gt;=Settings!$C$9,MOD(MAX(N(E1394),N(F1394)),Settings!$C$10)=0),"Round amount | ","")="","",LEFT(IF(K1394="No","Does not balance | ","")&amp;IF(I1394="","Not approved | ",IF(UPPER(TRIM(H1394))=UPPER(TRIM(I1394)),"Self-approved | ",""))&amp;IF(J1394="","No support | ","")&amp;IF(WEEKDAY(B1394,2)&gt;5,"Weekend posting | ","")&amp;IF(COUNTIF(Settings!$A$14:$A$43,B1394)&gt;0,"Holiday posting | ","")&amp;IF(B1394&gt;Settings!$C$8,"Posted after close | ","")&amp;IF(OR(B1394&lt;Settings!$C$6,B1394&gt;Settings!$C$7),"Outside period | ","")&amp;IF(COUNTIF(Settings!$E$14:$E$43,C1394&amp;"")&gt;0,"Sensitive account | ","")&amp;IF(AND(MAX(N(E1394),N(F1394))&gt;=Settings!$C$9,MOD(MAX(N(E1394),N(F1394)),Settings!$C$10)=0),"Round amount | ",""),LEN(IF(K1394="No","Does not balance | ","")&amp;IF(I1394="","Not approved | ",IF(UPPER(TRIM(H1394))=UPPER(TRIM(I1394)),"Self-approved | ",""))&amp;IF(J1394="","No support | ","")&amp;IF(WEEKDAY(B1394,2)&gt;5,"Weekend posting | ","")&amp;IF(COUNTIF(Settings!$A$14:$A$43,B1394)&gt;0,"Holiday posting | ","")&amp;IF(B1394&gt;Settings!$C$8,"Posted after close | ","")&amp;IF(OR(B1394&lt;Settings!$C$6,B1394&gt;Settings!$C$7),"Outside period | ","")&amp;IF(COUNTIF(Settings!$E$14:$E$43,C1394&amp;"")&gt;0,"Sensitive account | ","")&amp;IF(AND(MAX(N(E1394),N(F1394))&gt;=Settings!$C$9,MOD(MAX(N(E1394),N(F1394)),Settings!$C$10)=0),"Round amount | ",""))-3)))</f>
        <v/>
      </c>
      <c r="M1394" s="21" t="str">
        <f aca="false">IF(A1394="","",IF(COUNTIF($A$9:A1394,A1394)=1,MAX($M$8:M1393)+1,""))</f>
        <v/>
      </c>
    </row>
    <row r="1395" customFormat="false" ht="15" hidden="false" customHeight="false" outlineLevel="0" collapsed="false">
      <c r="A1395" s="8"/>
      <c r="B1395" s="17"/>
      <c r="C1395" s="19"/>
      <c r="D1395" s="8"/>
      <c r="E1395" s="18"/>
      <c r="F1395" s="18"/>
      <c r="G1395" s="8"/>
      <c r="H1395" s="8"/>
      <c r="I1395" s="8"/>
      <c r="J1395" s="8"/>
      <c r="K1395" s="10" t="str">
        <f aca="false">IF(A1395="","",IF(ABS(SUMIFS($E$9:$E$2008,$A$9:$A$2008,A1395)-SUMIFS($F$9:$F$2008,$A$9:$A$2008,A1395))&lt;0.5,"Yes","No"))</f>
        <v/>
      </c>
      <c r="L1395" s="10" t="str">
        <f aca="false">IF(A1395="","",IF(IF(K1395="No","Does not balance | ","")&amp;IF(I1395="","Not approved | ",IF(UPPER(TRIM(H1395))=UPPER(TRIM(I1395)),"Self-approved | ",""))&amp;IF(J1395="","No support | ","")&amp;IF(WEEKDAY(B1395,2)&gt;5,"Weekend posting | ","")&amp;IF(COUNTIF(Settings!$A$14:$A$43,B1395)&gt;0,"Holiday posting | ","")&amp;IF(B1395&gt;Settings!$C$8,"Posted after close | ","")&amp;IF(OR(B1395&lt;Settings!$C$6,B1395&gt;Settings!$C$7),"Outside period | ","")&amp;IF(COUNTIF(Settings!$E$14:$E$43,C1395&amp;"")&gt;0,"Sensitive account | ","")&amp;IF(AND(MAX(N(E1395),N(F1395))&gt;=Settings!$C$9,MOD(MAX(N(E1395),N(F1395)),Settings!$C$10)=0),"Round amount | ","")="","",LEFT(IF(K1395="No","Does not balance | ","")&amp;IF(I1395="","Not approved | ",IF(UPPER(TRIM(H1395))=UPPER(TRIM(I1395)),"Self-approved | ",""))&amp;IF(J1395="","No support | ","")&amp;IF(WEEKDAY(B1395,2)&gt;5,"Weekend posting | ","")&amp;IF(COUNTIF(Settings!$A$14:$A$43,B1395)&gt;0,"Holiday posting | ","")&amp;IF(B1395&gt;Settings!$C$8,"Posted after close | ","")&amp;IF(OR(B1395&lt;Settings!$C$6,B1395&gt;Settings!$C$7),"Outside period | ","")&amp;IF(COUNTIF(Settings!$E$14:$E$43,C1395&amp;"")&gt;0,"Sensitive account | ","")&amp;IF(AND(MAX(N(E1395),N(F1395))&gt;=Settings!$C$9,MOD(MAX(N(E1395),N(F1395)),Settings!$C$10)=0),"Round amount | ",""),LEN(IF(K1395="No","Does not balance | ","")&amp;IF(I1395="","Not approved | ",IF(UPPER(TRIM(H1395))=UPPER(TRIM(I1395)),"Self-approved | ",""))&amp;IF(J1395="","No support | ","")&amp;IF(WEEKDAY(B1395,2)&gt;5,"Weekend posting | ","")&amp;IF(COUNTIF(Settings!$A$14:$A$43,B1395)&gt;0,"Holiday posting | ","")&amp;IF(B1395&gt;Settings!$C$8,"Posted after close | ","")&amp;IF(OR(B1395&lt;Settings!$C$6,B1395&gt;Settings!$C$7),"Outside period | ","")&amp;IF(COUNTIF(Settings!$E$14:$E$43,C1395&amp;"")&gt;0,"Sensitive account | ","")&amp;IF(AND(MAX(N(E1395),N(F1395))&gt;=Settings!$C$9,MOD(MAX(N(E1395),N(F1395)),Settings!$C$10)=0),"Round amount | ",""))-3)))</f>
        <v/>
      </c>
      <c r="M1395" s="21" t="str">
        <f aca="false">IF(A1395="","",IF(COUNTIF($A$9:A1395,A1395)=1,MAX($M$8:M1394)+1,""))</f>
        <v/>
      </c>
    </row>
    <row r="1396" customFormat="false" ht="15" hidden="false" customHeight="false" outlineLevel="0" collapsed="false">
      <c r="A1396" s="8"/>
      <c r="B1396" s="17"/>
      <c r="C1396" s="19"/>
      <c r="D1396" s="8"/>
      <c r="E1396" s="18"/>
      <c r="F1396" s="18"/>
      <c r="G1396" s="8"/>
      <c r="H1396" s="8"/>
      <c r="I1396" s="8"/>
      <c r="J1396" s="8"/>
      <c r="K1396" s="10" t="str">
        <f aca="false">IF(A1396="","",IF(ABS(SUMIFS($E$9:$E$2008,$A$9:$A$2008,A1396)-SUMIFS($F$9:$F$2008,$A$9:$A$2008,A1396))&lt;0.5,"Yes","No"))</f>
        <v/>
      </c>
      <c r="L1396" s="10" t="str">
        <f aca="false">IF(A1396="","",IF(IF(K1396="No","Does not balance | ","")&amp;IF(I1396="","Not approved | ",IF(UPPER(TRIM(H1396))=UPPER(TRIM(I1396)),"Self-approved | ",""))&amp;IF(J1396="","No support | ","")&amp;IF(WEEKDAY(B1396,2)&gt;5,"Weekend posting | ","")&amp;IF(COUNTIF(Settings!$A$14:$A$43,B1396)&gt;0,"Holiday posting | ","")&amp;IF(B1396&gt;Settings!$C$8,"Posted after close | ","")&amp;IF(OR(B1396&lt;Settings!$C$6,B1396&gt;Settings!$C$7),"Outside period | ","")&amp;IF(COUNTIF(Settings!$E$14:$E$43,C1396&amp;"")&gt;0,"Sensitive account | ","")&amp;IF(AND(MAX(N(E1396),N(F1396))&gt;=Settings!$C$9,MOD(MAX(N(E1396),N(F1396)),Settings!$C$10)=0),"Round amount | ","")="","",LEFT(IF(K1396="No","Does not balance | ","")&amp;IF(I1396="","Not approved | ",IF(UPPER(TRIM(H1396))=UPPER(TRIM(I1396)),"Self-approved | ",""))&amp;IF(J1396="","No support | ","")&amp;IF(WEEKDAY(B1396,2)&gt;5,"Weekend posting | ","")&amp;IF(COUNTIF(Settings!$A$14:$A$43,B1396)&gt;0,"Holiday posting | ","")&amp;IF(B1396&gt;Settings!$C$8,"Posted after close | ","")&amp;IF(OR(B1396&lt;Settings!$C$6,B1396&gt;Settings!$C$7),"Outside period | ","")&amp;IF(COUNTIF(Settings!$E$14:$E$43,C1396&amp;"")&gt;0,"Sensitive account | ","")&amp;IF(AND(MAX(N(E1396),N(F1396))&gt;=Settings!$C$9,MOD(MAX(N(E1396),N(F1396)),Settings!$C$10)=0),"Round amount | ",""),LEN(IF(K1396="No","Does not balance | ","")&amp;IF(I1396="","Not approved | ",IF(UPPER(TRIM(H1396))=UPPER(TRIM(I1396)),"Self-approved | ",""))&amp;IF(J1396="","No support | ","")&amp;IF(WEEKDAY(B1396,2)&gt;5,"Weekend posting | ","")&amp;IF(COUNTIF(Settings!$A$14:$A$43,B1396)&gt;0,"Holiday posting | ","")&amp;IF(B1396&gt;Settings!$C$8,"Posted after close | ","")&amp;IF(OR(B1396&lt;Settings!$C$6,B1396&gt;Settings!$C$7),"Outside period | ","")&amp;IF(COUNTIF(Settings!$E$14:$E$43,C1396&amp;"")&gt;0,"Sensitive account | ","")&amp;IF(AND(MAX(N(E1396),N(F1396))&gt;=Settings!$C$9,MOD(MAX(N(E1396),N(F1396)),Settings!$C$10)=0),"Round amount | ",""))-3)))</f>
        <v/>
      </c>
      <c r="M1396" s="21" t="str">
        <f aca="false">IF(A1396="","",IF(COUNTIF($A$9:A1396,A1396)=1,MAX($M$8:M1395)+1,""))</f>
        <v/>
      </c>
    </row>
    <row r="1397" customFormat="false" ht="15" hidden="false" customHeight="false" outlineLevel="0" collapsed="false">
      <c r="A1397" s="8"/>
      <c r="B1397" s="17"/>
      <c r="C1397" s="19"/>
      <c r="D1397" s="8"/>
      <c r="E1397" s="18"/>
      <c r="F1397" s="18"/>
      <c r="G1397" s="8"/>
      <c r="H1397" s="8"/>
      <c r="I1397" s="8"/>
      <c r="J1397" s="8"/>
      <c r="K1397" s="10" t="str">
        <f aca="false">IF(A1397="","",IF(ABS(SUMIFS($E$9:$E$2008,$A$9:$A$2008,A1397)-SUMIFS($F$9:$F$2008,$A$9:$A$2008,A1397))&lt;0.5,"Yes","No"))</f>
        <v/>
      </c>
      <c r="L1397" s="10" t="str">
        <f aca="false">IF(A1397="","",IF(IF(K1397="No","Does not balance | ","")&amp;IF(I1397="","Not approved | ",IF(UPPER(TRIM(H1397))=UPPER(TRIM(I1397)),"Self-approved | ",""))&amp;IF(J1397="","No support | ","")&amp;IF(WEEKDAY(B1397,2)&gt;5,"Weekend posting | ","")&amp;IF(COUNTIF(Settings!$A$14:$A$43,B1397)&gt;0,"Holiday posting | ","")&amp;IF(B1397&gt;Settings!$C$8,"Posted after close | ","")&amp;IF(OR(B1397&lt;Settings!$C$6,B1397&gt;Settings!$C$7),"Outside period | ","")&amp;IF(COUNTIF(Settings!$E$14:$E$43,C1397&amp;"")&gt;0,"Sensitive account | ","")&amp;IF(AND(MAX(N(E1397),N(F1397))&gt;=Settings!$C$9,MOD(MAX(N(E1397),N(F1397)),Settings!$C$10)=0),"Round amount | ","")="","",LEFT(IF(K1397="No","Does not balance | ","")&amp;IF(I1397="","Not approved | ",IF(UPPER(TRIM(H1397))=UPPER(TRIM(I1397)),"Self-approved | ",""))&amp;IF(J1397="","No support | ","")&amp;IF(WEEKDAY(B1397,2)&gt;5,"Weekend posting | ","")&amp;IF(COUNTIF(Settings!$A$14:$A$43,B1397)&gt;0,"Holiday posting | ","")&amp;IF(B1397&gt;Settings!$C$8,"Posted after close | ","")&amp;IF(OR(B1397&lt;Settings!$C$6,B1397&gt;Settings!$C$7),"Outside period | ","")&amp;IF(COUNTIF(Settings!$E$14:$E$43,C1397&amp;"")&gt;0,"Sensitive account | ","")&amp;IF(AND(MAX(N(E1397),N(F1397))&gt;=Settings!$C$9,MOD(MAX(N(E1397),N(F1397)),Settings!$C$10)=0),"Round amount | ",""),LEN(IF(K1397="No","Does not balance | ","")&amp;IF(I1397="","Not approved | ",IF(UPPER(TRIM(H1397))=UPPER(TRIM(I1397)),"Self-approved | ",""))&amp;IF(J1397="","No support | ","")&amp;IF(WEEKDAY(B1397,2)&gt;5,"Weekend posting | ","")&amp;IF(COUNTIF(Settings!$A$14:$A$43,B1397)&gt;0,"Holiday posting | ","")&amp;IF(B1397&gt;Settings!$C$8,"Posted after close | ","")&amp;IF(OR(B1397&lt;Settings!$C$6,B1397&gt;Settings!$C$7),"Outside period | ","")&amp;IF(COUNTIF(Settings!$E$14:$E$43,C1397&amp;"")&gt;0,"Sensitive account | ","")&amp;IF(AND(MAX(N(E1397),N(F1397))&gt;=Settings!$C$9,MOD(MAX(N(E1397),N(F1397)),Settings!$C$10)=0),"Round amount | ",""))-3)))</f>
        <v/>
      </c>
      <c r="M1397" s="21" t="str">
        <f aca="false">IF(A1397="","",IF(COUNTIF($A$9:A1397,A1397)=1,MAX($M$8:M1396)+1,""))</f>
        <v/>
      </c>
    </row>
    <row r="1398" customFormat="false" ht="15" hidden="false" customHeight="false" outlineLevel="0" collapsed="false">
      <c r="A1398" s="8"/>
      <c r="B1398" s="17"/>
      <c r="C1398" s="19"/>
      <c r="D1398" s="8"/>
      <c r="E1398" s="18"/>
      <c r="F1398" s="18"/>
      <c r="G1398" s="8"/>
      <c r="H1398" s="8"/>
      <c r="I1398" s="8"/>
      <c r="J1398" s="8"/>
      <c r="K1398" s="10" t="str">
        <f aca="false">IF(A1398="","",IF(ABS(SUMIFS($E$9:$E$2008,$A$9:$A$2008,A1398)-SUMIFS($F$9:$F$2008,$A$9:$A$2008,A1398))&lt;0.5,"Yes","No"))</f>
        <v/>
      </c>
      <c r="L1398" s="10" t="str">
        <f aca="false">IF(A1398="","",IF(IF(K1398="No","Does not balance | ","")&amp;IF(I1398="","Not approved | ",IF(UPPER(TRIM(H1398))=UPPER(TRIM(I1398)),"Self-approved | ",""))&amp;IF(J1398="","No support | ","")&amp;IF(WEEKDAY(B1398,2)&gt;5,"Weekend posting | ","")&amp;IF(COUNTIF(Settings!$A$14:$A$43,B1398)&gt;0,"Holiday posting | ","")&amp;IF(B1398&gt;Settings!$C$8,"Posted after close | ","")&amp;IF(OR(B1398&lt;Settings!$C$6,B1398&gt;Settings!$C$7),"Outside period | ","")&amp;IF(COUNTIF(Settings!$E$14:$E$43,C1398&amp;"")&gt;0,"Sensitive account | ","")&amp;IF(AND(MAX(N(E1398),N(F1398))&gt;=Settings!$C$9,MOD(MAX(N(E1398),N(F1398)),Settings!$C$10)=0),"Round amount | ","")="","",LEFT(IF(K1398="No","Does not balance | ","")&amp;IF(I1398="","Not approved | ",IF(UPPER(TRIM(H1398))=UPPER(TRIM(I1398)),"Self-approved | ",""))&amp;IF(J1398="","No support | ","")&amp;IF(WEEKDAY(B1398,2)&gt;5,"Weekend posting | ","")&amp;IF(COUNTIF(Settings!$A$14:$A$43,B1398)&gt;0,"Holiday posting | ","")&amp;IF(B1398&gt;Settings!$C$8,"Posted after close | ","")&amp;IF(OR(B1398&lt;Settings!$C$6,B1398&gt;Settings!$C$7),"Outside period | ","")&amp;IF(COUNTIF(Settings!$E$14:$E$43,C1398&amp;"")&gt;0,"Sensitive account | ","")&amp;IF(AND(MAX(N(E1398),N(F1398))&gt;=Settings!$C$9,MOD(MAX(N(E1398),N(F1398)),Settings!$C$10)=0),"Round amount | ",""),LEN(IF(K1398="No","Does not balance | ","")&amp;IF(I1398="","Not approved | ",IF(UPPER(TRIM(H1398))=UPPER(TRIM(I1398)),"Self-approved | ",""))&amp;IF(J1398="","No support | ","")&amp;IF(WEEKDAY(B1398,2)&gt;5,"Weekend posting | ","")&amp;IF(COUNTIF(Settings!$A$14:$A$43,B1398)&gt;0,"Holiday posting | ","")&amp;IF(B1398&gt;Settings!$C$8,"Posted after close | ","")&amp;IF(OR(B1398&lt;Settings!$C$6,B1398&gt;Settings!$C$7),"Outside period | ","")&amp;IF(COUNTIF(Settings!$E$14:$E$43,C1398&amp;"")&gt;0,"Sensitive account | ","")&amp;IF(AND(MAX(N(E1398),N(F1398))&gt;=Settings!$C$9,MOD(MAX(N(E1398),N(F1398)),Settings!$C$10)=0),"Round amount | ",""))-3)))</f>
        <v/>
      </c>
      <c r="M1398" s="21" t="str">
        <f aca="false">IF(A1398="","",IF(COUNTIF($A$9:A1398,A1398)=1,MAX($M$8:M1397)+1,""))</f>
        <v/>
      </c>
    </row>
    <row r="1399" customFormat="false" ht="15" hidden="false" customHeight="false" outlineLevel="0" collapsed="false">
      <c r="A1399" s="8"/>
      <c r="B1399" s="17"/>
      <c r="C1399" s="19"/>
      <c r="D1399" s="8"/>
      <c r="E1399" s="18"/>
      <c r="F1399" s="18"/>
      <c r="G1399" s="8"/>
      <c r="H1399" s="8"/>
      <c r="I1399" s="8"/>
      <c r="J1399" s="8"/>
      <c r="K1399" s="10" t="str">
        <f aca="false">IF(A1399="","",IF(ABS(SUMIFS($E$9:$E$2008,$A$9:$A$2008,A1399)-SUMIFS($F$9:$F$2008,$A$9:$A$2008,A1399))&lt;0.5,"Yes","No"))</f>
        <v/>
      </c>
      <c r="L1399" s="10" t="str">
        <f aca="false">IF(A1399="","",IF(IF(K1399="No","Does not balance | ","")&amp;IF(I1399="","Not approved | ",IF(UPPER(TRIM(H1399))=UPPER(TRIM(I1399)),"Self-approved | ",""))&amp;IF(J1399="","No support | ","")&amp;IF(WEEKDAY(B1399,2)&gt;5,"Weekend posting | ","")&amp;IF(COUNTIF(Settings!$A$14:$A$43,B1399)&gt;0,"Holiday posting | ","")&amp;IF(B1399&gt;Settings!$C$8,"Posted after close | ","")&amp;IF(OR(B1399&lt;Settings!$C$6,B1399&gt;Settings!$C$7),"Outside period | ","")&amp;IF(COUNTIF(Settings!$E$14:$E$43,C1399&amp;"")&gt;0,"Sensitive account | ","")&amp;IF(AND(MAX(N(E1399),N(F1399))&gt;=Settings!$C$9,MOD(MAX(N(E1399),N(F1399)),Settings!$C$10)=0),"Round amount | ","")="","",LEFT(IF(K1399="No","Does not balance | ","")&amp;IF(I1399="","Not approved | ",IF(UPPER(TRIM(H1399))=UPPER(TRIM(I1399)),"Self-approved | ",""))&amp;IF(J1399="","No support | ","")&amp;IF(WEEKDAY(B1399,2)&gt;5,"Weekend posting | ","")&amp;IF(COUNTIF(Settings!$A$14:$A$43,B1399)&gt;0,"Holiday posting | ","")&amp;IF(B1399&gt;Settings!$C$8,"Posted after close | ","")&amp;IF(OR(B1399&lt;Settings!$C$6,B1399&gt;Settings!$C$7),"Outside period | ","")&amp;IF(COUNTIF(Settings!$E$14:$E$43,C1399&amp;"")&gt;0,"Sensitive account | ","")&amp;IF(AND(MAX(N(E1399),N(F1399))&gt;=Settings!$C$9,MOD(MAX(N(E1399),N(F1399)),Settings!$C$10)=0),"Round amount | ",""),LEN(IF(K1399="No","Does not balance | ","")&amp;IF(I1399="","Not approved | ",IF(UPPER(TRIM(H1399))=UPPER(TRIM(I1399)),"Self-approved | ",""))&amp;IF(J1399="","No support | ","")&amp;IF(WEEKDAY(B1399,2)&gt;5,"Weekend posting | ","")&amp;IF(COUNTIF(Settings!$A$14:$A$43,B1399)&gt;0,"Holiday posting | ","")&amp;IF(B1399&gt;Settings!$C$8,"Posted after close | ","")&amp;IF(OR(B1399&lt;Settings!$C$6,B1399&gt;Settings!$C$7),"Outside period | ","")&amp;IF(COUNTIF(Settings!$E$14:$E$43,C1399&amp;"")&gt;0,"Sensitive account | ","")&amp;IF(AND(MAX(N(E1399),N(F1399))&gt;=Settings!$C$9,MOD(MAX(N(E1399),N(F1399)),Settings!$C$10)=0),"Round amount | ",""))-3)))</f>
        <v/>
      </c>
      <c r="M1399" s="21" t="str">
        <f aca="false">IF(A1399="","",IF(COUNTIF($A$9:A1399,A1399)=1,MAX($M$8:M1398)+1,""))</f>
        <v/>
      </c>
    </row>
    <row r="1400" customFormat="false" ht="15" hidden="false" customHeight="false" outlineLevel="0" collapsed="false">
      <c r="A1400" s="8"/>
      <c r="B1400" s="17"/>
      <c r="C1400" s="19"/>
      <c r="D1400" s="8"/>
      <c r="E1400" s="18"/>
      <c r="F1400" s="18"/>
      <c r="G1400" s="8"/>
      <c r="H1400" s="8"/>
      <c r="I1400" s="8"/>
      <c r="J1400" s="8"/>
      <c r="K1400" s="10" t="str">
        <f aca="false">IF(A1400="","",IF(ABS(SUMIFS($E$9:$E$2008,$A$9:$A$2008,A1400)-SUMIFS($F$9:$F$2008,$A$9:$A$2008,A1400))&lt;0.5,"Yes","No"))</f>
        <v/>
      </c>
      <c r="L1400" s="10" t="str">
        <f aca="false">IF(A1400="","",IF(IF(K1400="No","Does not balance | ","")&amp;IF(I1400="","Not approved | ",IF(UPPER(TRIM(H1400))=UPPER(TRIM(I1400)),"Self-approved | ",""))&amp;IF(J1400="","No support | ","")&amp;IF(WEEKDAY(B1400,2)&gt;5,"Weekend posting | ","")&amp;IF(COUNTIF(Settings!$A$14:$A$43,B1400)&gt;0,"Holiday posting | ","")&amp;IF(B1400&gt;Settings!$C$8,"Posted after close | ","")&amp;IF(OR(B1400&lt;Settings!$C$6,B1400&gt;Settings!$C$7),"Outside period | ","")&amp;IF(COUNTIF(Settings!$E$14:$E$43,C1400&amp;"")&gt;0,"Sensitive account | ","")&amp;IF(AND(MAX(N(E1400),N(F1400))&gt;=Settings!$C$9,MOD(MAX(N(E1400),N(F1400)),Settings!$C$10)=0),"Round amount | ","")="","",LEFT(IF(K1400="No","Does not balance | ","")&amp;IF(I1400="","Not approved | ",IF(UPPER(TRIM(H1400))=UPPER(TRIM(I1400)),"Self-approved | ",""))&amp;IF(J1400="","No support | ","")&amp;IF(WEEKDAY(B1400,2)&gt;5,"Weekend posting | ","")&amp;IF(COUNTIF(Settings!$A$14:$A$43,B1400)&gt;0,"Holiday posting | ","")&amp;IF(B1400&gt;Settings!$C$8,"Posted after close | ","")&amp;IF(OR(B1400&lt;Settings!$C$6,B1400&gt;Settings!$C$7),"Outside period | ","")&amp;IF(COUNTIF(Settings!$E$14:$E$43,C1400&amp;"")&gt;0,"Sensitive account | ","")&amp;IF(AND(MAX(N(E1400),N(F1400))&gt;=Settings!$C$9,MOD(MAX(N(E1400),N(F1400)),Settings!$C$10)=0),"Round amount | ",""),LEN(IF(K1400="No","Does not balance | ","")&amp;IF(I1400="","Not approved | ",IF(UPPER(TRIM(H1400))=UPPER(TRIM(I1400)),"Self-approved | ",""))&amp;IF(J1400="","No support | ","")&amp;IF(WEEKDAY(B1400,2)&gt;5,"Weekend posting | ","")&amp;IF(COUNTIF(Settings!$A$14:$A$43,B1400)&gt;0,"Holiday posting | ","")&amp;IF(B1400&gt;Settings!$C$8,"Posted after close | ","")&amp;IF(OR(B1400&lt;Settings!$C$6,B1400&gt;Settings!$C$7),"Outside period | ","")&amp;IF(COUNTIF(Settings!$E$14:$E$43,C1400&amp;"")&gt;0,"Sensitive account | ","")&amp;IF(AND(MAX(N(E1400),N(F1400))&gt;=Settings!$C$9,MOD(MAX(N(E1400),N(F1400)),Settings!$C$10)=0),"Round amount | ",""))-3)))</f>
        <v/>
      </c>
      <c r="M1400" s="21" t="str">
        <f aca="false">IF(A1400="","",IF(COUNTIF($A$9:A1400,A1400)=1,MAX($M$8:M1399)+1,""))</f>
        <v/>
      </c>
    </row>
    <row r="1401" customFormat="false" ht="15" hidden="false" customHeight="false" outlineLevel="0" collapsed="false">
      <c r="A1401" s="8"/>
      <c r="B1401" s="17"/>
      <c r="C1401" s="19"/>
      <c r="D1401" s="8"/>
      <c r="E1401" s="18"/>
      <c r="F1401" s="18"/>
      <c r="G1401" s="8"/>
      <c r="H1401" s="8"/>
      <c r="I1401" s="8"/>
      <c r="J1401" s="8"/>
      <c r="K1401" s="10" t="str">
        <f aca="false">IF(A1401="","",IF(ABS(SUMIFS($E$9:$E$2008,$A$9:$A$2008,A1401)-SUMIFS($F$9:$F$2008,$A$9:$A$2008,A1401))&lt;0.5,"Yes","No"))</f>
        <v/>
      </c>
      <c r="L1401" s="10" t="str">
        <f aca="false">IF(A1401="","",IF(IF(K1401="No","Does not balance | ","")&amp;IF(I1401="","Not approved | ",IF(UPPER(TRIM(H1401))=UPPER(TRIM(I1401)),"Self-approved | ",""))&amp;IF(J1401="","No support | ","")&amp;IF(WEEKDAY(B1401,2)&gt;5,"Weekend posting | ","")&amp;IF(COUNTIF(Settings!$A$14:$A$43,B1401)&gt;0,"Holiday posting | ","")&amp;IF(B1401&gt;Settings!$C$8,"Posted after close | ","")&amp;IF(OR(B1401&lt;Settings!$C$6,B1401&gt;Settings!$C$7),"Outside period | ","")&amp;IF(COUNTIF(Settings!$E$14:$E$43,C1401&amp;"")&gt;0,"Sensitive account | ","")&amp;IF(AND(MAX(N(E1401),N(F1401))&gt;=Settings!$C$9,MOD(MAX(N(E1401),N(F1401)),Settings!$C$10)=0),"Round amount | ","")="","",LEFT(IF(K1401="No","Does not balance | ","")&amp;IF(I1401="","Not approved | ",IF(UPPER(TRIM(H1401))=UPPER(TRIM(I1401)),"Self-approved | ",""))&amp;IF(J1401="","No support | ","")&amp;IF(WEEKDAY(B1401,2)&gt;5,"Weekend posting | ","")&amp;IF(COUNTIF(Settings!$A$14:$A$43,B1401)&gt;0,"Holiday posting | ","")&amp;IF(B1401&gt;Settings!$C$8,"Posted after close | ","")&amp;IF(OR(B1401&lt;Settings!$C$6,B1401&gt;Settings!$C$7),"Outside period | ","")&amp;IF(COUNTIF(Settings!$E$14:$E$43,C1401&amp;"")&gt;0,"Sensitive account | ","")&amp;IF(AND(MAX(N(E1401),N(F1401))&gt;=Settings!$C$9,MOD(MAX(N(E1401),N(F1401)),Settings!$C$10)=0),"Round amount | ",""),LEN(IF(K1401="No","Does not balance | ","")&amp;IF(I1401="","Not approved | ",IF(UPPER(TRIM(H1401))=UPPER(TRIM(I1401)),"Self-approved | ",""))&amp;IF(J1401="","No support | ","")&amp;IF(WEEKDAY(B1401,2)&gt;5,"Weekend posting | ","")&amp;IF(COUNTIF(Settings!$A$14:$A$43,B1401)&gt;0,"Holiday posting | ","")&amp;IF(B1401&gt;Settings!$C$8,"Posted after close | ","")&amp;IF(OR(B1401&lt;Settings!$C$6,B1401&gt;Settings!$C$7),"Outside period | ","")&amp;IF(COUNTIF(Settings!$E$14:$E$43,C1401&amp;"")&gt;0,"Sensitive account | ","")&amp;IF(AND(MAX(N(E1401),N(F1401))&gt;=Settings!$C$9,MOD(MAX(N(E1401),N(F1401)),Settings!$C$10)=0),"Round amount | ",""))-3)))</f>
        <v/>
      </c>
      <c r="M1401" s="21" t="str">
        <f aca="false">IF(A1401="","",IF(COUNTIF($A$9:A1401,A1401)=1,MAX($M$8:M1400)+1,""))</f>
        <v/>
      </c>
    </row>
    <row r="1402" customFormat="false" ht="15" hidden="false" customHeight="false" outlineLevel="0" collapsed="false">
      <c r="A1402" s="8"/>
      <c r="B1402" s="17"/>
      <c r="C1402" s="19"/>
      <c r="D1402" s="8"/>
      <c r="E1402" s="18"/>
      <c r="F1402" s="18"/>
      <c r="G1402" s="8"/>
      <c r="H1402" s="8"/>
      <c r="I1402" s="8"/>
      <c r="J1402" s="8"/>
      <c r="K1402" s="10" t="str">
        <f aca="false">IF(A1402="","",IF(ABS(SUMIFS($E$9:$E$2008,$A$9:$A$2008,A1402)-SUMIFS($F$9:$F$2008,$A$9:$A$2008,A1402))&lt;0.5,"Yes","No"))</f>
        <v/>
      </c>
      <c r="L1402" s="10" t="str">
        <f aca="false">IF(A1402="","",IF(IF(K1402="No","Does not balance | ","")&amp;IF(I1402="","Not approved | ",IF(UPPER(TRIM(H1402))=UPPER(TRIM(I1402)),"Self-approved | ",""))&amp;IF(J1402="","No support | ","")&amp;IF(WEEKDAY(B1402,2)&gt;5,"Weekend posting | ","")&amp;IF(COUNTIF(Settings!$A$14:$A$43,B1402)&gt;0,"Holiday posting | ","")&amp;IF(B1402&gt;Settings!$C$8,"Posted after close | ","")&amp;IF(OR(B1402&lt;Settings!$C$6,B1402&gt;Settings!$C$7),"Outside period | ","")&amp;IF(COUNTIF(Settings!$E$14:$E$43,C1402&amp;"")&gt;0,"Sensitive account | ","")&amp;IF(AND(MAX(N(E1402),N(F1402))&gt;=Settings!$C$9,MOD(MAX(N(E1402),N(F1402)),Settings!$C$10)=0),"Round amount | ","")="","",LEFT(IF(K1402="No","Does not balance | ","")&amp;IF(I1402="","Not approved | ",IF(UPPER(TRIM(H1402))=UPPER(TRIM(I1402)),"Self-approved | ",""))&amp;IF(J1402="","No support | ","")&amp;IF(WEEKDAY(B1402,2)&gt;5,"Weekend posting | ","")&amp;IF(COUNTIF(Settings!$A$14:$A$43,B1402)&gt;0,"Holiday posting | ","")&amp;IF(B1402&gt;Settings!$C$8,"Posted after close | ","")&amp;IF(OR(B1402&lt;Settings!$C$6,B1402&gt;Settings!$C$7),"Outside period | ","")&amp;IF(COUNTIF(Settings!$E$14:$E$43,C1402&amp;"")&gt;0,"Sensitive account | ","")&amp;IF(AND(MAX(N(E1402),N(F1402))&gt;=Settings!$C$9,MOD(MAX(N(E1402),N(F1402)),Settings!$C$10)=0),"Round amount | ",""),LEN(IF(K1402="No","Does not balance | ","")&amp;IF(I1402="","Not approved | ",IF(UPPER(TRIM(H1402))=UPPER(TRIM(I1402)),"Self-approved | ",""))&amp;IF(J1402="","No support | ","")&amp;IF(WEEKDAY(B1402,2)&gt;5,"Weekend posting | ","")&amp;IF(COUNTIF(Settings!$A$14:$A$43,B1402)&gt;0,"Holiday posting | ","")&amp;IF(B1402&gt;Settings!$C$8,"Posted after close | ","")&amp;IF(OR(B1402&lt;Settings!$C$6,B1402&gt;Settings!$C$7),"Outside period | ","")&amp;IF(COUNTIF(Settings!$E$14:$E$43,C1402&amp;"")&gt;0,"Sensitive account | ","")&amp;IF(AND(MAX(N(E1402),N(F1402))&gt;=Settings!$C$9,MOD(MAX(N(E1402),N(F1402)),Settings!$C$10)=0),"Round amount | ",""))-3)))</f>
        <v/>
      </c>
      <c r="M1402" s="21" t="str">
        <f aca="false">IF(A1402="","",IF(COUNTIF($A$9:A1402,A1402)=1,MAX($M$8:M1401)+1,""))</f>
        <v/>
      </c>
    </row>
    <row r="1403" customFormat="false" ht="15" hidden="false" customHeight="false" outlineLevel="0" collapsed="false">
      <c r="A1403" s="8"/>
      <c r="B1403" s="17"/>
      <c r="C1403" s="19"/>
      <c r="D1403" s="8"/>
      <c r="E1403" s="18"/>
      <c r="F1403" s="18"/>
      <c r="G1403" s="8"/>
      <c r="H1403" s="8"/>
      <c r="I1403" s="8"/>
      <c r="J1403" s="8"/>
      <c r="K1403" s="10" t="str">
        <f aca="false">IF(A1403="","",IF(ABS(SUMIFS($E$9:$E$2008,$A$9:$A$2008,A1403)-SUMIFS($F$9:$F$2008,$A$9:$A$2008,A1403))&lt;0.5,"Yes","No"))</f>
        <v/>
      </c>
      <c r="L1403" s="10" t="str">
        <f aca="false">IF(A1403="","",IF(IF(K1403="No","Does not balance | ","")&amp;IF(I1403="","Not approved | ",IF(UPPER(TRIM(H1403))=UPPER(TRIM(I1403)),"Self-approved | ",""))&amp;IF(J1403="","No support | ","")&amp;IF(WEEKDAY(B1403,2)&gt;5,"Weekend posting | ","")&amp;IF(COUNTIF(Settings!$A$14:$A$43,B1403)&gt;0,"Holiday posting | ","")&amp;IF(B1403&gt;Settings!$C$8,"Posted after close | ","")&amp;IF(OR(B1403&lt;Settings!$C$6,B1403&gt;Settings!$C$7),"Outside period | ","")&amp;IF(COUNTIF(Settings!$E$14:$E$43,C1403&amp;"")&gt;0,"Sensitive account | ","")&amp;IF(AND(MAX(N(E1403),N(F1403))&gt;=Settings!$C$9,MOD(MAX(N(E1403),N(F1403)),Settings!$C$10)=0),"Round amount | ","")="","",LEFT(IF(K1403="No","Does not balance | ","")&amp;IF(I1403="","Not approved | ",IF(UPPER(TRIM(H1403))=UPPER(TRIM(I1403)),"Self-approved | ",""))&amp;IF(J1403="","No support | ","")&amp;IF(WEEKDAY(B1403,2)&gt;5,"Weekend posting | ","")&amp;IF(COUNTIF(Settings!$A$14:$A$43,B1403)&gt;0,"Holiday posting | ","")&amp;IF(B1403&gt;Settings!$C$8,"Posted after close | ","")&amp;IF(OR(B1403&lt;Settings!$C$6,B1403&gt;Settings!$C$7),"Outside period | ","")&amp;IF(COUNTIF(Settings!$E$14:$E$43,C1403&amp;"")&gt;0,"Sensitive account | ","")&amp;IF(AND(MAX(N(E1403),N(F1403))&gt;=Settings!$C$9,MOD(MAX(N(E1403),N(F1403)),Settings!$C$10)=0),"Round amount | ",""),LEN(IF(K1403="No","Does not balance | ","")&amp;IF(I1403="","Not approved | ",IF(UPPER(TRIM(H1403))=UPPER(TRIM(I1403)),"Self-approved | ",""))&amp;IF(J1403="","No support | ","")&amp;IF(WEEKDAY(B1403,2)&gt;5,"Weekend posting | ","")&amp;IF(COUNTIF(Settings!$A$14:$A$43,B1403)&gt;0,"Holiday posting | ","")&amp;IF(B1403&gt;Settings!$C$8,"Posted after close | ","")&amp;IF(OR(B1403&lt;Settings!$C$6,B1403&gt;Settings!$C$7),"Outside period | ","")&amp;IF(COUNTIF(Settings!$E$14:$E$43,C1403&amp;"")&gt;0,"Sensitive account | ","")&amp;IF(AND(MAX(N(E1403),N(F1403))&gt;=Settings!$C$9,MOD(MAX(N(E1403),N(F1403)),Settings!$C$10)=0),"Round amount | ",""))-3)))</f>
        <v/>
      </c>
      <c r="M1403" s="21" t="str">
        <f aca="false">IF(A1403="","",IF(COUNTIF($A$9:A1403,A1403)=1,MAX($M$8:M1402)+1,""))</f>
        <v/>
      </c>
    </row>
    <row r="1404" customFormat="false" ht="15" hidden="false" customHeight="false" outlineLevel="0" collapsed="false">
      <c r="A1404" s="8"/>
      <c r="B1404" s="17"/>
      <c r="C1404" s="19"/>
      <c r="D1404" s="8"/>
      <c r="E1404" s="18"/>
      <c r="F1404" s="18"/>
      <c r="G1404" s="8"/>
      <c r="H1404" s="8"/>
      <c r="I1404" s="8"/>
      <c r="J1404" s="8"/>
      <c r="K1404" s="10" t="str">
        <f aca="false">IF(A1404="","",IF(ABS(SUMIFS($E$9:$E$2008,$A$9:$A$2008,A1404)-SUMIFS($F$9:$F$2008,$A$9:$A$2008,A1404))&lt;0.5,"Yes","No"))</f>
        <v/>
      </c>
      <c r="L1404" s="10" t="str">
        <f aca="false">IF(A1404="","",IF(IF(K1404="No","Does not balance | ","")&amp;IF(I1404="","Not approved | ",IF(UPPER(TRIM(H1404))=UPPER(TRIM(I1404)),"Self-approved | ",""))&amp;IF(J1404="","No support | ","")&amp;IF(WEEKDAY(B1404,2)&gt;5,"Weekend posting | ","")&amp;IF(COUNTIF(Settings!$A$14:$A$43,B1404)&gt;0,"Holiday posting | ","")&amp;IF(B1404&gt;Settings!$C$8,"Posted after close | ","")&amp;IF(OR(B1404&lt;Settings!$C$6,B1404&gt;Settings!$C$7),"Outside period | ","")&amp;IF(COUNTIF(Settings!$E$14:$E$43,C1404&amp;"")&gt;0,"Sensitive account | ","")&amp;IF(AND(MAX(N(E1404),N(F1404))&gt;=Settings!$C$9,MOD(MAX(N(E1404),N(F1404)),Settings!$C$10)=0),"Round amount | ","")="","",LEFT(IF(K1404="No","Does not balance | ","")&amp;IF(I1404="","Not approved | ",IF(UPPER(TRIM(H1404))=UPPER(TRIM(I1404)),"Self-approved | ",""))&amp;IF(J1404="","No support | ","")&amp;IF(WEEKDAY(B1404,2)&gt;5,"Weekend posting | ","")&amp;IF(COUNTIF(Settings!$A$14:$A$43,B1404)&gt;0,"Holiday posting | ","")&amp;IF(B1404&gt;Settings!$C$8,"Posted after close | ","")&amp;IF(OR(B1404&lt;Settings!$C$6,B1404&gt;Settings!$C$7),"Outside period | ","")&amp;IF(COUNTIF(Settings!$E$14:$E$43,C1404&amp;"")&gt;0,"Sensitive account | ","")&amp;IF(AND(MAX(N(E1404),N(F1404))&gt;=Settings!$C$9,MOD(MAX(N(E1404),N(F1404)),Settings!$C$10)=0),"Round amount | ",""),LEN(IF(K1404="No","Does not balance | ","")&amp;IF(I1404="","Not approved | ",IF(UPPER(TRIM(H1404))=UPPER(TRIM(I1404)),"Self-approved | ",""))&amp;IF(J1404="","No support | ","")&amp;IF(WEEKDAY(B1404,2)&gt;5,"Weekend posting | ","")&amp;IF(COUNTIF(Settings!$A$14:$A$43,B1404)&gt;0,"Holiday posting | ","")&amp;IF(B1404&gt;Settings!$C$8,"Posted after close | ","")&amp;IF(OR(B1404&lt;Settings!$C$6,B1404&gt;Settings!$C$7),"Outside period | ","")&amp;IF(COUNTIF(Settings!$E$14:$E$43,C1404&amp;"")&gt;0,"Sensitive account | ","")&amp;IF(AND(MAX(N(E1404),N(F1404))&gt;=Settings!$C$9,MOD(MAX(N(E1404),N(F1404)),Settings!$C$10)=0),"Round amount | ",""))-3)))</f>
        <v/>
      </c>
      <c r="M1404" s="21" t="str">
        <f aca="false">IF(A1404="","",IF(COUNTIF($A$9:A1404,A1404)=1,MAX($M$8:M1403)+1,""))</f>
        <v/>
      </c>
    </row>
    <row r="1405" customFormat="false" ht="15" hidden="false" customHeight="false" outlineLevel="0" collapsed="false">
      <c r="A1405" s="8"/>
      <c r="B1405" s="17"/>
      <c r="C1405" s="19"/>
      <c r="D1405" s="8"/>
      <c r="E1405" s="18"/>
      <c r="F1405" s="18"/>
      <c r="G1405" s="8"/>
      <c r="H1405" s="8"/>
      <c r="I1405" s="8"/>
      <c r="J1405" s="8"/>
      <c r="K1405" s="10" t="str">
        <f aca="false">IF(A1405="","",IF(ABS(SUMIFS($E$9:$E$2008,$A$9:$A$2008,A1405)-SUMIFS($F$9:$F$2008,$A$9:$A$2008,A1405))&lt;0.5,"Yes","No"))</f>
        <v/>
      </c>
      <c r="L1405" s="10" t="str">
        <f aca="false">IF(A1405="","",IF(IF(K1405="No","Does not balance | ","")&amp;IF(I1405="","Not approved | ",IF(UPPER(TRIM(H1405))=UPPER(TRIM(I1405)),"Self-approved | ",""))&amp;IF(J1405="","No support | ","")&amp;IF(WEEKDAY(B1405,2)&gt;5,"Weekend posting | ","")&amp;IF(COUNTIF(Settings!$A$14:$A$43,B1405)&gt;0,"Holiday posting | ","")&amp;IF(B1405&gt;Settings!$C$8,"Posted after close | ","")&amp;IF(OR(B1405&lt;Settings!$C$6,B1405&gt;Settings!$C$7),"Outside period | ","")&amp;IF(COUNTIF(Settings!$E$14:$E$43,C1405&amp;"")&gt;0,"Sensitive account | ","")&amp;IF(AND(MAX(N(E1405),N(F1405))&gt;=Settings!$C$9,MOD(MAX(N(E1405),N(F1405)),Settings!$C$10)=0),"Round amount | ","")="","",LEFT(IF(K1405="No","Does not balance | ","")&amp;IF(I1405="","Not approved | ",IF(UPPER(TRIM(H1405))=UPPER(TRIM(I1405)),"Self-approved | ",""))&amp;IF(J1405="","No support | ","")&amp;IF(WEEKDAY(B1405,2)&gt;5,"Weekend posting | ","")&amp;IF(COUNTIF(Settings!$A$14:$A$43,B1405)&gt;0,"Holiday posting | ","")&amp;IF(B1405&gt;Settings!$C$8,"Posted after close | ","")&amp;IF(OR(B1405&lt;Settings!$C$6,B1405&gt;Settings!$C$7),"Outside period | ","")&amp;IF(COUNTIF(Settings!$E$14:$E$43,C1405&amp;"")&gt;0,"Sensitive account | ","")&amp;IF(AND(MAX(N(E1405),N(F1405))&gt;=Settings!$C$9,MOD(MAX(N(E1405),N(F1405)),Settings!$C$10)=0),"Round amount | ",""),LEN(IF(K1405="No","Does not balance | ","")&amp;IF(I1405="","Not approved | ",IF(UPPER(TRIM(H1405))=UPPER(TRIM(I1405)),"Self-approved | ",""))&amp;IF(J1405="","No support | ","")&amp;IF(WEEKDAY(B1405,2)&gt;5,"Weekend posting | ","")&amp;IF(COUNTIF(Settings!$A$14:$A$43,B1405)&gt;0,"Holiday posting | ","")&amp;IF(B1405&gt;Settings!$C$8,"Posted after close | ","")&amp;IF(OR(B1405&lt;Settings!$C$6,B1405&gt;Settings!$C$7),"Outside period | ","")&amp;IF(COUNTIF(Settings!$E$14:$E$43,C1405&amp;"")&gt;0,"Sensitive account | ","")&amp;IF(AND(MAX(N(E1405),N(F1405))&gt;=Settings!$C$9,MOD(MAX(N(E1405),N(F1405)),Settings!$C$10)=0),"Round amount | ",""))-3)))</f>
        <v/>
      </c>
      <c r="M1405" s="21" t="str">
        <f aca="false">IF(A1405="","",IF(COUNTIF($A$9:A1405,A1405)=1,MAX($M$8:M1404)+1,""))</f>
        <v/>
      </c>
    </row>
    <row r="1406" customFormat="false" ht="15" hidden="false" customHeight="false" outlineLevel="0" collapsed="false">
      <c r="A1406" s="8"/>
      <c r="B1406" s="17"/>
      <c r="C1406" s="19"/>
      <c r="D1406" s="8"/>
      <c r="E1406" s="18"/>
      <c r="F1406" s="18"/>
      <c r="G1406" s="8"/>
      <c r="H1406" s="8"/>
      <c r="I1406" s="8"/>
      <c r="J1406" s="8"/>
      <c r="K1406" s="10" t="str">
        <f aca="false">IF(A1406="","",IF(ABS(SUMIFS($E$9:$E$2008,$A$9:$A$2008,A1406)-SUMIFS($F$9:$F$2008,$A$9:$A$2008,A1406))&lt;0.5,"Yes","No"))</f>
        <v/>
      </c>
      <c r="L1406" s="10" t="str">
        <f aca="false">IF(A1406="","",IF(IF(K1406="No","Does not balance | ","")&amp;IF(I1406="","Not approved | ",IF(UPPER(TRIM(H1406))=UPPER(TRIM(I1406)),"Self-approved | ",""))&amp;IF(J1406="","No support | ","")&amp;IF(WEEKDAY(B1406,2)&gt;5,"Weekend posting | ","")&amp;IF(COUNTIF(Settings!$A$14:$A$43,B1406)&gt;0,"Holiday posting | ","")&amp;IF(B1406&gt;Settings!$C$8,"Posted after close | ","")&amp;IF(OR(B1406&lt;Settings!$C$6,B1406&gt;Settings!$C$7),"Outside period | ","")&amp;IF(COUNTIF(Settings!$E$14:$E$43,C1406&amp;"")&gt;0,"Sensitive account | ","")&amp;IF(AND(MAX(N(E1406),N(F1406))&gt;=Settings!$C$9,MOD(MAX(N(E1406),N(F1406)),Settings!$C$10)=0),"Round amount | ","")="","",LEFT(IF(K1406="No","Does not balance | ","")&amp;IF(I1406="","Not approved | ",IF(UPPER(TRIM(H1406))=UPPER(TRIM(I1406)),"Self-approved | ",""))&amp;IF(J1406="","No support | ","")&amp;IF(WEEKDAY(B1406,2)&gt;5,"Weekend posting | ","")&amp;IF(COUNTIF(Settings!$A$14:$A$43,B1406)&gt;0,"Holiday posting | ","")&amp;IF(B1406&gt;Settings!$C$8,"Posted after close | ","")&amp;IF(OR(B1406&lt;Settings!$C$6,B1406&gt;Settings!$C$7),"Outside period | ","")&amp;IF(COUNTIF(Settings!$E$14:$E$43,C1406&amp;"")&gt;0,"Sensitive account | ","")&amp;IF(AND(MAX(N(E1406),N(F1406))&gt;=Settings!$C$9,MOD(MAX(N(E1406),N(F1406)),Settings!$C$10)=0),"Round amount | ",""),LEN(IF(K1406="No","Does not balance | ","")&amp;IF(I1406="","Not approved | ",IF(UPPER(TRIM(H1406))=UPPER(TRIM(I1406)),"Self-approved | ",""))&amp;IF(J1406="","No support | ","")&amp;IF(WEEKDAY(B1406,2)&gt;5,"Weekend posting | ","")&amp;IF(COUNTIF(Settings!$A$14:$A$43,B1406)&gt;0,"Holiday posting | ","")&amp;IF(B1406&gt;Settings!$C$8,"Posted after close | ","")&amp;IF(OR(B1406&lt;Settings!$C$6,B1406&gt;Settings!$C$7),"Outside period | ","")&amp;IF(COUNTIF(Settings!$E$14:$E$43,C1406&amp;"")&gt;0,"Sensitive account | ","")&amp;IF(AND(MAX(N(E1406),N(F1406))&gt;=Settings!$C$9,MOD(MAX(N(E1406),N(F1406)),Settings!$C$10)=0),"Round amount | ",""))-3)))</f>
        <v/>
      </c>
      <c r="M1406" s="21" t="str">
        <f aca="false">IF(A1406="","",IF(COUNTIF($A$9:A1406,A1406)=1,MAX($M$8:M1405)+1,""))</f>
        <v/>
      </c>
    </row>
    <row r="1407" customFormat="false" ht="15" hidden="false" customHeight="false" outlineLevel="0" collapsed="false">
      <c r="A1407" s="8"/>
      <c r="B1407" s="17"/>
      <c r="C1407" s="19"/>
      <c r="D1407" s="8"/>
      <c r="E1407" s="18"/>
      <c r="F1407" s="18"/>
      <c r="G1407" s="8"/>
      <c r="H1407" s="8"/>
      <c r="I1407" s="8"/>
      <c r="J1407" s="8"/>
      <c r="K1407" s="10" t="str">
        <f aca="false">IF(A1407="","",IF(ABS(SUMIFS($E$9:$E$2008,$A$9:$A$2008,A1407)-SUMIFS($F$9:$F$2008,$A$9:$A$2008,A1407))&lt;0.5,"Yes","No"))</f>
        <v/>
      </c>
      <c r="L1407" s="10" t="str">
        <f aca="false">IF(A1407="","",IF(IF(K1407="No","Does not balance | ","")&amp;IF(I1407="","Not approved | ",IF(UPPER(TRIM(H1407))=UPPER(TRIM(I1407)),"Self-approved | ",""))&amp;IF(J1407="","No support | ","")&amp;IF(WEEKDAY(B1407,2)&gt;5,"Weekend posting | ","")&amp;IF(COUNTIF(Settings!$A$14:$A$43,B1407)&gt;0,"Holiday posting | ","")&amp;IF(B1407&gt;Settings!$C$8,"Posted after close | ","")&amp;IF(OR(B1407&lt;Settings!$C$6,B1407&gt;Settings!$C$7),"Outside period | ","")&amp;IF(COUNTIF(Settings!$E$14:$E$43,C1407&amp;"")&gt;0,"Sensitive account | ","")&amp;IF(AND(MAX(N(E1407),N(F1407))&gt;=Settings!$C$9,MOD(MAX(N(E1407),N(F1407)),Settings!$C$10)=0),"Round amount | ","")="","",LEFT(IF(K1407="No","Does not balance | ","")&amp;IF(I1407="","Not approved | ",IF(UPPER(TRIM(H1407))=UPPER(TRIM(I1407)),"Self-approved | ",""))&amp;IF(J1407="","No support | ","")&amp;IF(WEEKDAY(B1407,2)&gt;5,"Weekend posting | ","")&amp;IF(COUNTIF(Settings!$A$14:$A$43,B1407)&gt;0,"Holiday posting | ","")&amp;IF(B1407&gt;Settings!$C$8,"Posted after close | ","")&amp;IF(OR(B1407&lt;Settings!$C$6,B1407&gt;Settings!$C$7),"Outside period | ","")&amp;IF(COUNTIF(Settings!$E$14:$E$43,C1407&amp;"")&gt;0,"Sensitive account | ","")&amp;IF(AND(MAX(N(E1407),N(F1407))&gt;=Settings!$C$9,MOD(MAX(N(E1407),N(F1407)),Settings!$C$10)=0),"Round amount | ",""),LEN(IF(K1407="No","Does not balance | ","")&amp;IF(I1407="","Not approved | ",IF(UPPER(TRIM(H1407))=UPPER(TRIM(I1407)),"Self-approved | ",""))&amp;IF(J1407="","No support | ","")&amp;IF(WEEKDAY(B1407,2)&gt;5,"Weekend posting | ","")&amp;IF(COUNTIF(Settings!$A$14:$A$43,B1407)&gt;0,"Holiday posting | ","")&amp;IF(B1407&gt;Settings!$C$8,"Posted after close | ","")&amp;IF(OR(B1407&lt;Settings!$C$6,B1407&gt;Settings!$C$7),"Outside period | ","")&amp;IF(COUNTIF(Settings!$E$14:$E$43,C1407&amp;"")&gt;0,"Sensitive account | ","")&amp;IF(AND(MAX(N(E1407),N(F1407))&gt;=Settings!$C$9,MOD(MAX(N(E1407),N(F1407)),Settings!$C$10)=0),"Round amount | ",""))-3)))</f>
        <v/>
      </c>
      <c r="M1407" s="21" t="str">
        <f aca="false">IF(A1407="","",IF(COUNTIF($A$9:A1407,A1407)=1,MAX($M$8:M1406)+1,""))</f>
        <v/>
      </c>
    </row>
    <row r="1408" customFormat="false" ht="15" hidden="false" customHeight="false" outlineLevel="0" collapsed="false">
      <c r="A1408" s="8"/>
      <c r="B1408" s="17"/>
      <c r="C1408" s="19"/>
      <c r="D1408" s="8"/>
      <c r="E1408" s="18"/>
      <c r="F1408" s="18"/>
      <c r="G1408" s="8"/>
      <c r="H1408" s="8"/>
      <c r="I1408" s="8"/>
      <c r="J1408" s="8"/>
      <c r="K1408" s="10" t="str">
        <f aca="false">IF(A1408="","",IF(ABS(SUMIFS($E$9:$E$2008,$A$9:$A$2008,A1408)-SUMIFS($F$9:$F$2008,$A$9:$A$2008,A1408))&lt;0.5,"Yes","No"))</f>
        <v/>
      </c>
      <c r="L1408" s="10" t="str">
        <f aca="false">IF(A1408="","",IF(IF(K1408="No","Does not balance | ","")&amp;IF(I1408="","Not approved | ",IF(UPPER(TRIM(H1408))=UPPER(TRIM(I1408)),"Self-approved | ",""))&amp;IF(J1408="","No support | ","")&amp;IF(WEEKDAY(B1408,2)&gt;5,"Weekend posting | ","")&amp;IF(COUNTIF(Settings!$A$14:$A$43,B1408)&gt;0,"Holiday posting | ","")&amp;IF(B1408&gt;Settings!$C$8,"Posted after close | ","")&amp;IF(OR(B1408&lt;Settings!$C$6,B1408&gt;Settings!$C$7),"Outside period | ","")&amp;IF(COUNTIF(Settings!$E$14:$E$43,C1408&amp;"")&gt;0,"Sensitive account | ","")&amp;IF(AND(MAX(N(E1408),N(F1408))&gt;=Settings!$C$9,MOD(MAX(N(E1408),N(F1408)),Settings!$C$10)=0),"Round amount | ","")="","",LEFT(IF(K1408="No","Does not balance | ","")&amp;IF(I1408="","Not approved | ",IF(UPPER(TRIM(H1408))=UPPER(TRIM(I1408)),"Self-approved | ",""))&amp;IF(J1408="","No support | ","")&amp;IF(WEEKDAY(B1408,2)&gt;5,"Weekend posting | ","")&amp;IF(COUNTIF(Settings!$A$14:$A$43,B1408)&gt;0,"Holiday posting | ","")&amp;IF(B1408&gt;Settings!$C$8,"Posted after close | ","")&amp;IF(OR(B1408&lt;Settings!$C$6,B1408&gt;Settings!$C$7),"Outside period | ","")&amp;IF(COUNTIF(Settings!$E$14:$E$43,C1408&amp;"")&gt;0,"Sensitive account | ","")&amp;IF(AND(MAX(N(E1408),N(F1408))&gt;=Settings!$C$9,MOD(MAX(N(E1408),N(F1408)),Settings!$C$10)=0),"Round amount | ",""),LEN(IF(K1408="No","Does not balance | ","")&amp;IF(I1408="","Not approved | ",IF(UPPER(TRIM(H1408))=UPPER(TRIM(I1408)),"Self-approved | ",""))&amp;IF(J1408="","No support | ","")&amp;IF(WEEKDAY(B1408,2)&gt;5,"Weekend posting | ","")&amp;IF(COUNTIF(Settings!$A$14:$A$43,B1408)&gt;0,"Holiday posting | ","")&amp;IF(B1408&gt;Settings!$C$8,"Posted after close | ","")&amp;IF(OR(B1408&lt;Settings!$C$6,B1408&gt;Settings!$C$7),"Outside period | ","")&amp;IF(COUNTIF(Settings!$E$14:$E$43,C1408&amp;"")&gt;0,"Sensitive account | ","")&amp;IF(AND(MAX(N(E1408),N(F1408))&gt;=Settings!$C$9,MOD(MAX(N(E1408),N(F1408)),Settings!$C$10)=0),"Round amount | ",""))-3)))</f>
        <v/>
      </c>
      <c r="M1408" s="21" t="str">
        <f aca="false">IF(A1408="","",IF(COUNTIF($A$9:A1408,A1408)=1,MAX($M$8:M1407)+1,""))</f>
        <v/>
      </c>
    </row>
    <row r="1409" customFormat="false" ht="15" hidden="false" customHeight="false" outlineLevel="0" collapsed="false">
      <c r="A1409" s="8"/>
      <c r="B1409" s="17"/>
      <c r="C1409" s="19"/>
      <c r="D1409" s="8"/>
      <c r="E1409" s="18"/>
      <c r="F1409" s="18"/>
      <c r="G1409" s="8"/>
      <c r="H1409" s="8"/>
      <c r="I1409" s="8"/>
      <c r="J1409" s="8"/>
      <c r="K1409" s="10" t="str">
        <f aca="false">IF(A1409="","",IF(ABS(SUMIFS($E$9:$E$2008,$A$9:$A$2008,A1409)-SUMIFS($F$9:$F$2008,$A$9:$A$2008,A1409))&lt;0.5,"Yes","No"))</f>
        <v/>
      </c>
      <c r="L1409" s="10" t="str">
        <f aca="false">IF(A1409="","",IF(IF(K1409="No","Does not balance | ","")&amp;IF(I1409="","Not approved | ",IF(UPPER(TRIM(H1409))=UPPER(TRIM(I1409)),"Self-approved | ",""))&amp;IF(J1409="","No support | ","")&amp;IF(WEEKDAY(B1409,2)&gt;5,"Weekend posting | ","")&amp;IF(COUNTIF(Settings!$A$14:$A$43,B1409)&gt;0,"Holiday posting | ","")&amp;IF(B1409&gt;Settings!$C$8,"Posted after close | ","")&amp;IF(OR(B1409&lt;Settings!$C$6,B1409&gt;Settings!$C$7),"Outside period | ","")&amp;IF(COUNTIF(Settings!$E$14:$E$43,C1409&amp;"")&gt;0,"Sensitive account | ","")&amp;IF(AND(MAX(N(E1409),N(F1409))&gt;=Settings!$C$9,MOD(MAX(N(E1409),N(F1409)),Settings!$C$10)=0),"Round amount | ","")="","",LEFT(IF(K1409="No","Does not balance | ","")&amp;IF(I1409="","Not approved | ",IF(UPPER(TRIM(H1409))=UPPER(TRIM(I1409)),"Self-approved | ",""))&amp;IF(J1409="","No support | ","")&amp;IF(WEEKDAY(B1409,2)&gt;5,"Weekend posting | ","")&amp;IF(COUNTIF(Settings!$A$14:$A$43,B1409)&gt;0,"Holiday posting | ","")&amp;IF(B1409&gt;Settings!$C$8,"Posted after close | ","")&amp;IF(OR(B1409&lt;Settings!$C$6,B1409&gt;Settings!$C$7),"Outside period | ","")&amp;IF(COUNTIF(Settings!$E$14:$E$43,C1409&amp;"")&gt;0,"Sensitive account | ","")&amp;IF(AND(MAX(N(E1409),N(F1409))&gt;=Settings!$C$9,MOD(MAX(N(E1409),N(F1409)),Settings!$C$10)=0),"Round amount | ",""),LEN(IF(K1409="No","Does not balance | ","")&amp;IF(I1409="","Not approved | ",IF(UPPER(TRIM(H1409))=UPPER(TRIM(I1409)),"Self-approved | ",""))&amp;IF(J1409="","No support | ","")&amp;IF(WEEKDAY(B1409,2)&gt;5,"Weekend posting | ","")&amp;IF(COUNTIF(Settings!$A$14:$A$43,B1409)&gt;0,"Holiday posting | ","")&amp;IF(B1409&gt;Settings!$C$8,"Posted after close | ","")&amp;IF(OR(B1409&lt;Settings!$C$6,B1409&gt;Settings!$C$7),"Outside period | ","")&amp;IF(COUNTIF(Settings!$E$14:$E$43,C1409&amp;"")&gt;0,"Sensitive account | ","")&amp;IF(AND(MAX(N(E1409),N(F1409))&gt;=Settings!$C$9,MOD(MAX(N(E1409),N(F1409)),Settings!$C$10)=0),"Round amount | ",""))-3)))</f>
        <v/>
      </c>
      <c r="M1409" s="21" t="str">
        <f aca="false">IF(A1409="","",IF(COUNTIF($A$9:A1409,A1409)=1,MAX($M$8:M1408)+1,""))</f>
        <v/>
      </c>
    </row>
    <row r="1410" customFormat="false" ht="15" hidden="false" customHeight="false" outlineLevel="0" collapsed="false">
      <c r="A1410" s="8"/>
      <c r="B1410" s="17"/>
      <c r="C1410" s="19"/>
      <c r="D1410" s="8"/>
      <c r="E1410" s="18"/>
      <c r="F1410" s="18"/>
      <c r="G1410" s="8"/>
      <c r="H1410" s="8"/>
      <c r="I1410" s="8"/>
      <c r="J1410" s="8"/>
      <c r="K1410" s="10" t="str">
        <f aca="false">IF(A1410="","",IF(ABS(SUMIFS($E$9:$E$2008,$A$9:$A$2008,A1410)-SUMIFS($F$9:$F$2008,$A$9:$A$2008,A1410))&lt;0.5,"Yes","No"))</f>
        <v/>
      </c>
      <c r="L1410" s="10" t="str">
        <f aca="false">IF(A1410="","",IF(IF(K1410="No","Does not balance | ","")&amp;IF(I1410="","Not approved | ",IF(UPPER(TRIM(H1410))=UPPER(TRIM(I1410)),"Self-approved | ",""))&amp;IF(J1410="","No support | ","")&amp;IF(WEEKDAY(B1410,2)&gt;5,"Weekend posting | ","")&amp;IF(COUNTIF(Settings!$A$14:$A$43,B1410)&gt;0,"Holiday posting | ","")&amp;IF(B1410&gt;Settings!$C$8,"Posted after close | ","")&amp;IF(OR(B1410&lt;Settings!$C$6,B1410&gt;Settings!$C$7),"Outside period | ","")&amp;IF(COUNTIF(Settings!$E$14:$E$43,C1410&amp;"")&gt;0,"Sensitive account | ","")&amp;IF(AND(MAX(N(E1410),N(F1410))&gt;=Settings!$C$9,MOD(MAX(N(E1410),N(F1410)),Settings!$C$10)=0),"Round amount | ","")="","",LEFT(IF(K1410="No","Does not balance | ","")&amp;IF(I1410="","Not approved | ",IF(UPPER(TRIM(H1410))=UPPER(TRIM(I1410)),"Self-approved | ",""))&amp;IF(J1410="","No support | ","")&amp;IF(WEEKDAY(B1410,2)&gt;5,"Weekend posting | ","")&amp;IF(COUNTIF(Settings!$A$14:$A$43,B1410)&gt;0,"Holiday posting | ","")&amp;IF(B1410&gt;Settings!$C$8,"Posted after close | ","")&amp;IF(OR(B1410&lt;Settings!$C$6,B1410&gt;Settings!$C$7),"Outside period | ","")&amp;IF(COUNTIF(Settings!$E$14:$E$43,C1410&amp;"")&gt;0,"Sensitive account | ","")&amp;IF(AND(MAX(N(E1410),N(F1410))&gt;=Settings!$C$9,MOD(MAX(N(E1410),N(F1410)),Settings!$C$10)=0),"Round amount | ",""),LEN(IF(K1410="No","Does not balance | ","")&amp;IF(I1410="","Not approved | ",IF(UPPER(TRIM(H1410))=UPPER(TRIM(I1410)),"Self-approved | ",""))&amp;IF(J1410="","No support | ","")&amp;IF(WEEKDAY(B1410,2)&gt;5,"Weekend posting | ","")&amp;IF(COUNTIF(Settings!$A$14:$A$43,B1410)&gt;0,"Holiday posting | ","")&amp;IF(B1410&gt;Settings!$C$8,"Posted after close | ","")&amp;IF(OR(B1410&lt;Settings!$C$6,B1410&gt;Settings!$C$7),"Outside period | ","")&amp;IF(COUNTIF(Settings!$E$14:$E$43,C1410&amp;"")&gt;0,"Sensitive account | ","")&amp;IF(AND(MAX(N(E1410),N(F1410))&gt;=Settings!$C$9,MOD(MAX(N(E1410),N(F1410)),Settings!$C$10)=0),"Round amount | ",""))-3)))</f>
        <v/>
      </c>
      <c r="M1410" s="21" t="str">
        <f aca="false">IF(A1410="","",IF(COUNTIF($A$9:A1410,A1410)=1,MAX($M$8:M1409)+1,""))</f>
        <v/>
      </c>
    </row>
    <row r="1411" customFormat="false" ht="15" hidden="false" customHeight="false" outlineLevel="0" collapsed="false">
      <c r="A1411" s="8"/>
      <c r="B1411" s="17"/>
      <c r="C1411" s="19"/>
      <c r="D1411" s="8"/>
      <c r="E1411" s="18"/>
      <c r="F1411" s="18"/>
      <c r="G1411" s="8"/>
      <c r="H1411" s="8"/>
      <c r="I1411" s="8"/>
      <c r="J1411" s="8"/>
      <c r="K1411" s="10" t="str">
        <f aca="false">IF(A1411="","",IF(ABS(SUMIFS($E$9:$E$2008,$A$9:$A$2008,A1411)-SUMIFS($F$9:$F$2008,$A$9:$A$2008,A1411))&lt;0.5,"Yes","No"))</f>
        <v/>
      </c>
      <c r="L1411" s="10" t="str">
        <f aca="false">IF(A1411="","",IF(IF(K1411="No","Does not balance | ","")&amp;IF(I1411="","Not approved | ",IF(UPPER(TRIM(H1411))=UPPER(TRIM(I1411)),"Self-approved | ",""))&amp;IF(J1411="","No support | ","")&amp;IF(WEEKDAY(B1411,2)&gt;5,"Weekend posting | ","")&amp;IF(COUNTIF(Settings!$A$14:$A$43,B1411)&gt;0,"Holiday posting | ","")&amp;IF(B1411&gt;Settings!$C$8,"Posted after close | ","")&amp;IF(OR(B1411&lt;Settings!$C$6,B1411&gt;Settings!$C$7),"Outside period | ","")&amp;IF(COUNTIF(Settings!$E$14:$E$43,C1411&amp;"")&gt;0,"Sensitive account | ","")&amp;IF(AND(MAX(N(E1411),N(F1411))&gt;=Settings!$C$9,MOD(MAX(N(E1411),N(F1411)),Settings!$C$10)=0),"Round amount | ","")="","",LEFT(IF(K1411="No","Does not balance | ","")&amp;IF(I1411="","Not approved | ",IF(UPPER(TRIM(H1411))=UPPER(TRIM(I1411)),"Self-approved | ",""))&amp;IF(J1411="","No support | ","")&amp;IF(WEEKDAY(B1411,2)&gt;5,"Weekend posting | ","")&amp;IF(COUNTIF(Settings!$A$14:$A$43,B1411)&gt;0,"Holiday posting | ","")&amp;IF(B1411&gt;Settings!$C$8,"Posted after close | ","")&amp;IF(OR(B1411&lt;Settings!$C$6,B1411&gt;Settings!$C$7),"Outside period | ","")&amp;IF(COUNTIF(Settings!$E$14:$E$43,C1411&amp;"")&gt;0,"Sensitive account | ","")&amp;IF(AND(MAX(N(E1411),N(F1411))&gt;=Settings!$C$9,MOD(MAX(N(E1411),N(F1411)),Settings!$C$10)=0),"Round amount | ",""),LEN(IF(K1411="No","Does not balance | ","")&amp;IF(I1411="","Not approved | ",IF(UPPER(TRIM(H1411))=UPPER(TRIM(I1411)),"Self-approved | ",""))&amp;IF(J1411="","No support | ","")&amp;IF(WEEKDAY(B1411,2)&gt;5,"Weekend posting | ","")&amp;IF(COUNTIF(Settings!$A$14:$A$43,B1411)&gt;0,"Holiday posting | ","")&amp;IF(B1411&gt;Settings!$C$8,"Posted after close | ","")&amp;IF(OR(B1411&lt;Settings!$C$6,B1411&gt;Settings!$C$7),"Outside period | ","")&amp;IF(COUNTIF(Settings!$E$14:$E$43,C1411&amp;"")&gt;0,"Sensitive account | ","")&amp;IF(AND(MAX(N(E1411),N(F1411))&gt;=Settings!$C$9,MOD(MAX(N(E1411),N(F1411)),Settings!$C$10)=0),"Round amount | ",""))-3)))</f>
        <v/>
      </c>
      <c r="M1411" s="21" t="str">
        <f aca="false">IF(A1411="","",IF(COUNTIF($A$9:A1411,A1411)=1,MAX($M$8:M1410)+1,""))</f>
        <v/>
      </c>
    </row>
    <row r="1412" customFormat="false" ht="15" hidden="false" customHeight="false" outlineLevel="0" collapsed="false">
      <c r="A1412" s="8"/>
      <c r="B1412" s="17"/>
      <c r="C1412" s="19"/>
      <c r="D1412" s="8"/>
      <c r="E1412" s="18"/>
      <c r="F1412" s="18"/>
      <c r="G1412" s="8"/>
      <c r="H1412" s="8"/>
      <c r="I1412" s="8"/>
      <c r="J1412" s="8"/>
      <c r="K1412" s="10" t="str">
        <f aca="false">IF(A1412="","",IF(ABS(SUMIFS($E$9:$E$2008,$A$9:$A$2008,A1412)-SUMIFS($F$9:$F$2008,$A$9:$A$2008,A1412))&lt;0.5,"Yes","No"))</f>
        <v/>
      </c>
      <c r="L1412" s="10" t="str">
        <f aca="false">IF(A1412="","",IF(IF(K1412="No","Does not balance | ","")&amp;IF(I1412="","Not approved | ",IF(UPPER(TRIM(H1412))=UPPER(TRIM(I1412)),"Self-approved | ",""))&amp;IF(J1412="","No support | ","")&amp;IF(WEEKDAY(B1412,2)&gt;5,"Weekend posting | ","")&amp;IF(COUNTIF(Settings!$A$14:$A$43,B1412)&gt;0,"Holiday posting | ","")&amp;IF(B1412&gt;Settings!$C$8,"Posted after close | ","")&amp;IF(OR(B1412&lt;Settings!$C$6,B1412&gt;Settings!$C$7),"Outside period | ","")&amp;IF(COUNTIF(Settings!$E$14:$E$43,C1412&amp;"")&gt;0,"Sensitive account | ","")&amp;IF(AND(MAX(N(E1412),N(F1412))&gt;=Settings!$C$9,MOD(MAX(N(E1412),N(F1412)),Settings!$C$10)=0),"Round amount | ","")="","",LEFT(IF(K1412="No","Does not balance | ","")&amp;IF(I1412="","Not approved | ",IF(UPPER(TRIM(H1412))=UPPER(TRIM(I1412)),"Self-approved | ",""))&amp;IF(J1412="","No support | ","")&amp;IF(WEEKDAY(B1412,2)&gt;5,"Weekend posting | ","")&amp;IF(COUNTIF(Settings!$A$14:$A$43,B1412)&gt;0,"Holiday posting | ","")&amp;IF(B1412&gt;Settings!$C$8,"Posted after close | ","")&amp;IF(OR(B1412&lt;Settings!$C$6,B1412&gt;Settings!$C$7),"Outside period | ","")&amp;IF(COUNTIF(Settings!$E$14:$E$43,C1412&amp;"")&gt;0,"Sensitive account | ","")&amp;IF(AND(MAX(N(E1412),N(F1412))&gt;=Settings!$C$9,MOD(MAX(N(E1412),N(F1412)),Settings!$C$10)=0),"Round amount | ",""),LEN(IF(K1412="No","Does not balance | ","")&amp;IF(I1412="","Not approved | ",IF(UPPER(TRIM(H1412))=UPPER(TRIM(I1412)),"Self-approved | ",""))&amp;IF(J1412="","No support | ","")&amp;IF(WEEKDAY(B1412,2)&gt;5,"Weekend posting | ","")&amp;IF(COUNTIF(Settings!$A$14:$A$43,B1412)&gt;0,"Holiday posting | ","")&amp;IF(B1412&gt;Settings!$C$8,"Posted after close | ","")&amp;IF(OR(B1412&lt;Settings!$C$6,B1412&gt;Settings!$C$7),"Outside period | ","")&amp;IF(COUNTIF(Settings!$E$14:$E$43,C1412&amp;"")&gt;0,"Sensitive account | ","")&amp;IF(AND(MAX(N(E1412),N(F1412))&gt;=Settings!$C$9,MOD(MAX(N(E1412),N(F1412)),Settings!$C$10)=0),"Round amount | ",""))-3)))</f>
        <v/>
      </c>
      <c r="M1412" s="21" t="str">
        <f aca="false">IF(A1412="","",IF(COUNTIF($A$9:A1412,A1412)=1,MAX($M$8:M1411)+1,""))</f>
        <v/>
      </c>
    </row>
    <row r="1413" customFormat="false" ht="15" hidden="false" customHeight="false" outlineLevel="0" collapsed="false">
      <c r="A1413" s="8"/>
      <c r="B1413" s="17"/>
      <c r="C1413" s="19"/>
      <c r="D1413" s="8"/>
      <c r="E1413" s="18"/>
      <c r="F1413" s="18"/>
      <c r="G1413" s="8"/>
      <c r="H1413" s="8"/>
      <c r="I1413" s="8"/>
      <c r="J1413" s="8"/>
      <c r="K1413" s="10" t="str">
        <f aca="false">IF(A1413="","",IF(ABS(SUMIFS($E$9:$E$2008,$A$9:$A$2008,A1413)-SUMIFS($F$9:$F$2008,$A$9:$A$2008,A1413))&lt;0.5,"Yes","No"))</f>
        <v/>
      </c>
      <c r="L1413" s="10" t="str">
        <f aca="false">IF(A1413="","",IF(IF(K1413="No","Does not balance | ","")&amp;IF(I1413="","Not approved | ",IF(UPPER(TRIM(H1413))=UPPER(TRIM(I1413)),"Self-approved | ",""))&amp;IF(J1413="","No support | ","")&amp;IF(WEEKDAY(B1413,2)&gt;5,"Weekend posting | ","")&amp;IF(COUNTIF(Settings!$A$14:$A$43,B1413)&gt;0,"Holiday posting | ","")&amp;IF(B1413&gt;Settings!$C$8,"Posted after close | ","")&amp;IF(OR(B1413&lt;Settings!$C$6,B1413&gt;Settings!$C$7),"Outside period | ","")&amp;IF(COUNTIF(Settings!$E$14:$E$43,C1413&amp;"")&gt;0,"Sensitive account | ","")&amp;IF(AND(MAX(N(E1413),N(F1413))&gt;=Settings!$C$9,MOD(MAX(N(E1413),N(F1413)),Settings!$C$10)=0),"Round amount | ","")="","",LEFT(IF(K1413="No","Does not balance | ","")&amp;IF(I1413="","Not approved | ",IF(UPPER(TRIM(H1413))=UPPER(TRIM(I1413)),"Self-approved | ",""))&amp;IF(J1413="","No support | ","")&amp;IF(WEEKDAY(B1413,2)&gt;5,"Weekend posting | ","")&amp;IF(COUNTIF(Settings!$A$14:$A$43,B1413)&gt;0,"Holiday posting | ","")&amp;IF(B1413&gt;Settings!$C$8,"Posted after close | ","")&amp;IF(OR(B1413&lt;Settings!$C$6,B1413&gt;Settings!$C$7),"Outside period | ","")&amp;IF(COUNTIF(Settings!$E$14:$E$43,C1413&amp;"")&gt;0,"Sensitive account | ","")&amp;IF(AND(MAX(N(E1413),N(F1413))&gt;=Settings!$C$9,MOD(MAX(N(E1413),N(F1413)),Settings!$C$10)=0),"Round amount | ",""),LEN(IF(K1413="No","Does not balance | ","")&amp;IF(I1413="","Not approved | ",IF(UPPER(TRIM(H1413))=UPPER(TRIM(I1413)),"Self-approved | ",""))&amp;IF(J1413="","No support | ","")&amp;IF(WEEKDAY(B1413,2)&gt;5,"Weekend posting | ","")&amp;IF(COUNTIF(Settings!$A$14:$A$43,B1413)&gt;0,"Holiday posting | ","")&amp;IF(B1413&gt;Settings!$C$8,"Posted after close | ","")&amp;IF(OR(B1413&lt;Settings!$C$6,B1413&gt;Settings!$C$7),"Outside period | ","")&amp;IF(COUNTIF(Settings!$E$14:$E$43,C1413&amp;"")&gt;0,"Sensitive account | ","")&amp;IF(AND(MAX(N(E1413),N(F1413))&gt;=Settings!$C$9,MOD(MAX(N(E1413),N(F1413)),Settings!$C$10)=0),"Round amount | ",""))-3)))</f>
        <v/>
      </c>
      <c r="M1413" s="21" t="str">
        <f aca="false">IF(A1413="","",IF(COUNTIF($A$9:A1413,A1413)=1,MAX($M$8:M1412)+1,""))</f>
        <v/>
      </c>
    </row>
    <row r="1414" customFormat="false" ht="15" hidden="false" customHeight="false" outlineLevel="0" collapsed="false">
      <c r="A1414" s="8"/>
      <c r="B1414" s="17"/>
      <c r="C1414" s="19"/>
      <c r="D1414" s="8"/>
      <c r="E1414" s="18"/>
      <c r="F1414" s="18"/>
      <c r="G1414" s="8"/>
      <c r="H1414" s="8"/>
      <c r="I1414" s="8"/>
      <c r="J1414" s="8"/>
      <c r="K1414" s="10" t="str">
        <f aca="false">IF(A1414="","",IF(ABS(SUMIFS($E$9:$E$2008,$A$9:$A$2008,A1414)-SUMIFS($F$9:$F$2008,$A$9:$A$2008,A1414))&lt;0.5,"Yes","No"))</f>
        <v/>
      </c>
      <c r="L1414" s="10" t="str">
        <f aca="false">IF(A1414="","",IF(IF(K1414="No","Does not balance | ","")&amp;IF(I1414="","Not approved | ",IF(UPPER(TRIM(H1414))=UPPER(TRIM(I1414)),"Self-approved | ",""))&amp;IF(J1414="","No support | ","")&amp;IF(WEEKDAY(B1414,2)&gt;5,"Weekend posting | ","")&amp;IF(COUNTIF(Settings!$A$14:$A$43,B1414)&gt;0,"Holiday posting | ","")&amp;IF(B1414&gt;Settings!$C$8,"Posted after close | ","")&amp;IF(OR(B1414&lt;Settings!$C$6,B1414&gt;Settings!$C$7),"Outside period | ","")&amp;IF(COUNTIF(Settings!$E$14:$E$43,C1414&amp;"")&gt;0,"Sensitive account | ","")&amp;IF(AND(MAX(N(E1414),N(F1414))&gt;=Settings!$C$9,MOD(MAX(N(E1414),N(F1414)),Settings!$C$10)=0),"Round amount | ","")="","",LEFT(IF(K1414="No","Does not balance | ","")&amp;IF(I1414="","Not approved | ",IF(UPPER(TRIM(H1414))=UPPER(TRIM(I1414)),"Self-approved | ",""))&amp;IF(J1414="","No support | ","")&amp;IF(WEEKDAY(B1414,2)&gt;5,"Weekend posting | ","")&amp;IF(COUNTIF(Settings!$A$14:$A$43,B1414)&gt;0,"Holiday posting | ","")&amp;IF(B1414&gt;Settings!$C$8,"Posted after close | ","")&amp;IF(OR(B1414&lt;Settings!$C$6,B1414&gt;Settings!$C$7),"Outside period | ","")&amp;IF(COUNTIF(Settings!$E$14:$E$43,C1414&amp;"")&gt;0,"Sensitive account | ","")&amp;IF(AND(MAX(N(E1414),N(F1414))&gt;=Settings!$C$9,MOD(MAX(N(E1414),N(F1414)),Settings!$C$10)=0),"Round amount | ",""),LEN(IF(K1414="No","Does not balance | ","")&amp;IF(I1414="","Not approved | ",IF(UPPER(TRIM(H1414))=UPPER(TRIM(I1414)),"Self-approved | ",""))&amp;IF(J1414="","No support | ","")&amp;IF(WEEKDAY(B1414,2)&gt;5,"Weekend posting | ","")&amp;IF(COUNTIF(Settings!$A$14:$A$43,B1414)&gt;0,"Holiday posting | ","")&amp;IF(B1414&gt;Settings!$C$8,"Posted after close | ","")&amp;IF(OR(B1414&lt;Settings!$C$6,B1414&gt;Settings!$C$7),"Outside period | ","")&amp;IF(COUNTIF(Settings!$E$14:$E$43,C1414&amp;"")&gt;0,"Sensitive account | ","")&amp;IF(AND(MAX(N(E1414),N(F1414))&gt;=Settings!$C$9,MOD(MAX(N(E1414),N(F1414)),Settings!$C$10)=0),"Round amount | ",""))-3)))</f>
        <v/>
      </c>
      <c r="M1414" s="21" t="str">
        <f aca="false">IF(A1414="","",IF(COUNTIF($A$9:A1414,A1414)=1,MAX($M$8:M1413)+1,""))</f>
        <v/>
      </c>
    </row>
    <row r="1415" customFormat="false" ht="15" hidden="false" customHeight="false" outlineLevel="0" collapsed="false">
      <c r="A1415" s="8"/>
      <c r="B1415" s="17"/>
      <c r="C1415" s="19"/>
      <c r="D1415" s="8"/>
      <c r="E1415" s="18"/>
      <c r="F1415" s="18"/>
      <c r="G1415" s="8"/>
      <c r="H1415" s="8"/>
      <c r="I1415" s="8"/>
      <c r="J1415" s="8"/>
      <c r="K1415" s="10" t="str">
        <f aca="false">IF(A1415="","",IF(ABS(SUMIFS($E$9:$E$2008,$A$9:$A$2008,A1415)-SUMIFS($F$9:$F$2008,$A$9:$A$2008,A1415))&lt;0.5,"Yes","No"))</f>
        <v/>
      </c>
      <c r="L1415" s="10" t="str">
        <f aca="false">IF(A1415="","",IF(IF(K1415="No","Does not balance | ","")&amp;IF(I1415="","Not approved | ",IF(UPPER(TRIM(H1415))=UPPER(TRIM(I1415)),"Self-approved | ",""))&amp;IF(J1415="","No support | ","")&amp;IF(WEEKDAY(B1415,2)&gt;5,"Weekend posting | ","")&amp;IF(COUNTIF(Settings!$A$14:$A$43,B1415)&gt;0,"Holiday posting | ","")&amp;IF(B1415&gt;Settings!$C$8,"Posted after close | ","")&amp;IF(OR(B1415&lt;Settings!$C$6,B1415&gt;Settings!$C$7),"Outside period | ","")&amp;IF(COUNTIF(Settings!$E$14:$E$43,C1415&amp;"")&gt;0,"Sensitive account | ","")&amp;IF(AND(MAX(N(E1415),N(F1415))&gt;=Settings!$C$9,MOD(MAX(N(E1415),N(F1415)),Settings!$C$10)=0),"Round amount | ","")="","",LEFT(IF(K1415="No","Does not balance | ","")&amp;IF(I1415="","Not approved | ",IF(UPPER(TRIM(H1415))=UPPER(TRIM(I1415)),"Self-approved | ",""))&amp;IF(J1415="","No support | ","")&amp;IF(WEEKDAY(B1415,2)&gt;5,"Weekend posting | ","")&amp;IF(COUNTIF(Settings!$A$14:$A$43,B1415)&gt;0,"Holiday posting | ","")&amp;IF(B1415&gt;Settings!$C$8,"Posted after close | ","")&amp;IF(OR(B1415&lt;Settings!$C$6,B1415&gt;Settings!$C$7),"Outside period | ","")&amp;IF(COUNTIF(Settings!$E$14:$E$43,C1415&amp;"")&gt;0,"Sensitive account | ","")&amp;IF(AND(MAX(N(E1415),N(F1415))&gt;=Settings!$C$9,MOD(MAX(N(E1415),N(F1415)),Settings!$C$10)=0),"Round amount | ",""),LEN(IF(K1415="No","Does not balance | ","")&amp;IF(I1415="","Not approved | ",IF(UPPER(TRIM(H1415))=UPPER(TRIM(I1415)),"Self-approved | ",""))&amp;IF(J1415="","No support | ","")&amp;IF(WEEKDAY(B1415,2)&gt;5,"Weekend posting | ","")&amp;IF(COUNTIF(Settings!$A$14:$A$43,B1415)&gt;0,"Holiday posting | ","")&amp;IF(B1415&gt;Settings!$C$8,"Posted after close | ","")&amp;IF(OR(B1415&lt;Settings!$C$6,B1415&gt;Settings!$C$7),"Outside period | ","")&amp;IF(COUNTIF(Settings!$E$14:$E$43,C1415&amp;"")&gt;0,"Sensitive account | ","")&amp;IF(AND(MAX(N(E1415),N(F1415))&gt;=Settings!$C$9,MOD(MAX(N(E1415),N(F1415)),Settings!$C$10)=0),"Round amount | ",""))-3)))</f>
        <v/>
      </c>
      <c r="M1415" s="21" t="str">
        <f aca="false">IF(A1415="","",IF(COUNTIF($A$9:A1415,A1415)=1,MAX($M$8:M1414)+1,""))</f>
        <v/>
      </c>
    </row>
    <row r="1416" customFormat="false" ht="15" hidden="false" customHeight="false" outlineLevel="0" collapsed="false">
      <c r="A1416" s="8"/>
      <c r="B1416" s="17"/>
      <c r="C1416" s="19"/>
      <c r="D1416" s="8"/>
      <c r="E1416" s="18"/>
      <c r="F1416" s="18"/>
      <c r="G1416" s="8"/>
      <c r="H1416" s="8"/>
      <c r="I1416" s="8"/>
      <c r="J1416" s="8"/>
      <c r="K1416" s="10" t="str">
        <f aca="false">IF(A1416="","",IF(ABS(SUMIFS($E$9:$E$2008,$A$9:$A$2008,A1416)-SUMIFS($F$9:$F$2008,$A$9:$A$2008,A1416))&lt;0.5,"Yes","No"))</f>
        <v/>
      </c>
      <c r="L1416" s="10" t="str">
        <f aca="false">IF(A1416="","",IF(IF(K1416="No","Does not balance | ","")&amp;IF(I1416="","Not approved | ",IF(UPPER(TRIM(H1416))=UPPER(TRIM(I1416)),"Self-approved | ",""))&amp;IF(J1416="","No support | ","")&amp;IF(WEEKDAY(B1416,2)&gt;5,"Weekend posting | ","")&amp;IF(COUNTIF(Settings!$A$14:$A$43,B1416)&gt;0,"Holiday posting | ","")&amp;IF(B1416&gt;Settings!$C$8,"Posted after close | ","")&amp;IF(OR(B1416&lt;Settings!$C$6,B1416&gt;Settings!$C$7),"Outside period | ","")&amp;IF(COUNTIF(Settings!$E$14:$E$43,C1416&amp;"")&gt;0,"Sensitive account | ","")&amp;IF(AND(MAX(N(E1416),N(F1416))&gt;=Settings!$C$9,MOD(MAX(N(E1416),N(F1416)),Settings!$C$10)=0),"Round amount | ","")="","",LEFT(IF(K1416="No","Does not balance | ","")&amp;IF(I1416="","Not approved | ",IF(UPPER(TRIM(H1416))=UPPER(TRIM(I1416)),"Self-approved | ",""))&amp;IF(J1416="","No support | ","")&amp;IF(WEEKDAY(B1416,2)&gt;5,"Weekend posting | ","")&amp;IF(COUNTIF(Settings!$A$14:$A$43,B1416)&gt;0,"Holiday posting | ","")&amp;IF(B1416&gt;Settings!$C$8,"Posted after close | ","")&amp;IF(OR(B1416&lt;Settings!$C$6,B1416&gt;Settings!$C$7),"Outside period | ","")&amp;IF(COUNTIF(Settings!$E$14:$E$43,C1416&amp;"")&gt;0,"Sensitive account | ","")&amp;IF(AND(MAX(N(E1416),N(F1416))&gt;=Settings!$C$9,MOD(MAX(N(E1416),N(F1416)),Settings!$C$10)=0),"Round amount | ",""),LEN(IF(K1416="No","Does not balance | ","")&amp;IF(I1416="","Not approved | ",IF(UPPER(TRIM(H1416))=UPPER(TRIM(I1416)),"Self-approved | ",""))&amp;IF(J1416="","No support | ","")&amp;IF(WEEKDAY(B1416,2)&gt;5,"Weekend posting | ","")&amp;IF(COUNTIF(Settings!$A$14:$A$43,B1416)&gt;0,"Holiday posting | ","")&amp;IF(B1416&gt;Settings!$C$8,"Posted after close | ","")&amp;IF(OR(B1416&lt;Settings!$C$6,B1416&gt;Settings!$C$7),"Outside period | ","")&amp;IF(COUNTIF(Settings!$E$14:$E$43,C1416&amp;"")&gt;0,"Sensitive account | ","")&amp;IF(AND(MAX(N(E1416),N(F1416))&gt;=Settings!$C$9,MOD(MAX(N(E1416),N(F1416)),Settings!$C$10)=0),"Round amount | ",""))-3)))</f>
        <v/>
      </c>
      <c r="M1416" s="21" t="str">
        <f aca="false">IF(A1416="","",IF(COUNTIF($A$9:A1416,A1416)=1,MAX($M$8:M1415)+1,""))</f>
        <v/>
      </c>
    </row>
    <row r="1417" customFormat="false" ht="15" hidden="false" customHeight="false" outlineLevel="0" collapsed="false">
      <c r="A1417" s="8"/>
      <c r="B1417" s="17"/>
      <c r="C1417" s="19"/>
      <c r="D1417" s="8"/>
      <c r="E1417" s="18"/>
      <c r="F1417" s="18"/>
      <c r="G1417" s="8"/>
      <c r="H1417" s="8"/>
      <c r="I1417" s="8"/>
      <c r="J1417" s="8"/>
      <c r="K1417" s="10" t="str">
        <f aca="false">IF(A1417="","",IF(ABS(SUMIFS($E$9:$E$2008,$A$9:$A$2008,A1417)-SUMIFS($F$9:$F$2008,$A$9:$A$2008,A1417))&lt;0.5,"Yes","No"))</f>
        <v/>
      </c>
      <c r="L1417" s="10" t="str">
        <f aca="false">IF(A1417="","",IF(IF(K1417="No","Does not balance | ","")&amp;IF(I1417="","Not approved | ",IF(UPPER(TRIM(H1417))=UPPER(TRIM(I1417)),"Self-approved | ",""))&amp;IF(J1417="","No support | ","")&amp;IF(WEEKDAY(B1417,2)&gt;5,"Weekend posting | ","")&amp;IF(COUNTIF(Settings!$A$14:$A$43,B1417)&gt;0,"Holiday posting | ","")&amp;IF(B1417&gt;Settings!$C$8,"Posted after close | ","")&amp;IF(OR(B1417&lt;Settings!$C$6,B1417&gt;Settings!$C$7),"Outside period | ","")&amp;IF(COUNTIF(Settings!$E$14:$E$43,C1417&amp;"")&gt;0,"Sensitive account | ","")&amp;IF(AND(MAX(N(E1417),N(F1417))&gt;=Settings!$C$9,MOD(MAX(N(E1417),N(F1417)),Settings!$C$10)=0),"Round amount | ","")="","",LEFT(IF(K1417="No","Does not balance | ","")&amp;IF(I1417="","Not approved | ",IF(UPPER(TRIM(H1417))=UPPER(TRIM(I1417)),"Self-approved | ",""))&amp;IF(J1417="","No support | ","")&amp;IF(WEEKDAY(B1417,2)&gt;5,"Weekend posting | ","")&amp;IF(COUNTIF(Settings!$A$14:$A$43,B1417)&gt;0,"Holiday posting | ","")&amp;IF(B1417&gt;Settings!$C$8,"Posted after close | ","")&amp;IF(OR(B1417&lt;Settings!$C$6,B1417&gt;Settings!$C$7),"Outside period | ","")&amp;IF(COUNTIF(Settings!$E$14:$E$43,C1417&amp;"")&gt;0,"Sensitive account | ","")&amp;IF(AND(MAX(N(E1417),N(F1417))&gt;=Settings!$C$9,MOD(MAX(N(E1417),N(F1417)),Settings!$C$10)=0),"Round amount | ",""),LEN(IF(K1417="No","Does not balance | ","")&amp;IF(I1417="","Not approved | ",IF(UPPER(TRIM(H1417))=UPPER(TRIM(I1417)),"Self-approved | ",""))&amp;IF(J1417="","No support | ","")&amp;IF(WEEKDAY(B1417,2)&gt;5,"Weekend posting | ","")&amp;IF(COUNTIF(Settings!$A$14:$A$43,B1417)&gt;0,"Holiday posting | ","")&amp;IF(B1417&gt;Settings!$C$8,"Posted after close | ","")&amp;IF(OR(B1417&lt;Settings!$C$6,B1417&gt;Settings!$C$7),"Outside period | ","")&amp;IF(COUNTIF(Settings!$E$14:$E$43,C1417&amp;"")&gt;0,"Sensitive account | ","")&amp;IF(AND(MAX(N(E1417),N(F1417))&gt;=Settings!$C$9,MOD(MAX(N(E1417),N(F1417)),Settings!$C$10)=0),"Round amount | ",""))-3)))</f>
        <v/>
      </c>
      <c r="M1417" s="21" t="str">
        <f aca="false">IF(A1417="","",IF(COUNTIF($A$9:A1417,A1417)=1,MAX($M$8:M1416)+1,""))</f>
        <v/>
      </c>
    </row>
    <row r="1418" customFormat="false" ht="15" hidden="false" customHeight="false" outlineLevel="0" collapsed="false">
      <c r="A1418" s="8"/>
      <c r="B1418" s="17"/>
      <c r="C1418" s="19"/>
      <c r="D1418" s="8"/>
      <c r="E1418" s="18"/>
      <c r="F1418" s="18"/>
      <c r="G1418" s="8"/>
      <c r="H1418" s="8"/>
      <c r="I1418" s="8"/>
      <c r="J1418" s="8"/>
      <c r="K1418" s="10" t="str">
        <f aca="false">IF(A1418="","",IF(ABS(SUMIFS($E$9:$E$2008,$A$9:$A$2008,A1418)-SUMIFS($F$9:$F$2008,$A$9:$A$2008,A1418))&lt;0.5,"Yes","No"))</f>
        <v/>
      </c>
      <c r="L1418" s="10" t="str">
        <f aca="false">IF(A1418="","",IF(IF(K1418="No","Does not balance | ","")&amp;IF(I1418="","Not approved | ",IF(UPPER(TRIM(H1418))=UPPER(TRIM(I1418)),"Self-approved | ",""))&amp;IF(J1418="","No support | ","")&amp;IF(WEEKDAY(B1418,2)&gt;5,"Weekend posting | ","")&amp;IF(COUNTIF(Settings!$A$14:$A$43,B1418)&gt;0,"Holiday posting | ","")&amp;IF(B1418&gt;Settings!$C$8,"Posted after close | ","")&amp;IF(OR(B1418&lt;Settings!$C$6,B1418&gt;Settings!$C$7),"Outside period | ","")&amp;IF(COUNTIF(Settings!$E$14:$E$43,C1418&amp;"")&gt;0,"Sensitive account | ","")&amp;IF(AND(MAX(N(E1418),N(F1418))&gt;=Settings!$C$9,MOD(MAX(N(E1418),N(F1418)),Settings!$C$10)=0),"Round amount | ","")="","",LEFT(IF(K1418="No","Does not balance | ","")&amp;IF(I1418="","Not approved | ",IF(UPPER(TRIM(H1418))=UPPER(TRIM(I1418)),"Self-approved | ",""))&amp;IF(J1418="","No support | ","")&amp;IF(WEEKDAY(B1418,2)&gt;5,"Weekend posting | ","")&amp;IF(COUNTIF(Settings!$A$14:$A$43,B1418)&gt;0,"Holiday posting | ","")&amp;IF(B1418&gt;Settings!$C$8,"Posted after close | ","")&amp;IF(OR(B1418&lt;Settings!$C$6,B1418&gt;Settings!$C$7),"Outside period | ","")&amp;IF(COUNTIF(Settings!$E$14:$E$43,C1418&amp;"")&gt;0,"Sensitive account | ","")&amp;IF(AND(MAX(N(E1418),N(F1418))&gt;=Settings!$C$9,MOD(MAX(N(E1418),N(F1418)),Settings!$C$10)=0),"Round amount | ",""),LEN(IF(K1418="No","Does not balance | ","")&amp;IF(I1418="","Not approved | ",IF(UPPER(TRIM(H1418))=UPPER(TRIM(I1418)),"Self-approved | ",""))&amp;IF(J1418="","No support | ","")&amp;IF(WEEKDAY(B1418,2)&gt;5,"Weekend posting | ","")&amp;IF(COUNTIF(Settings!$A$14:$A$43,B1418)&gt;0,"Holiday posting | ","")&amp;IF(B1418&gt;Settings!$C$8,"Posted after close | ","")&amp;IF(OR(B1418&lt;Settings!$C$6,B1418&gt;Settings!$C$7),"Outside period | ","")&amp;IF(COUNTIF(Settings!$E$14:$E$43,C1418&amp;"")&gt;0,"Sensitive account | ","")&amp;IF(AND(MAX(N(E1418),N(F1418))&gt;=Settings!$C$9,MOD(MAX(N(E1418),N(F1418)),Settings!$C$10)=0),"Round amount | ",""))-3)))</f>
        <v/>
      </c>
      <c r="M1418" s="21" t="str">
        <f aca="false">IF(A1418="","",IF(COUNTIF($A$9:A1418,A1418)=1,MAX($M$8:M1417)+1,""))</f>
        <v/>
      </c>
    </row>
    <row r="1419" customFormat="false" ht="15" hidden="false" customHeight="false" outlineLevel="0" collapsed="false">
      <c r="A1419" s="8"/>
      <c r="B1419" s="17"/>
      <c r="C1419" s="19"/>
      <c r="D1419" s="8"/>
      <c r="E1419" s="18"/>
      <c r="F1419" s="18"/>
      <c r="G1419" s="8"/>
      <c r="H1419" s="8"/>
      <c r="I1419" s="8"/>
      <c r="J1419" s="8"/>
      <c r="K1419" s="10" t="str">
        <f aca="false">IF(A1419="","",IF(ABS(SUMIFS($E$9:$E$2008,$A$9:$A$2008,A1419)-SUMIFS($F$9:$F$2008,$A$9:$A$2008,A1419))&lt;0.5,"Yes","No"))</f>
        <v/>
      </c>
      <c r="L1419" s="10" t="str">
        <f aca="false">IF(A1419="","",IF(IF(K1419="No","Does not balance | ","")&amp;IF(I1419="","Not approved | ",IF(UPPER(TRIM(H1419))=UPPER(TRIM(I1419)),"Self-approved | ",""))&amp;IF(J1419="","No support | ","")&amp;IF(WEEKDAY(B1419,2)&gt;5,"Weekend posting | ","")&amp;IF(COUNTIF(Settings!$A$14:$A$43,B1419)&gt;0,"Holiday posting | ","")&amp;IF(B1419&gt;Settings!$C$8,"Posted after close | ","")&amp;IF(OR(B1419&lt;Settings!$C$6,B1419&gt;Settings!$C$7),"Outside period | ","")&amp;IF(COUNTIF(Settings!$E$14:$E$43,C1419&amp;"")&gt;0,"Sensitive account | ","")&amp;IF(AND(MAX(N(E1419),N(F1419))&gt;=Settings!$C$9,MOD(MAX(N(E1419),N(F1419)),Settings!$C$10)=0),"Round amount | ","")="","",LEFT(IF(K1419="No","Does not balance | ","")&amp;IF(I1419="","Not approved | ",IF(UPPER(TRIM(H1419))=UPPER(TRIM(I1419)),"Self-approved | ",""))&amp;IF(J1419="","No support | ","")&amp;IF(WEEKDAY(B1419,2)&gt;5,"Weekend posting | ","")&amp;IF(COUNTIF(Settings!$A$14:$A$43,B1419)&gt;0,"Holiday posting | ","")&amp;IF(B1419&gt;Settings!$C$8,"Posted after close | ","")&amp;IF(OR(B1419&lt;Settings!$C$6,B1419&gt;Settings!$C$7),"Outside period | ","")&amp;IF(COUNTIF(Settings!$E$14:$E$43,C1419&amp;"")&gt;0,"Sensitive account | ","")&amp;IF(AND(MAX(N(E1419),N(F1419))&gt;=Settings!$C$9,MOD(MAX(N(E1419),N(F1419)),Settings!$C$10)=0),"Round amount | ",""),LEN(IF(K1419="No","Does not balance | ","")&amp;IF(I1419="","Not approved | ",IF(UPPER(TRIM(H1419))=UPPER(TRIM(I1419)),"Self-approved | ",""))&amp;IF(J1419="","No support | ","")&amp;IF(WEEKDAY(B1419,2)&gt;5,"Weekend posting | ","")&amp;IF(COUNTIF(Settings!$A$14:$A$43,B1419)&gt;0,"Holiday posting | ","")&amp;IF(B1419&gt;Settings!$C$8,"Posted after close | ","")&amp;IF(OR(B1419&lt;Settings!$C$6,B1419&gt;Settings!$C$7),"Outside period | ","")&amp;IF(COUNTIF(Settings!$E$14:$E$43,C1419&amp;"")&gt;0,"Sensitive account | ","")&amp;IF(AND(MAX(N(E1419),N(F1419))&gt;=Settings!$C$9,MOD(MAX(N(E1419),N(F1419)),Settings!$C$10)=0),"Round amount | ",""))-3)))</f>
        <v/>
      </c>
      <c r="M1419" s="21" t="str">
        <f aca="false">IF(A1419="","",IF(COUNTIF($A$9:A1419,A1419)=1,MAX($M$8:M1418)+1,""))</f>
        <v/>
      </c>
    </row>
    <row r="1420" customFormat="false" ht="15" hidden="false" customHeight="false" outlineLevel="0" collapsed="false">
      <c r="A1420" s="8"/>
      <c r="B1420" s="17"/>
      <c r="C1420" s="19"/>
      <c r="D1420" s="8"/>
      <c r="E1420" s="18"/>
      <c r="F1420" s="18"/>
      <c r="G1420" s="8"/>
      <c r="H1420" s="8"/>
      <c r="I1420" s="8"/>
      <c r="J1420" s="8"/>
      <c r="K1420" s="10" t="str">
        <f aca="false">IF(A1420="","",IF(ABS(SUMIFS($E$9:$E$2008,$A$9:$A$2008,A1420)-SUMIFS($F$9:$F$2008,$A$9:$A$2008,A1420))&lt;0.5,"Yes","No"))</f>
        <v/>
      </c>
      <c r="L1420" s="10" t="str">
        <f aca="false">IF(A1420="","",IF(IF(K1420="No","Does not balance | ","")&amp;IF(I1420="","Not approved | ",IF(UPPER(TRIM(H1420))=UPPER(TRIM(I1420)),"Self-approved | ",""))&amp;IF(J1420="","No support | ","")&amp;IF(WEEKDAY(B1420,2)&gt;5,"Weekend posting | ","")&amp;IF(COUNTIF(Settings!$A$14:$A$43,B1420)&gt;0,"Holiday posting | ","")&amp;IF(B1420&gt;Settings!$C$8,"Posted after close | ","")&amp;IF(OR(B1420&lt;Settings!$C$6,B1420&gt;Settings!$C$7),"Outside period | ","")&amp;IF(COUNTIF(Settings!$E$14:$E$43,C1420&amp;"")&gt;0,"Sensitive account | ","")&amp;IF(AND(MAX(N(E1420),N(F1420))&gt;=Settings!$C$9,MOD(MAX(N(E1420),N(F1420)),Settings!$C$10)=0),"Round amount | ","")="","",LEFT(IF(K1420="No","Does not balance | ","")&amp;IF(I1420="","Not approved | ",IF(UPPER(TRIM(H1420))=UPPER(TRIM(I1420)),"Self-approved | ",""))&amp;IF(J1420="","No support | ","")&amp;IF(WEEKDAY(B1420,2)&gt;5,"Weekend posting | ","")&amp;IF(COUNTIF(Settings!$A$14:$A$43,B1420)&gt;0,"Holiday posting | ","")&amp;IF(B1420&gt;Settings!$C$8,"Posted after close | ","")&amp;IF(OR(B1420&lt;Settings!$C$6,B1420&gt;Settings!$C$7),"Outside period | ","")&amp;IF(COUNTIF(Settings!$E$14:$E$43,C1420&amp;"")&gt;0,"Sensitive account | ","")&amp;IF(AND(MAX(N(E1420),N(F1420))&gt;=Settings!$C$9,MOD(MAX(N(E1420),N(F1420)),Settings!$C$10)=0),"Round amount | ",""),LEN(IF(K1420="No","Does not balance | ","")&amp;IF(I1420="","Not approved | ",IF(UPPER(TRIM(H1420))=UPPER(TRIM(I1420)),"Self-approved | ",""))&amp;IF(J1420="","No support | ","")&amp;IF(WEEKDAY(B1420,2)&gt;5,"Weekend posting | ","")&amp;IF(COUNTIF(Settings!$A$14:$A$43,B1420)&gt;0,"Holiday posting | ","")&amp;IF(B1420&gt;Settings!$C$8,"Posted after close | ","")&amp;IF(OR(B1420&lt;Settings!$C$6,B1420&gt;Settings!$C$7),"Outside period | ","")&amp;IF(COUNTIF(Settings!$E$14:$E$43,C1420&amp;"")&gt;0,"Sensitive account | ","")&amp;IF(AND(MAX(N(E1420),N(F1420))&gt;=Settings!$C$9,MOD(MAX(N(E1420),N(F1420)),Settings!$C$10)=0),"Round amount | ",""))-3)))</f>
        <v/>
      </c>
      <c r="M1420" s="21" t="str">
        <f aca="false">IF(A1420="","",IF(COUNTIF($A$9:A1420,A1420)=1,MAX($M$8:M1419)+1,""))</f>
        <v/>
      </c>
    </row>
    <row r="1421" customFormat="false" ht="15" hidden="false" customHeight="false" outlineLevel="0" collapsed="false">
      <c r="A1421" s="8"/>
      <c r="B1421" s="17"/>
      <c r="C1421" s="19"/>
      <c r="D1421" s="8"/>
      <c r="E1421" s="18"/>
      <c r="F1421" s="18"/>
      <c r="G1421" s="8"/>
      <c r="H1421" s="8"/>
      <c r="I1421" s="8"/>
      <c r="J1421" s="8"/>
      <c r="K1421" s="10" t="str">
        <f aca="false">IF(A1421="","",IF(ABS(SUMIFS($E$9:$E$2008,$A$9:$A$2008,A1421)-SUMIFS($F$9:$F$2008,$A$9:$A$2008,A1421))&lt;0.5,"Yes","No"))</f>
        <v/>
      </c>
      <c r="L1421" s="10" t="str">
        <f aca="false">IF(A1421="","",IF(IF(K1421="No","Does not balance | ","")&amp;IF(I1421="","Not approved | ",IF(UPPER(TRIM(H1421))=UPPER(TRIM(I1421)),"Self-approved | ",""))&amp;IF(J1421="","No support | ","")&amp;IF(WEEKDAY(B1421,2)&gt;5,"Weekend posting | ","")&amp;IF(COUNTIF(Settings!$A$14:$A$43,B1421)&gt;0,"Holiday posting | ","")&amp;IF(B1421&gt;Settings!$C$8,"Posted after close | ","")&amp;IF(OR(B1421&lt;Settings!$C$6,B1421&gt;Settings!$C$7),"Outside period | ","")&amp;IF(COUNTIF(Settings!$E$14:$E$43,C1421&amp;"")&gt;0,"Sensitive account | ","")&amp;IF(AND(MAX(N(E1421),N(F1421))&gt;=Settings!$C$9,MOD(MAX(N(E1421),N(F1421)),Settings!$C$10)=0),"Round amount | ","")="","",LEFT(IF(K1421="No","Does not balance | ","")&amp;IF(I1421="","Not approved | ",IF(UPPER(TRIM(H1421))=UPPER(TRIM(I1421)),"Self-approved | ",""))&amp;IF(J1421="","No support | ","")&amp;IF(WEEKDAY(B1421,2)&gt;5,"Weekend posting | ","")&amp;IF(COUNTIF(Settings!$A$14:$A$43,B1421)&gt;0,"Holiday posting | ","")&amp;IF(B1421&gt;Settings!$C$8,"Posted after close | ","")&amp;IF(OR(B1421&lt;Settings!$C$6,B1421&gt;Settings!$C$7),"Outside period | ","")&amp;IF(COUNTIF(Settings!$E$14:$E$43,C1421&amp;"")&gt;0,"Sensitive account | ","")&amp;IF(AND(MAX(N(E1421),N(F1421))&gt;=Settings!$C$9,MOD(MAX(N(E1421),N(F1421)),Settings!$C$10)=0),"Round amount | ",""),LEN(IF(K1421="No","Does not balance | ","")&amp;IF(I1421="","Not approved | ",IF(UPPER(TRIM(H1421))=UPPER(TRIM(I1421)),"Self-approved | ",""))&amp;IF(J1421="","No support | ","")&amp;IF(WEEKDAY(B1421,2)&gt;5,"Weekend posting | ","")&amp;IF(COUNTIF(Settings!$A$14:$A$43,B1421)&gt;0,"Holiday posting | ","")&amp;IF(B1421&gt;Settings!$C$8,"Posted after close | ","")&amp;IF(OR(B1421&lt;Settings!$C$6,B1421&gt;Settings!$C$7),"Outside period | ","")&amp;IF(COUNTIF(Settings!$E$14:$E$43,C1421&amp;"")&gt;0,"Sensitive account | ","")&amp;IF(AND(MAX(N(E1421),N(F1421))&gt;=Settings!$C$9,MOD(MAX(N(E1421),N(F1421)),Settings!$C$10)=0),"Round amount | ",""))-3)))</f>
        <v/>
      </c>
      <c r="M1421" s="21" t="str">
        <f aca="false">IF(A1421="","",IF(COUNTIF($A$9:A1421,A1421)=1,MAX($M$8:M1420)+1,""))</f>
        <v/>
      </c>
    </row>
    <row r="1422" customFormat="false" ht="15" hidden="false" customHeight="false" outlineLevel="0" collapsed="false">
      <c r="A1422" s="8"/>
      <c r="B1422" s="17"/>
      <c r="C1422" s="19"/>
      <c r="D1422" s="8"/>
      <c r="E1422" s="18"/>
      <c r="F1422" s="18"/>
      <c r="G1422" s="8"/>
      <c r="H1422" s="8"/>
      <c r="I1422" s="8"/>
      <c r="J1422" s="8"/>
      <c r="K1422" s="10" t="str">
        <f aca="false">IF(A1422="","",IF(ABS(SUMIFS($E$9:$E$2008,$A$9:$A$2008,A1422)-SUMIFS($F$9:$F$2008,$A$9:$A$2008,A1422))&lt;0.5,"Yes","No"))</f>
        <v/>
      </c>
      <c r="L1422" s="10" t="str">
        <f aca="false">IF(A1422="","",IF(IF(K1422="No","Does not balance | ","")&amp;IF(I1422="","Not approved | ",IF(UPPER(TRIM(H1422))=UPPER(TRIM(I1422)),"Self-approved | ",""))&amp;IF(J1422="","No support | ","")&amp;IF(WEEKDAY(B1422,2)&gt;5,"Weekend posting | ","")&amp;IF(COUNTIF(Settings!$A$14:$A$43,B1422)&gt;0,"Holiday posting | ","")&amp;IF(B1422&gt;Settings!$C$8,"Posted after close | ","")&amp;IF(OR(B1422&lt;Settings!$C$6,B1422&gt;Settings!$C$7),"Outside period | ","")&amp;IF(COUNTIF(Settings!$E$14:$E$43,C1422&amp;"")&gt;0,"Sensitive account | ","")&amp;IF(AND(MAX(N(E1422),N(F1422))&gt;=Settings!$C$9,MOD(MAX(N(E1422),N(F1422)),Settings!$C$10)=0),"Round amount | ","")="","",LEFT(IF(K1422="No","Does not balance | ","")&amp;IF(I1422="","Not approved | ",IF(UPPER(TRIM(H1422))=UPPER(TRIM(I1422)),"Self-approved | ",""))&amp;IF(J1422="","No support | ","")&amp;IF(WEEKDAY(B1422,2)&gt;5,"Weekend posting | ","")&amp;IF(COUNTIF(Settings!$A$14:$A$43,B1422)&gt;0,"Holiday posting | ","")&amp;IF(B1422&gt;Settings!$C$8,"Posted after close | ","")&amp;IF(OR(B1422&lt;Settings!$C$6,B1422&gt;Settings!$C$7),"Outside period | ","")&amp;IF(COUNTIF(Settings!$E$14:$E$43,C1422&amp;"")&gt;0,"Sensitive account | ","")&amp;IF(AND(MAX(N(E1422),N(F1422))&gt;=Settings!$C$9,MOD(MAX(N(E1422),N(F1422)),Settings!$C$10)=0),"Round amount | ",""),LEN(IF(K1422="No","Does not balance | ","")&amp;IF(I1422="","Not approved | ",IF(UPPER(TRIM(H1422))=UPPER(TRIM(I1422)),"Self-approved | ",""))&amp;IF(J1422="","No support | ","")&amp;IF(WEEKDAY(B1422,2)&gt;5,"Weekend posting | ","")&amp;IF(COUNTIF(Settings!$A$14:$A$43,B1422)&gt;0,"Holiday posting | ","")&amp;IF(B1422&gt;Settings!$C$8,"Posted after close | ","")&amp;IF(OR(B1422&lt;Settings!$C$6,B1422&gt;Settings!$C$7),"Outside period | ","")&amp;IF(COUNTIF(Settings!$E$14:$E$43,C1422&amp;"")&gt;0,"Sensitive account | ","")&amp;IF(AND(MAX(N(E1422),N(F1422))&gt;=Settings!$C$9,MOD(MAX(N(E1422),N(F1422)),Settings!$C$10)=0),"Round amount | ",""))-3)))</f>
        <v/>
      </c>
      <c r="M1422" s="21" t="str">
        <f aca="false">IF(A1422="","",IF(COUNTIF($A$9:A1422,A1422)=1,MAX($M$8:M1421)+1,""))</f>
        <v/>
      </c>
    </row>
    <row r="1423" customFormat="false" ht="15" hidden="false" customHeight="false" outlineLevel="0" collapsed="false">
      <c r="A1423" s="8"/>
      <c r="B1423" s="17"/>
      <c r="C1423" s="19"/>
      <c r="D1423" s="8"/>
      <c r="E1423" s="18"/>
      <c r="F1423" s="18"/>
      <c r="G1423" s="8"/>
      <c r="H1423" s="8"/>
      <c r="I1423" s="8"/>
      <c r="J1423" s="8"/>
      <c r="K1423" s="10" t="str">
        <f aca="false">IF(A1423="","",IF(ABS(SUMIFS($E$9:$E$2008,$A$9:$A$2008,A1423)-SUMIFS($F$9:$F$2008,$A$9:$A$2008,A1423))&lt;0.5,"Yes","No"))</f>
        <v/>
      </c>
      <c r="L1423" s="10" t="str">
        <f aca="false">IF(A1423="","",IF(IF(K1423="No","Does not balance | ","")&amp;IF(I1423="","Not approved | ",IF(UPPER(TRIM(H1423))=UPPER(TRIM(I1423)),"Self-approved | ",""))&amp;IF(J1423="","No support | ","")&amp;IF(WEEKDAY(B1423,2)&gt;5,"Weekend posting | ","")&amp;IF(COUNTIF(Settings!$A$14:$A$43,B1423)&gt;0,"Holiday posting | ","")&amp;IF(B1423&gt;Settings!$C$8,"Posted after close | ","")&amp;IF(OR(B1423&lt;Settings!$C$6,B1423&gt;Settings!$C$7),"Outside period | ","")&amp;IF(COUNTIF(Settings!$E$14:$E$43,C1423&amp;"")&gt;0,"Sensitive account | ","")&amp;IF(AND(MAX(N(E1423),N(F1423))&gt;=Settings!$C$9,MOD(MAX(N(E1423),N(F1423)),Settings!$C$10)=0),"Round amount | ","")="","",LEFT(IF(K1423="No","Does not balance | ","")&amp;IF(I1423="","Not approved | ",IF(UPPER(TRIM(H1423))=UPPER(TRIM(I1423)),"Self-approved | ",""))&amp;IF(J1423="","No support | ","")&amp;IF(WEEKDAY(B1423,2)&gt;5,"Weekend posting | ","")&amp;IF(COUNTIF(Settings!$A$14:$A$43,B1423)&gt;0,"Holiday posting | ","")&amp;IF(B1423&gt;Settings!$C$8,"Posted after close | ","")&amp;IF(OR(B1423&lt;Settings!$C$6,B1423&gt;Settings!$C$7),"Outside period | ","")&amp;IF(COUNTIF(Settings!$E$14:$E$43,C1423&amp;"")&gt;0,"Sensitive account | ","")&amp;IF(AND(MAX(N(E1423),N(F1423))&gt;=Settings!$C$9,MOD(MAX(N(E1423),N(F1423)),Settings!$C$10)=0),"Round amount | ",""),LEN(IF(K1423="No","Does not balance | ","")&amp;IF(I1423="","Not approved | ",IF(UPPER(TRIM(H1423))=UPPER(TRIM(I1423)),"Self-approved | ",""))&amp;IF(J1423="","No support | ","")&amp;IF(WEEKDAY(B1423,2)&gt;5,"Weekend posting | ","")&amp;IF(COUNTIF(Settings!$A$14:$A$43,B1423)&gt;0,"Holiday posting | ","")&amp;IF(B1423&gt;Settings!$C$8,"Posted after close | ","")&amp;IF(OR(B1423&lt;Settings!$C$6,B1423&gt;Settings!$C$7),"Outside period | ","")&amp;IF(COUNTIF(Settings!$E$14:$E$43,C1423&amp;"")&gt;0,"Sensitive account | ","")&amp;IF(AND(MAX(N(E1423),N(F1423))&gt;=Settings!$C$9,MOD(MAX(N(E1423),N(F1423)),Settings!$C$10)=0),"Round amount | ",""))-3)))</f>
        <v/>
      </c>
      <c r="M1423" s="21" t="str">
        <f aca="false">IF(A1423="","",IF(COUNTIF($A$9:A1423,A1423)=1,MAX($M$8:M1422)+1,""))</f>
        <v/>
      </c>
    </row>
    <row r="1424" customFormat="false" ht="15" hidden="false" customHeight="false" outlineLevel="0" collapsed="false">
      <c r="A1424" s="8"/>
      <c r="B1424" s="17"/>
      <c r="C1424" s="19"/>
      <c r="D1424" s="8"/>
      <c r="E1424" s="18"/>
      <c r="F1424" s="18"/>
      <c r="G1424" s="8"/>
      <c r="H1424" s="8"/>
      <c r="I1424" s="8"/>
      <c r="J1424" s="8"/>
      <c r="K1424" s="10" t="str">
        <f aca="false">IF(A1424="","",IF(ABS(SUMIFS($E$9:$E$2008,$A$9:$A$2008,A1424)-SUMIFS($F$9:$F$2008,$A$9:$A$2008,A1424))&lt;0.5,"Yes","No"))</f>
        <v/>
      </c>
      <c r="L1424" s="10" t="str">
        <f aca="false">IF(A1424="","",IF(IF(K1424="No","Does not balance | ","")&amp;IF(I1424="","Not approved | ",IF(UPPER(TRIM(H1424))=UPPER(TRIM(I1424)),"Self-approved | ",""))&amp;IF(J1424="","No support | ","")&amp;IF(WEEKDAY(B1424,2)&gt;5,"Weekend posting | ","")&amp;IF(COUNTIF(Settings!$A$14:$A$43,B1424)&gt;0,"Holiday posting | ","")&amp;IF(B1424&gt;Settings!$C$8,"Posted after close | ","")&amp;IF(OR(B1424&lt;Settings!$C$6,B1424&gt;Settings!$C$7),"Outside period | ","")&amp;IF(COUNTIF(Settings!$E$14:$E$43,C1424&amp;"")&gt;0,"Sensitive account | ","")&amp;IF(AND(MAX(N(E1424),N(F1424))&gt;=Settings!$C$9,MOD(MAX(N(E1424),N(F1424)),Settings!$C$10)=0),"Round amount | ","")="","",LEFT(IF(K1424="No","Does not balance | ","")&amp;IF(I1424="","Not approved | ",IF(UPPER(TRIM(H1424))=UPPER(TRIM(I1424)),"Self-approved | ",""))&amp;IF(J1424="","No support | ","")&amp;IF(WEEKDAY(B1424,2)&gt;5,"Weekend posting | ","")&amp;IF(COUNTIF(Settings!$A$14:$A$43,B1424)&gt;0,"Holiday posting | ","")&amp;IF(B1424&gt;Settings!$C$8,"Posted after close | ","")&amp;IF(OR(B1424&lt;Settings!$C$6,B1424&gt;Settings!$C$7),"Outside period | ","")&amp;IF(COUNTIF(Settings!$E$14:$E$43,C1424&amp;"")&gt;0,"Sensitive account | ","")&amp;IF(AND(MAX(N(E1424),N(F1424))&gt;=Settings!$C$9,MOD(MAX(N(E1424),N(F1424)),Settings!$C$10)=0),"Round amount | ",""),LEN(IF(K1424="No","Does not balance | ","")&amp;IF(I1424="","Not approved | ",IF(UPPER(TRIM(H1424))=UPPER(TRIM(I1424)),"Self-approved | ",""))&amp;IF(J1424="","No support | ","")&amp;IF(WEEKDAY(B1424,2)&gt;5,"Weekend posting | ","")&amp;IF(COUNTIF(Settings!$A$14:$A$43,B1424)&gt;0,"Holiday posting | ","")&amp;IF(B1424&gt;Settings!$C$8,"Posted after close | ","")&amp;IF(OR(B1424&lt;Settings!$C$6,B1424&gt;Settings!$C$7),"Outside period | ","")&amp;IF(COUNTIF(Settings!$E$14:$E$43,C1424&amp;"")&gt;0,"Sensitive account | ","")&amp;IF(AND(MAX(N(E1424),N(F1424))&gt;=Settings!$C$9,MOD(MAX(N(E1424),N(F1424)),Settings!$C$10)=0),"Round amount | ",""))-3)))</f>
        <v/>
      </c>
      <c r="M1424" s="21" t="str">
        <f aca="false">IF(A1424="","",IF(COUNTIF($A$9:A1424,A1424)=1,MAX($M$8:M1423)+1,""))</f>
        <v/>
      </c>
    </row>
    <row r="1425" customFormat="false" ht="15" hidden="false" customHeight="false" outlineLevel="0" collapsed="false">
      <c r="A1425" s="8"/>
      <c r="B1425" s="17"/>
      <c r="C1425" s="19"/>
      <c r="D1425" s="8"/>
      <c r="E1425" s="18"/>
      <c r="F1425" s="18"/>
      <c r="G1425" s="8"/>
      <c r="H1425" s="8"/>
      <c r="I1425" s="8"/>
      <c r="J1425" s="8"/>
      <c r="K1425" s="10" t="str">
        <f aca="false">IF(A1425="","",IF(ABS(SUMIFS($E$9:$E$2008,$A$9:$A$2008,A1425)-SUMIFS($F$9:$F$2008,$A$9:$A$2008,A1425))&lt;0.5,"Yes","No"))</f>
        <v/>
      </c>
      <c r="L1425" s="10" t="str">
        <f aca="false">IF(A1425="","",IF(IF(K1425="No","Does not balance | ","")&amp;IF(I1425="","Not approved | ",IF(UPPER(TRIM(H1425))=UPPER(TRIM(I1425)),"Self-approved | ",""))&amp;IF(J1425="","No support | ","")&amp;IF(WEEKDAY(B1425,2)&gt;5,"Weekend posting | ","")&amp;IF(COUNTIF(Settings!$A$14:$A$43,B1425)&gt;0,"Holiday posting | ","")&amp;IF(B1425&gt;Settings!$C$8,"Posted after close | ","")&amp;IF(OR(B1425&lt;Settings!$C$6,B1425&gt;Settings!$C$7),"Outside period | ","")&amp;IF(COUNTIF(Settings!$E$14:$E$43,C1425&amp;"")&gt;0,"Sensitive account | ","")&amp;IF(AND(MAX(N(E1425),N(F1425))&gt;=Settings!$C$9,MOD(MAX(N(E1425),N(F1425)),Settings!$C$10)=0),"Round amount | ","")="","",LEFT(IF(K1425="No","Does not balance | ","")&amp;IF(I1425="","Not approved | ",IF(UPPER(TRIM(H1425))=UPPER(TRIM(I1425)),"Self-approved | ",""))&amp;IF(J1425="","No support | ","")&amp;IF(WEEKDAY(B1425,2)&gt;5,"Weekend posting | ","")&amp;IF(COUNTIF(Settings!$A$14:$A$43,B1425)&gt;0,"Holiday posting | ","")&amp;IF(B1425&gt;Settings!$C$8,"Posted after close | ","")&amp;IF(OR(B1425&lt;Settings!$C$6,B1425&gt;Settings!$C$7),"Outside period | ","")&amp;IF(COUNTIF(Settings!$E$14:$E$43,C1425&amp;"")&gt;0,"Sensitive account | ","")&amp;IF(AND(MAX(N(E1425),N(F1425))&gt;=Settings!$C$9,MOD(MAX(N(E1425),N(F1425)),Settings!$C$10)=0),"Round amount | ",""),LEN(IF(K1425="No","Does not balance | ","")&amp;IF(I1425="","Not approved | ",IF(UPPER(TRIM(H1425))=UPPER(TRIM(I1425)),"Self-approved | ",""))&amp;IF(J1425="","No support | ","")&amp;IF(WEEKDAY(B1425,2)&gt;5,"Weekend posting | ","")&amp;IF(COUNTIF(Settings!$A$14:$A$43,B1425)&gt;0,"Holiday posting | ","")&amp;IF(B1425&gt;Settings!$C$8,"Posted after close | ","")&amp;IF(OR(B1425&lt;Settings!$C$6,B1425&gt;Settings!$C$7),"Outside period | ","")&amp;IF(COUNTIF(Settings!$E$14:$E$43,C1425&amp;"")&gt;0,"Sensitive account | ","")&amp;IF(AND(MAX(N(E1425),N(F1425))&gt;=Settings!$C$9,MOD(MAX(N(E1425),N(F1425)),Settings!$C$10)=0),"Round amount | ",""))-3)))</f>
        <v/>
      </c>
      <c r="M1425" s="21" t="str">
        <f aca="false">IF(A1425="","",IF(COUNTIF($A$9:A1425,A1425)=1,MAX($M$8:M1424)+1,""))</f>
        <v/>
      </c>
    </row>
    <row r="1426" customFormat="false" ht="15" hidden="false" customHeight="false" outlineLevel="0" collapsed="false">
      <c r="A1426" s="8"/>
      <c r="B1426" s="17"/>
      <c r="C1426" s="19"/>
      <c r="D1426" s="8"/>
      <c r="E1426" s="18"/>
      <c r="F1426" s="18"/>
      <c r="G1426" s="8"/>
      <c r="H1426" s="8"/>
      <c r="I1426" s="8"/>
      <c r="J1426" s="8"/>
      <c r="K1426" s="10" t="str">
        <f aca="false">IF(A1426="","",IF(ABS(SUMIFS($E$9:$E$2008,$A$9:$A$2008,A1426)-SUMIFS($F$9:$F$2008,$A$9:$A$2008,A1426))&lt;0.5,"Yes","No"))</f>
        <v/>
      </c>
      <c r="L1426" s="10" t="str">
        <f aca="false">IF(A1426="","",IF(IF(K1426="No","Does not balance | ","")&amp;IF(I1426="","Not approved | ",IF(UPPER(TRIM(H1426))=UPPER(TRIM(I1426)),"Self-approved | ",""))&amp;IF(J1426="","No support | ","")&amp;IF(WEEKDAY(B1426,2)&gt;5,"Weekend posting | ","")&amp;IF(COUNTIF(Settings!$A$14:$A$43,B1426)&gt;0,"Holiday posting | ","")&amp;IF(B1426&gt;Settings!$C$8,"Posted after close | ","")&amp;IF(OR(B1426&lt;Settings!$C$6,B1426&gt;Settings!$C$7),"Outside period | ","")&amp;IF(COUNTIF(Settings!$E$14:$E$43,C1426&amp;"")&gt;0,"Sensitive account | ","")&amp;IF(AND(MAX(N(E1426),N(F1426))&gt;=Settings!$C$9,MOD(MAX(N(E1426),N(F1426)),Settings!$C$10)=0),"Round amount | ","")="","",LEFT(IF(K1426="No","Does not balance | ","")&amp;IF(I1426="","Not approved | ",IF(UPPER(TRIM(H1426))=UPPER(TRIM(I1426)),"Self-approved | ",""))&amp;IF(J1426="","No support | ","")&amp;IF(WEEKDAY(B1426,2)&gt;5,"Weekend posting | ","")&amp;IF(COUNTIF(Settings!$A$14:$A$43,B1426)&gt;0,"Holiday posting | ","")&amp;IF(B1426&gt;Settings!$C$8,"Posted after close | ","")&amp;IF(OR(B1426&lt;Settings!$C$6,B1426&gt;Settings!$C$7),"Outside period | ","")&amp;IF(COUNTIF(Settings!$E$14:$E$43,C1426&amp;"")&gt;0,"Sensitive account | ","")&amp;IF(AND(MAX(N(E1426),N(F1426))&gt;=Settings!$C$9,MOD(MAX(N(E1426),N(F1426)),Settings!$C$10)=0),"Round amount | ",""),LEN(IF(K1426="No","Does not balance | ","")&amp;IF(I1426="","Not approved | ",IF(UPPER(TRIM(H1426))=UPPER(TRIM(I1426)),"Self-approved | ",""))&amp;IF(J1426="","No support | ","")&amp;IF(WEEKDAY(B1426,2)&gt;5,"Weekend posting | ","")&amp;IF(COUNTIF(Settings!$A$14:$A$43,B1426)&gt;0,"Holiday posting | ","")&amp;IF(B1426&gt;Settings!$C$8,"Posted after close | ","")&amp;IF(OR(B1426&lt;Settings!$C$6,B1426&gt;Settings!$C$7),"Outside period | ","")&amp;IF(COUNTIF(Settings!$E$14:$E$43,C1426&amp;"")&gt;0,"Sensitive account | ","")&amp;IF(AND(MAX(N(E1426),N(F1426))&gt;=Settings!$C$9,MOD(MAX(N(E1426),N(F1426)),Settings!$C$10)=0),"Round amount | ",""))-3)))</f>
        <v/>
      </c>
      <c r="M1426" s="21" t="str">
        <f aca="false">IF(A1426="","",IF(COUNTIF($A$9:A1426,A1426)=1,MAX($M$8:M1425)+1,""))</f>
        <v/>
      </c>
    </row>
    <row r="1427" customFormat="false" ht="15" hidden="false" customHeight="false" outlineLevel="0" collapsed="false">
      <c r="A1427" s="8"/>
      <c r="B1427" s="17"/>
      <c r="C1427" s="19"/>
      <c r="D1427" s="8"/>
      <c r="E1427" s="18"/>
      <c r="F1427" s="18"/>
      <c r="G1427" s="8"/>
      <c r="H1427" s="8"/>
      <c r="I1427" s="8"/>
      <c r="J1427" s="8"/>
      <c r="K1427" s="10" t="str">
        <f aca="false">IF(A1427="","",IF(ABS(SUMIFS($E$9:$E$2008,$A$9:$A$2008,A1427)-SUMIFS($F$9:$F$2008,$A$9:$A$2008,A1427))&lt;0.5,"Yes","No"))</f>
        <v/>
      </c>
      <c r="L1427" s="10" t="str">
        <f aca="false">IF(A1427="","",IF(IF(K1427="No","Does not balance | ","")&amp;IF(I1427="","Not approved | ",IF(UPPER(TRIM(H1427))=UPPER(TRIM(I1427)),"Self-approved | ",""))&amp;IF(J1427="","No support | ","")&amp;IF(WEEKDAY(B1427,2)&gt;5,"Weekend posting | ","")&amp;IF(COUNTIF(Settings!$A$14:$A$43,B1427)&gt;0,"Holiday posting | ","")&amp;IF(B1427&gt;Settings!$C$8,"Posted after close | ","")&amp;IF(OR(B1427&lt;Settings!$C$6,B1427&gt;Settings!$C$7),"Outside period | ","")&amp;IF(COUNTIF(Settings!$E$14:$E$43,C1427&amp;"")&gt;0,"Sensitive account | ","")&amp;IF(AND(MAX(N(E1427),N(F1427))&gt;=Settings!$C$9,MOD(MAX(N(E1427),N(F1427)),Settings!$C$10)=0),"Round amount | ","")="","",LEFT(IF(K1427="No","Does not balance | ","")&amp;IF(I1427="","Not approved | ",IF(UPPER(TRIM(H1427))=UPPER(TRIM(I1427)),"Self-approved | ",""))&amp;IF(J1427="","No support | ","")&amp;IF(WEEKDAY(B1427,2)&gt;5,"Weekend posting | ","")&amp;IF(COUNTIF(Settings!$A$14:$A$43,B1427)&gt;0,"Holiday posting | ","")&amp;IF(B1427&gt;Settings!$C$8,"Posted after close | ","")&amp;IF(OR(B1427&lt;Settings!$C$6,B1427&gt;Settings!$C$7),"Outside period | ","")&amp;IF(COUNTIF(Settings!$E$14:$E$43,C1427&amp;"")&gt;0,"Sensitive account | ","")&amp;IF(AND(MAX(N(E1427),N(F1427))&gt;=Settings!$C$9,MOD(MAX(N(E1427),N(F1427)),Settings!$C$10)=0),"Round amount | ",""),LEN(IF(K1427="No","Does not balance | ","")&amp;IF(I1427="","Not approved | ",IF(UPPER(TRIM(H1427))=UPPER(TRIM(I1427)),"Self-approved | ",""))&amp;IF(J1427="","No support | ","")&amp;IF(WEEKDAY(B1427,2)&gt;5,"Weekend posting | ","")&amp;IF(COUNTIF(Settings!$A$14:$A$43,B1427)&gt;0,"Holiday posting | ","")&amp;IF(B1427&gt;Settings!$C$8,"Posted after close | ","")&amp;IF(OR(B1427&lt;Settings!$C$6,B1427&gt;Settings!$C$7),"Outside period | ","")&amp;IF(COUNTIF(Settings!$E$14:$E$43,C1427&amp;"")&gt;0,"Sensitive account | ","")&amp;IF(AND(MAX(N(E1427),N(F1427))&gt;=Settings!$C$9,MOD(MAX(N(E1427),N(F1427)),Settings!$C$10)=0),"Round amount | ",""))-3)))</f>
        <v/>
      </c>
      <c r="M1427" s="21" t="str">
        <f aca="false">IF(A1427="","",IF(COUNTIF($A$9:A1427,A1427)=1,MAX($M$8:M1426)+1,""))</f>
        <v/>
      </c>
    </row>
    <row r="1428" customFormat="false" ht="15" hidden="false" customHeight="false" outlineLevel="0" collapsed="false">
      <c r="A1428" s="8"/>
      <c r="B1428" s="17"/>
      <c r="C1428" s="19"/>
      <c r="D1428" s="8"/>
      <c r="E1428" s="18"/>
      <c r="F1428" s="18"/>
      <c r="G1428" s="8"/>
      <c r="H1428" s="8"/>
      <c r="I1428" s="8"/>
      <c r="J1428" s="8"/>
      <c r="K1428" s="10" t="str">
        <f aca="false">IF(A1428="","",IF(ABS(SUMIFS($E$9:$E$2008,$A$9:$A$2008,A1428)-SUMIFS($F$9:$F$2008,$A$9:$A$2008,A1428))&lt;0.5,"Yes","No"))</f>
        <v/>
      </c>
      <c r="L1428" s="10" t="str">
        <f aca="false">IF(A1428="","",IF(IF(K1428="No","Does not balance | ","")&amp;IF(I1428="","Not approved | ",IF(UPPER(TRIM(H1428))=UPPER(TRIM(I1428)),"Self-approved | ",""))&amp;IF(J1428="","No support | ","")&amp;IF(WEEKDAY(B1428,2)&gt;5,"Weekend posting | ","")&amp;IF(COUNTIF(Settings!$A$14:$A$43,B1428)&gt;0,"Holiday posting | ","")&amp;IF(B1428&gt;Settings!$C$8,"Posted after close | ","")&amp;IF(OR(B1428&lt;Settings!$C$6,B1428&gt;Settings!$C$7),"Outside period | ","")&amp;IF(COUNTIF(Settings!$E$14:$E$43,C1428&amp;"")&gt;0,"Sensitive account | ","")&amp;IF(AND(MAX(N(E1428),N(F1428))&gt;=Settings!$C$9,MOD(MAX(N(E1428),N(F1428)),Settings!$C$10)=0),"Round amount | ","")="","",LEFT(IF(K1428="No","Does not balance | ","")&amp;IF(I1428="","Not approved | ",IF(UPPER(TRIM(H1428))=UPPER(TRIM(I1428)),"Self-approved | ",""))&amp;IF(J1428="","No support | ","")&amp;IF(WEEKDAY(B1428,2)&gt;5,"Weekend posting | ","")&amp;IF(COUNTIF(Settings!$A$14:$A$43,B1428)&gt;0,"Holiday posting | ","")&amp;IF(B1428&gt;Settings!$C$8,"Posted after close | ","")&amp;IF(OR(B1428&lt;Settings!$C$6,B1428&gt;Settings!$C$7),"Outside period | ","")&amp;IF(COUNTIF(Settings!$E$14:$E$43,C1428&amp;"")&gt;0,"Sensitive account | ","")&amp;IF(AND(MAX(N(E1428),N(F1428))&gt;=Settings!$C$9,MOD(MAX(N(E1428),N(F1428)),Settings!$C$10)=0),"Round amount | ",""),LEN(IF(K1428="No","Does not balance | ","")&amp;IF(I1428="","Not approved | ",IF(UPPER(TRIM(H1428))=UPPER(TRIM(I1428)),"Self-approved | ",""))&amp;IF(J1428="","No support | ","")&amp;IF(WEEKDAY(B1428,2)&gt;5,"Weekend posting | ","")&amp;IF(COUNTIF(Settings!$A$14:$A$43,B1428)&gt;0,"Holiday posting | ","")&amp;IF(B1428&gt;Settings!$C$8,"Posted after close | ","")&amp;IF(OR(B1428&lt;Settings!$C$6,B1428&gt;Settings!$C$7),"Outside period | ","")&amp;IF(COUNTIF(Settings!$E$14:$E$43,C1428&amp;"")&gt;0,"Sensitive account | ","")&amp;IF(AND(MAX(N(E1428),N(F1428))&gt;=Settings!$C$9,MOD(MAX(N(E1428),N(F1428)),Settings!$C$10)=0),"Round amount | ",""))-3)))</f>
        <v/>
      </c>
      <c r="M1428" s="21" t="str">
        <f aca="false">IF(A1428="","",IF(COUNTIF($A$9:A1428,A1428)=1,MAX($M$8:M1427)+1,""))</f>
        <v/>
      </c>
    </row>
    <row r="1429" customFormat="false" ht="15" hidden="false" customHeight="false" outlineLevel="0" collapsed="false">
      <c r="A1429" s="8"/>
      <c r="B1429" s="17"/>
      <c r="C1429" s="19"/>
      <c r="D1429" s="8"/>
      <c r="E1429" s="18"/>
      <c r="F1429" s="18"/>
      <c r="G1429" s="8"/>
      <c r="H1429" s="8"/>
      <c r="I1429" s="8"/>
      <c r="J1429" s="8"/>
      <c r="K1429" s="10" t="str">
        <f aca="false">IF(A1429="","",IF(ABS(SUMIFS($E$9:$E$2008,$A$9:$A$2008,A1429)-SUMIFS($F$9:$F$2008,$A$9:$A$2008,A1429))&lt;0.5,"Yes","No"))</f>
        <v/>
      </c>
      <c r="L1429" s="10" t="str">
        <f aca="false">IF(A1429="","",IF(IF(K1429="No","Does not balance | ","")&amp;IF(I1429="","Not approved | ",IF(UPPER(TRIM(H1429))=UPPER(TRIM(I1429)),"Self-approved | ",""))&amp;IF(J1429="","No support | ","")&amp;IF(WEEKDAY(B1429,2)&gt;5,"Weekend posting | ","")&amp;IF(COUNTIF(Settings!$A$14:$A$43,B1429)&gt;0,"Holiday posting | ","")&amp;IF(B1429&gt;Settings!$C$8,"Posted after close | ","")&amp;IF(OR(B1429&lt;Settings!$C$6,B1429&gt;Settings!$C$7),"Outside period | ","")&amp;IF(COUNTIF(Settings!$E$14:$E$43,C1429&amp;"")&gt;0,"Sensitive account | ","")&amp;IF(AND(MAX(N(E1429),N(F1429))&gt;=Settings!$C$9,MOD(MAX(N(E1429),N(F1429)),Settings!$C$10)=0),"Round amount | ","")="","",LEFT(IF(K1429="No","Does not balance | ","")&amp;IF(I1429="","Not approved | ",IF(UPPER(TRIM(H1429))=UPPER(TRIM(I1429)),"Self-approved | ",""))&amp;IF(J1429="","No support | ","")&amp;IF(WEEKDAY(B1429,2)&gt;5,"Weekend posting | ","")&amp;IF(COUNTIF(Settings!$A$14:$A$43,B1429)&gt;0,"Holiday posting | ","")&amp;IF(B1429&gt;Settings!$C$8,"Posted after close | ","")&amp;IF(OR(B1429&lt;Settings!$C$6,B1429&gt;Settings!$C$7),"Outside period | ","")&amp;IF(COUNTIF(Settings!$E$14:$E$43,C1429&amp;"")&gt;0,"Sensitive account | ","")&amp;IF(AND(MAX(N(E1429),N(F1429))&gt;=Settings!$C$9,MOD(MAX(N(E1429),N(F1429)),Settings!$C$10)=0),"Round amount | ",""),LEN(IF(K1429="No","Does not balance | ","")&amp;IF(I1429="","Not approved | ",IF(UPPER(TRIM(H1429))=UPPER(TRIM(I1429)),"Self-approved | ",""))&amp;IF(J1429="","No support | ","")&amp;IF(WEEKDAY(B1429,2)&gt;5,"Weekend posting | ","")&amp;IF(COUNTIF(Settings!$A$14:$A$43,B1429)&gt;0,"Holiday posting | ","")&amp;IF(B1429&gt;Settings!$C$8,"Posted after close | ","")&amp;IF(OR(B1429&lt;Settings!$C$6,B1429&gt;Settings!$C$7),"Outside period | ","")&amp;IF(COUNTIF(Settings!$E$14:$E$43,C1429&amp;"")&gt;0,"Sensitive account | ","")&amp;IF(AND(MAX(N(E1429),N(F1429))&gt;=Settings!$C$9,MOD(MAX(N(E1429),N(F1429)),Settings!$C$10)=0),"Round amount | ",""))-3)))</f>
        <v/>
      </c>
      <c r="M1429" s="21" t="str">
        <f aca="false">IF(A1429="","",IF(COUNTIF($A$9:A1429,A1429)=1,MAX($M$8:M1428)+1,""))</f>
        <v/>
      </c>
    </row>
    <row r="1430" customFormat="false" ht="15" hidden="false" customHeight="false" outlineLevel="0" collapsed="false">
      <c r="A1430" s="8"/>
      <c r="B1430" s="17"/>
      <c r="C1430" s="19"/>
      <c r="D1430" s="8"/>
      <c r="E1430" s="18"/>
      <c r="F1430" s="18"/>
      <c r="G1430" s="8"/>
      <c r="H1430" s="8"/>
      <c r="I1430" s="8"/>
      <c r="J1430" s="8"/>
      <c r="K1430" s="10" t="str">
        <f aca="false">IF(A1430="","",IF(ABS(SUMIFS($E$9:$E$2008,$A$9:$A$2008,A1430)-SUMIFS($F$9:$F$2008,$A$9:$A$2008,A1430))&lt;0.5,"Yes","No"))</f>
        <v/>
      </c>
      <c r="L1430" s="10" t="str">
        <f aca="false">IF(A1430="","",IF(IF(K1430="No","Does not balance | ","")&amp;IF(I1430="","Not approved | ",IF(UPPER(TRIM(H1430))=UPPER(TRIM(I1430)),"Self-approved | ",""))&amp;IF(J1430="","No support | ","")&amp;IF(WEEKDAY(B1430,2)&gt;5,"Weekend posting | ","")&amp;IF(COUNTIF(Settings!$A$14:$A$43,B1430)&gt;0,"Holiday posting | ","")&amp;IF(B1430&gt;Settings!$C$8,"Posted after close | ","")&amp;IF(OR(B1430&lt;Settings!$C$6,B1430&gt;Settings!$C$7),"Outside period | ","")&amp;IF(COUNTIF(Settings!$E$14:$E$43,C1430&amp;"")&gt;0,"Sensitive account | ","")&amp;IF(AND(MAX(N(E1430),N(F1430))&gt;=Settings!$C$9,MOD(MAX(N(E1430),N(F1430)),Settings!$C$10)=0),"Round amount | ","")="","",LEFT(IF(K1430="No","Does not balance | ","")&amp;IF(I1430="","Not approved | ",IF(UPPER(TRIM(H1430))=UPPER(TRIM(I1430)),"Self-approved | ",""))&amp;IF(J1430="","No support | ","")&amp;IF(WEEKDAY(B1430,2)&gt;5,"Weekend posting | ","")&amp;IF(COUNTIF(Settings!$A$14:$A$43,B1430)&gt;0,"Holiday posting | ","")&amp;IF(B1430&gt;Settings!$C$8,"Posted after close | ","")&amp;IF(OR(B1430&lt;Settings!$C$6,B1430&gt;Settings!$C$7),"Outside period | ","")&amp;IF(COUNTIF(Settings!$E$14:$E$43,C1430&amp;"")&gt;0,"Sensitive account | ","")&amp;IF(AND(MAX(N(E1430),N(F1430))&gt;=Settings!$C$9,MOD(MAX(N(E1430),N(F1430)),Settings!$C$10)=0),"Round amount | ",""),LEN(IF(K1430="No","Does not balance | ","")&amp;IF(I1430="","Not approved | ",IF(UPPER(TRIM(H1430))=UPPER(TRIM(I1430)),"Self-approved | ",""))&amp;IF(J1430="","No support | ","")&amp;IF(WEEKDAY(B1430,2)&gt;5,"Weekend posting | ","")&amp;IF(COUNTIF(Settings!$A$14:$A$43,B1430)&gt;0,"Holiday posting | ","")&amp;IF(B1430&gt;Settings!$C$8,"Posted after close | ","")&amp;IF(OR(B1430&lt;Settings!$C$6,B1430&gt;Settings!$C$7),"Outside period | ","")&amp;IF(COUNTIF(Settings!$E$14:$E$43,C1430&amp;"")&gt;0,"Sensitive account | ","")&amp;IF(AND(MAX(N(E1430),N(F1430))&gt;=Settings!$C$9,MOD(MAX(N(E1430),N(F1430)),Settings!$C$10)=0),"Round amount | ",""))-3)))</f>
        <v/>
      </c>
      <c r="M1430" s="21" t="str">
        <f aca="false">IF(A1430="","",IF(COUNTIF($A$9:A1430,A1430)=1,MAX($M$8:M1429)+1,""))</f>
        <v/>
      </c>
    </row>
    <row r="1431" customFormat="false" ht="15" hidden="false" customHeight="false" outlineLevel="0" collapsed="false">
      <c r="A1431" s="8"/>
      <c r="B1431" s="17"/>
      <c r="C1431" s="19"/>
      <c r="D1431" s="8"/>
      <c r="E1431" s="18"/>
      <c r="F1431" s="18"/>
      <c r="G1431" s="8"/>
      <c r="H1431" s="8"/>
      <c r="I1431" s="8"/>
      <c r="J1431" s="8"/>
      <c r="K1431" s="10" t="str">
        <f aca="false">IF(A1431="","",IF(ABS(SUMIFS($E$9:$E$2008,$A$9:$A$2008,A1431)-SUMIFS($F$9:$F$2008,$A$9:$A$2008,A1431))&lt;0.5,"Yes","No"))</f>
        <v/>
      </c>
      <c r="L1431" s="10" t="str">
        <f aca="false">IF(A1431="","",IF(IF(K1431="No","Does not balance | ","")&amp;IF(I1431="","Not approved | ",IF(UPPER(TRIM(H1431))=UPPER(TRIM(I1431)),"Self-approved | ",""))&amp;IF(J1431="","No support | ","")&amp;IF(WEEKDAY(B1431,2)&gt;5,"Weekend posting | ","")&amp;IF(COUNTIF(Settings!$A$14:$A$43,B1431)&gt;0,"Holiday posting | ","")&amp;IF(B1431&gt;Settings!$C$8,"Posted after close | ","")&amp;IF(OR(B1431&lt;Settings!$C$6,B1431&gt;Settings!$C$7),"Outside period | ","")&amp;IF(COUNTIF(Settings!$E$14:$E$43,C1431&amp;"")&gt;0,"Sensitive account | ","")&amp;IF(AND(MAX(N(E1431),N(F1431))&gt;=Settings!$C$9,MOD(MAX(N(E1431),N(F1431)),Settings!$C$10)=0),"Round amount | ","")="","",LEFT(IF(K1431="No","Does not balance | ","")&amp;IF(I1431="","Not approved | ",IF(UPPER(TRIM(H1431))=UPPER(TRIM(I1431)),"Self-approved | ",""))&amp;IF(J1431="","No support | ","")&amp;IF(WEEKDAY(B1431,2)&gt;5,"Weekend posting | ","")&amp;IF(COUNTIF(Settings!$A$14:$A$43,B1431)&gt;0,"Holiday posting | ","")&amp;IF(B1431&gt;Settings!$C$8,"Posted after close | ","")&amp;IF(OR(B1431&lt;Settings!$C$6,B1431&gt;Settings!$C$7),"Outside period | ","")&amp;IF(COUNTIF(Settings!$E$14:$E$43,C1431&amp;"")&gt;0,"Sensitive account | ","")&amp;IF(AND(MAX(N(E1431),N(F1431))&gt;=Settings!$C$9,MOD(MAX(N(E1431),N(F1431)),Settings!$C$10)=0),"Round amount | ",""),LEN(IF(K1431="No","Does not balance | ","")&amp;IF(I1431="","Not approved | ",IF(UPPER(TRIM(H1431))=UPPER(TRIM(I1431)),"Self-approved | ",""))&amp;IF(J1431="","No support | ","")&amp;IF(WEEKDAY(B1431,2)&gt;5,"Weekend posting | ","")&amp;IF(COUNTIF(Settings!$A$14:$A$43,B1431)&gt;0,"Holiday posting | ","")&amp;IF(B1431&gt;Settings!$C$8,"Posted after close | ","")&amp;IF(OR(B1431&lt;Settings!$C$6,B1431&gt;Settings!$C$7),"Outside period | ","")&amp;IF(COUNTIF(Settings!$E$14:$E$43,C1431&amp;"")&gt;0,"Sensitive account | ","")&amp;IF(AND(MAX(N(E1431),N(F1431))&gt;=Settings!$C$9,MOD(MAX(N(E1431),N(F1431)),Settings!$C$10)=0),"Round amount | ",""))-3)))</f>
        <v/>
      </c>
      <c r="M1431" s="21" t="str">
        <f aca="false">IF(A1431="","",IF(COUNTIF($A$9:A1431,A1431)=1,MAX($M$8:M1430)+1,""))</f>
        <v/>
      </c>
    </row>
    <row r="1432" customFormat="false" ht="15" hidden="false" customHeight="false" outlineLevel="0" collapsed="false">
      <c r="A1432" s="8"/>
      <c r="B1432" s="17"/>
      <c r="C1432" s="19"/>
      <c r="D1432" s="8"/>
      <c r="E1432" s="18"/>
      <c r="F1432" s="18"/>
      <c r="G1432" s="8"/>
      <c r="H1432" s="8"/>
      <c r="I1432" s="8"/>
      <c r="J1432" s="8"/>
      <c r="K1432" s="10" t="str">
        <f aca="false">IF(A1432="","",IF(ABS(SUMIFS($E$9:$E$2008,$A$9:$A$2008,A1432)-SUMIFS($F$9:$F$2008,$A$9:$A$2008,A1432))&lt;0.5,"Yes","No"))</f>
        <v/>
      </c>
      <c r="L1432" s="10" t="str">
        <f aca="false">IF(A1432="","",IF(IF(K1432="No","Does not balance | ","")&amp;IF(I1432="","Not approved | ",IF(UPPER(TRIM(H1432))=UPPER(TRIM(I1432)),"Self-approved | ",""))&amp;IF(J1432="","No support | ","")&amp;IF(WEEKDAY(B1432,2)&gt;5,"Weekend posting | ","")&amp;IF(COUNTIF(Settings!$A$14:$A$43,B1432)&gt;0,"Holiday posting | ","")&amp;IF(B1432&gt;Settings!$C$8,"Posted after close | ","")&amp;IF(OR(B1432&lt;Settings!$C$6,B1432&gt;Settings!$C$7),"Outside period | ","")&amp;IF(COUNTIF(Settings!$E$14:$E$43,C1432&amp;"")&gt;0,"Sensitive account | ","")&amp;IF(AND(MAX(N(E1432),N(F1432))&gt;=Settings!$C$9,MOD(MAX(N(E1432),N(F1432)),Settings!$C$10)=0),"Round amount | ","")="","",LEFT(IF(K1432="No","Does not balance | ","")&amp;IF(I1432="","Not approved | ",IF(UPPER(TRIM(H1432))=UPPER(TRIM(I1432)),"Self-approved | ",""))&amp;IF(J1432="","No support | ","")&amp;IF(WEEKDAY(B1432,2)&gt;5,"Weekend posting | ","")&amp;IF(COUNTIF(Settings!$A$14:$A$43,B1432)&gt;0,"Holiday posting | ","")&amp;IF(B1432&gt;Settings!$C$8,"Posted after close | ","")&amp;IF(OR(B1432&lt;Settings!$C$6,B1432&gt;Settings!$C$7),"Outside period | ","")&amp;IF(COUNTIF(Settings!$E$14:$E$43,C1432&amp;"")&gt;0,"Sensitive account | ","")&amp;IF(AND(MAX(N(E1432),N(F1432))&gt;=Settings!$C$9,MOD(MAX(N(E1432),N(F1432)),Settings!$C$10)=0),"Round amount | ",""),LEN(IF(K1432="No","Does not balance | ","")&amp;IF(I1432="","Not approved | ",IF(UPPER(TRIM(H1432))=UPPER(TRIM(I1432)),"Self-approved | ",""))&amp;IF(J1432="","No support | ","")&amp;IF(WEEKDAY(B1432,2)&gt;5,"Weekend posting | ","")&amp;IF(COUNTIF(Settings!$A$14:$A$43,B1432)&gt;0,"Holiday posting | ","")&amp;IF(B1432&gt;Settings!$C$8,"Posted after close | ","")&amp;IF(OR(B1432&lt;Settings!$C$6,B1432&gt;Settings!$C$7),"Outside period | ","")&amp;IF(COUNTIF(Settings!$E$14:$E$43,C1432&amp;"")&gt;0,"Sensitive account | ","")&amp;IF(AND(MAX(N(E1432),N(F1432))&gt;=Settings!$C$9,MOD(MAX(N(E1432),N(F1432)),Settings!$C$10)=0),"Round amount | ",""))-3)))</f>
        <v/>
      </c>
      <c r="M1432" s="21" t="str">
        <f aca="false">IF(A1432="","",IF(COUNTIF($A$9:A1432,A1432)=1,MAX($M$8:M1431)+1,""))</f>
        <v/>
      </c>
    </row>
    <row r="1433" customFormat="false" ht="15" hidden="false" customHeight="false" outlineLevel="0" collapsed="false">
      <c r="A1433" s="8"/>
      <c r="B1433" s="17"/>
      <c r="C1433" s="19"/>
      <c r="D1433" s="8"/>
      <c r="E1433" s="18"/>
      <c r="F1433" s="18"/>
      <c r="G1433" s="8"/>
      <c r="H1433" s="8"/>
      <c r="I1433" s="8"/>
      <c r="J1433" s="8"/>
      <c r="K1433" s="10" t="str">
        <f aca="false">IF(A1433="","",IF(ABS(SUMIFS($E$9:$E$2008,$A$9:$A$2008,A1433)-SUMIFS($F$9:$F$2008,$A$9:$A$2008,A1433))&lt;0.5,"Yes","No"))</f>
        <v/>
      </c>
      <c r="L1433" s="10" t="str">
        <f aca="false">IF(A1433="","",IF(IF(K1433="No","Does not balance | ","")&amp;IF(I1433="","Not approved | ",IF(UPPER(TRIM(H1433))=UPPER(TRIM(I1433)),"Self-approved | ",""))&amp;IF(J1433="","No support | ","")&amp;IF(WEEKDAY(B1433,2)&gt;5,"Weekend posting | ","")&amp;IF(COUNTIF(Settings!$A$14:$A$43,B1433)&gt;0,"Holiday posting | ","")&amp;IF(B1433&gt;Settings!$C$8,"Posted after close | ","")&amp;IF(OR(B1433&lt;Settings!$C$6,B1433&gt;Settings!$C$7),"Outside period | ","")&amp;IF(COUNTIF(Settings!$E$14:$E$43,C1433&amp;"")&gt;0,"Sensitive account | ","")&amp;IF(AND(MAX(N(E1433),N(F1433))&gt;=Settings!$C$9,MOD(MAX(N(E1433),N(F1433)),Settings!$C$10)=0),"Round amount | ","")="","",LEFT(IF(K1433="No","Does not balance | ","")&amp;IF(I1433="","Not approved | ",IF(UPPER(TRIM(H1433))=UPPER(TRIM(I1433)),"Self-approved | ",""))&amp;IF(J1433="","No support | ","")&amp;IF(WEEKDAY(B1433,2)&gt;5,"Weekend posting | ","")&amp;IF(COUNTIF(Settings!$A$14:$A$43,B1433)&gt;0,"Holiday posting | ","")&amp;IF(B1433&gt;Settings!$C$8,"Posted after close | ","")&amp;IF(OR(B1433&lt;Settings!$C$6,B1433&gt;Settings!$C$7),"Outside period | ","")&amp;IF(COUNTIF(Settings!$E$14:$E$43,C1433&amp;"")&gt;0,"Sensitive account | ","")&amp;IF(AND(MAX(N(E1433),N(F1433))&gt;=Settings!$C$9,MOD(MAX(N(E1433),N(F1433)),Settings!$C$10)=0),"Round amount | ",""),LEN(IF(K1433="No","Does not balance | ","")&amp;IF(I1433="","Not approved | ",IF(UPPER(TRIM(H1433))=UPPER(TRIM(I1433)),"Self-approved | ",""))&amp;IF(J1433="","No support | ","")&amp;IF(WEEKDAY(B1433,2)&gt;5,"Weekend posting | ","")&amp;IF(COUNTIF(Settings!$A$14:$A$43,B1433)&gt;0,"Holiday posting | ","")&amp;IF(B1433&gt;Settings!$C$8,"Posted after close | ","")&amp;IF(OR(B1433&lt;Settings!$C$6,B1433&gt;Settings!$C$7),"Outside period | ","")&amp;IF(COUNTIF(Settings!$E$14:$E$43,C1433&amp;"")&gt;0,"Sensitive account | ","")&amp;IF(AND(MAX(N(E1433),N(F1433))&gt;=Settings!$C$9,MOD(MAX(N(E1433),N(F1433)),Settings!$C$10)=0),"Round amount | ",""))-3)))</f>
        <v/>
      </c>
      <c r="M1433" s="21" t="str">
        <f aca="false">IF(A1433="","",IF(COUNTIF($A$9:A1433,A1433)=1,MAX($M$8:M1432)+1,""))</f>
        <v/>
      </c>
    </row>
    <row r="1434" customFormat="false" ht="15" hidden="false" customHeight="false" outlineLevel="0" collapsed="false">
      <c r="A1434" s="8"/>
      <c r="B1434" s="17"/>
      <c r="C1434" s="19"/>
      <c r="D1434" s="8"/>
      <c r="E1434" s="18"/>
      <c r="F1434" s="18"/>
      <c r="G1434" s="8"/>
      <c r="H1434" s="8"/>
      <c r="I1434" s="8"/>
      <c r="J1434" s="8"/>
      <c r="K1434" s="10" t="str">
        <f aca="false">IF(A1434="","",IF(ABS(SUMIFS($E$9:$E$2008,$A$9:$A$2008,A1434)-SUMIFS($F$9:$F$2008,$A$9:$A$2008,A1434))&lt;0.5,"Yes","No"))</f>
        <v/>
      </c>
      <c r="L1434" s="10" t="str">
        <f aca="false">IF(A1434="","",IF(IF(K1434="No","Does not balance | ","")&amp;IF(I1434="","Not approved | ",IF(UPPER(TRIM(H1434))=UPPER(TRIM(I1434)),"Self-approved | ",""))&amp;IF(J1434="","No support | ","")&amp;IF(WEEKDAY(B1434,2)&gt;5,"Weekend posting | ","")&amp;IF(COUNTIF(Settings!$A$14:$A$43,B1434)&gt;0,"Holiday posting | ","")&amp;IF(B1434&gt;Settings!$C$8,"Posted after close | ","")&amp;IF(OR(B1434&lt;Settings!$C$6,B1434&gt;Settings!$C$7),"Outside period | ","")&amp;IF(COUNTIF(Settings!$E$14:$E$43,C1434&amp;"")&gt;0,"Sensitive account | ","")&amp;IF(AND(MAX(N(E1434),N(F1434))&gt;=Settings!$C$9,MOD(MAX(N(E1434),N(F1434)),Settings!$C$10)=0),"Round amount | ","")="","",LEFT(IF(K1434="No","Does not balance | ","")&amp;IF(I1434="","Not approved | ",IF(UPPER(TRIM(H1434))=UPPER(TRIM(I1434)),"Self-approved | ",""))&amp;IF(J1434="","No support | ","")&amp;IF(WEEKDAY(B1434,2)&gt;5,"Weekend posting | ","")&amp;IF(COUNTIF(Settings!$A$14:$A$43,B1434)&gt;0,"Holiday posting | ","")&amp;IF(B1434&gt;Settings!$C$8,"Posted after close | ","")&amp;IF(OR(B1434&lt;Settings!$C$6,B1434&gt;Settings!$C$7),"Outside period | ","")&amp;IF(COUNTIF(Settings!$E$14:$E$43,C1434&amp;"")&gt;0,"Sensitive account | ","")&amp;IF(AND(MAX(N(E1434),N(F1434))&gt;=Settings!$C$9,MOD(MAX(N(E1434),N(F1434)),Settings!$C$10)=0),"Round amount | ",""),LEN(IF(K1434="No","Does not balance | ","")&amp;IF(I1434="","Not approved | ",IF(UPPER(TRIM(H1434))=UPPER(TRIM(I1434)),"Self-approved | ",""))&amp;IF(J1434="","No support | ","")&amp;IF(WEEKDAY(B1434,2)&gt;5,"Weekend posting | ","")&amp;IF(COUNTIF(Settings!$A$14:$A$43,B1434)&gt;0,"Holiday posting | ","")&amp;IF(B1434&gt;Settings!$C$8,"Posted after close | ","")&amp;IF(OR(B1434&lt;Settings!$C$6,B1434&gt;Settings!$C$7),"Outside period | ","")&amp;IF(COUNTIF(Settings!$E$14:$E$43,C1434&amp;"")&gt;0,"Sensitive account | ","")&amp;IF(AND(MAX(N(E1434),N(F1434))&gt;=Settings!$C$9,MOD(MAX(N(E1434),N(F1434)),Settings!$C$10)=0),"Round amount | ",""))-3)))</f>
        <v/>
      </c>
      <c r="M1434" s="21" t="str">
        <f aca="false">IF(A1434="","",IF(COUNTIF($A$9:A1434,A1434)=1,MAX($M$8:M1433)+1,""))</f>
        <v/>
      </c>
    </row>
    <row r="1435" customFormat="false" ht="15" hidden="false" customHeight="false" outlineLevel="0" collapsed="false">
      <c r="A1435" s="8"/>
      <c r="B1435" s="17"/>
      <c r="C1435" s="19"/>
      <c r="D1435" s="8"/>
      <c r="E1435" s="18"/>
      <c r="F1435" s="18"/>
      <c r="G1435" s="8"/>
      <c r="H1435" s="8"/>
      <c r="I1435" s="8"/>
      <c r="J1435" s="8"/>
      <c r="K1435" s="10" t="str">
        <f aca="false">IF(A1435="","",IF(ABS(SUMIFS($E$9:$E$2008,$A$9:$A$2008,A1435)-SUMIFS($F$9:$F$2008,$A$9:$A$2008,A1435))&lt;0.5,"Yes","No"))</f>
        <v/>
      </c>
      <c r="L1435" s="10" t="str">
        <f aca="false">IF(A1435="","",IF(IF(K1435="No","Does not balance | ","")&amp;IF(I1435="","Not approved | ",IF(UPPER(TRIM(H1435))=UPPER(TRIM(I1435)),"Self-approved | ",""))&amp;IF(J1435="","No support | ","")&amp;IF(WEEKDAY(B1435,2)&gt;5,"Weekend posting | ","")&amp;IF(COUNTIF(Settings!$A$14:$A$43,B1435)&gt;0,"Holiday posting | ","")&amp;IF(B1435&gt;Settings!$C$8,"Posted after close | ","")&amp;IF(OR(B1435&lt;Settings!$C$6,B1435&gt;Settings!$C$7),"Outside period | ","")&amp;IF(COUNTIF(Settings!$E$14:$E$43,C1435&amp;"")&gt;0,"Sensitive account | ","")&amp;IF(AND(MAX(N(E1435),N(F1435))&gt;=Settings!$C$9,MOD(MAX(N(E1435),N(F1435)),Settings!$C$10)=0),"Round amount | ","")="","",LEFT(IF(K1435="No","Does not balance | ","")&amp;IF(I1435="","Not approved | ",IF(UPPER(TRIM(H1435))=UPPER(TRIM(I1435)),"Self-approved | ",""))&amp;IF(J1435="","No support | ","")&amp;IF(WEEKDAY(B1435,2)&gt;5,"Weekend posting | ","")&amp;IF(COUNTIF(Settings!$A$14:$A$43,B1435)&gt;0,"Holiday posting | ","")&amp;IF(B1435&gt;Settings!$C$8,"Posted after close | ","")&amp;IF(OR(B1435&lt;Settings!$C$6,B1435&gt;Settings!$C$7),"Outside period | ","")&amp;IF(COUNTIF(Settings!$E$14:$E$43,C1435&amp;"")&gt;0,"Sensitive account | ","")&amp;IF(AND(MAX(N(E1435),N(F1435))&gt;=Settings!$C$9,MOD(MAX(N(E1435),N(F1435)),Settings!$C$10)=0),"Round amount | ",""),LEN(IF(K1435="No","Does not balance | ","")&amp;IF(I1435="","Not approved | ",IF(UPPER(TRIM(H1435))=UPPER(TRIM(I1435)),"Self-approved | ",""))&amp;IF(J1435="","No support | ","")&amp;IF(WEEKDAY(B1435,2)&gt;5,"Weekend posting | ","")&amp;IF(COUNTIF(Settings!$A$14:$A$43,B1435)&gt;0,"Holiday posting | ","")&amp;IF(B1435&gt;Settings!$C$8,"Posted after close | ","")&amp;IF(OR(B1435&lt;Settings!$C$6,B1435&gt;Settings!$C$7),"Outside period | ","")&amp;IF(COUNTIF(Settings!$E$14:$E$43,C1435&amp;"")&gt;0,"Sensitive account | ","")&amp;IF(AND(MAX(N(E1435),N(F1435))&gt;=Settings!$C$9,MOD(MAX(N(E1435),N(F1435)),Settings!$C$10)=0),"Round amount | ",""))-3)))</f>
        <v/>
      </c>
      <c r="M1435" s="21" t="str">
        <f aca="false">IF(A1435="","",IF(COUNTIF($A$9:A1435,A1435)=1,MAX($M$8:M1434)+1,""))</f>
        <v/>
      </c>
    </row>
    <row r="1436" customFormat="false" ht="15" hidden="false" customHeight="false" outlineLevel="0" collapsed="false">
      <c r="A1436" s="8"/>
      <c r="B1436" s="17"/>
      <c r="C1436" s="19"/>
      <c r="D1436" s="8"/>
      <c r="E1436" s="18"/>
      <c r="F1436" s="18"/>
      <c r="G1436" s="8"/>
      <c r="H1436" s="8"/>
      <c r="I1436" s="8"/>
      <c r="J1436" s="8"/>
      <c r="K1436" s="10" t="str">
        <f aca="false">IF(A1436="","",IF(ABS(SUMIFS($E$9:$E$2008,$A$9:$A$2008,A1436)-SUMIFS($F$9:$F$2008,$A$9:$A$2008,A1436))&lt;0.5,"Yes","No"))</f>
        <v/>
      </c>
      <c r="L1436" s="10" t="str">
        <f aca="false">IF(A1436="","",IF(IF(K1436="No","Does not balance | ","")&amp;IF(I1436="","Not approved | ",IF(UPPER(TRIM(H1436))=UPPER(TRIM(I1436)),"Self-approved | ",""))&amp;IF(J1436="","No support | ","")&amp;IF(WEEKDAY(B1436,2)&gt;5,"Weekend posting | ","")&amp;IF(COUNTIF(Settings!$A$14:$A$43,B1436)&gt;0,"Holiday posting | ","")&amp;IF(B1436&gt;Settings!$C$8,"Posted after close | ","")&amp;IF(OR(B1436&lt;Settings!$C$6,B1436&gt;Settings!$C$7),"Outside period | ","")&amp;IF(COUNTIF(Settings!$E$14:$E$43,C1436&amp;"")&gt;0,"Sensitive account | ","")&amp;IF(AND(MAX(N(E1436),N(F1436))&gt;=Settings!$C$9,MOD(MAX(N(E1436),N(F1436)),Settings!$C$10)=0),"Round amount | ","")="","",LEFT(IF(K1436="No","Does not balance | ","")&amp;IF(I1436="","Not approved | ",IF(UPPER(TRIM(H1436))=UPPER(TRIM(I1436)),"Self-approved | ",""))&amp;IF(J1436="","No support | ","")&amp;IF(WEEKDAY(B1436,2)&gt;5,"Weekend posting | ","")&amp;IF(COUNTIF(Settings!$A$14:$A$43,B1436)&gt;0,"Holiday posting | ","")&amp;IF(B1436&gt;Settings!$C$8,"Posted after close | ","")&amp;IF(OR(B1436&lt;Settings!$C$6,B1436&gt;Settings!$C$7),"Outside period | ","")&amp;IF(COUNTIF(Settings!$E$14:$E$43,C1436&amp;"")&gt;0,"Sensitive account | ","")&amp;IF(AND(MAX(N(E1436),N(F1436))&gt;=Settings!$C$9,MOD(MAX(N(E1436),N(F1436)),Settings!$C$10)=0),"Round amount | ",""),LEN(IF(K1436="No","Does not balance | ","")&amp;IF(I1436="","Not approved | ",IF(UPPER(TRIM(H1436))=UPPER(TRIM(I1436)),"Self-approved | ",""))&amp;IF(J1436="","No support | ","")&amp;IF(WEEKDAY(B1436,2)&gt;5,"Weekend posting | ","")&amp;IF(COUNTIF(Settings!$A$14:$A$43,B1436)&gt;0,"Holiday posting | ","")&amp;IF(B1436&gt;Settings!$C$8,"Posted after close | ","")&amp;IF(OR(B1436&lt;Settings!$C$6,B1436&gt;Settings!$C$7),"Outside period | ","")&amp;IF(COUNTIF(Settings!$E$14:$E$43,C1436&amp;"")&gt;0,"Sensitive account | ","")&amp;IF(AND(MAX(N(E1436),N(F1436))&gt;=Settings!$C$9,MOD(MAX(N(E1436),N(F1436)),Settings!$C$10)=0),"Round amount | ",""))-3)))</f>
        <v/>
      </c>
      <c r="M1436" s="21" t="str">
        <f aca="false">IF(A1436="","",IF(COUNTIF($A$9:A1436,A1436)=1,MAX($M$8:M1435)+1,""))</f>
        <v/>
      </c>
    </row>
    <row r="1437" customFormat="false" ht="15" hidden="false" customHeight="false" outlineLevel="0" collapsed="false">
      <c r="A1437" s="8"/>
      <c r="B1437" s="17"/>
      <c r="C1437" s="19"/>
      <c r="D1437" s="8"/>
      <c r="E1437" s="18"/>
      <c r="F1437" s="18"/>
      <c r="G1437" s="8"/>
      <c r="H1437" s="8"/>
      <c r="I1437" s="8"/>
      <c r="J1437" s="8"/>
      <c r="K1437" s="10" t="str">
        <f aca="false">IF(A1437="","",IF(ABS(SUMIFS($E$9:$E$2008,$A$9:$A$2008,A1437)-SUMIFS($F$9:$F$2008,$A$9:$A$2008,A1437))&lt;0.5,"Yes","No"))</f>
        <v/>
      </c>
      <c r="L1437" s="10" t="str">
        <f aca="false">IF(A1437="","",IF(IF(K1437="No","Does not balance | ","")&amp;IF(I1437="","Not approved | ",IF(UPPER(TRIM(H1437))=UPPER(TRIM(I1437)),"Self-approved | ",""))&amp;IF(J1437="","No support | ","")&amp;IF(WEEKDAY(B1437,2)&gt;5,"Weekend posting | ","")&amp;IF(COUNTIF(Settings!$A$14:$A$43,B1437)&gt;0,"Holiday posting | ","")&amp;IF(B1437&gt;Settings!$C$8,"Posted after close | ","")&amp;IF(OR(B1437&lt;Settings!$C$6,B1437&gt;Settings!$C$7),"Outside period | ","")&amp;IF(COUNTIF(Settings!$E$14:$E$43,C1437&amp;"")&gt;0,"Sensitive account | ","")&amp;IF(AND(MAX(N(E1437),N(F1437))&gt;=Settings!$C$9,MOD(MAX(N(E1437),N(F1437)),Settings!$C$10)=0),"Round amount | ","")="","",LEFT(IF(K1437="No","Does not balance | ","")&amp;IF(I1437="","Not approved | ",IF(UPPER(TRIM(H1437))=UPPER(TRIM(I1437)),"Self-approved | ",""))&amp;IF(J1437="","No support | ","")&amp;IF(WEEKDAY(B1437,2)&gt;5,"Weekend posting | ","")&amp;IF(COUNTIF(Settings!$A$14:$A$43,B1437)&gt;0,"Holiday posting | ","")&amp;IF(B1437&gt;Settings!$C$8,"Posted after close | ","")&amp;IF(OR(B1437&lt;Settings!$C$6,B1437&gt;Settings!$C$7),"Outside period | ","")&amp;IF(COUNTIF(Settings!$E$14:$E$43,C1437&amp;"")&gt;0,"Sensitive account | ","")&amp;IF(AND(MAX(N(E1437),N(F1437))&gt;=Settings!$C$9,MOD(MAX(N(E1437),N(F1437)),Settings!$C$10)=0),"Round amount | ",""),LEN(IF(K1437="No","Does not balance | ","")&amp;IF(I1437="","Not approved | ",IF(UPPER(TRIM(H1437))=UPPER(TRIM(I1437)),"Self-approved | ",""))&amp;IF(J1437="","No support | ","")&amp;IF(WEEKDAY(B1437,2)&gt;5,"Weekend posting | ","")&amp;IF(COUNTIF(Settings!$A$14:$A$43,B1437)&gt;0,"Holiday posting | ","")&amp;IF(B1437&gt;Settings!$C$8,"Posted after close | ","")&amp;IF(OR(B1437&lt;Settings!$C$6,B1437&gt;Settings!$C$7),"Outside period | ","")&amp;IF(COUNTIF(Settings!$E$14:$E$43,C1437&amp;"")&gt;0,"Sensitive account | ","")&amp;IF(AND(MAX(N(E1437),N(F1437))&gt;=Settings!$C$9,MOD(MAX(N(E1437),N(F1437)),Settings!$C$10)=0),"Round amount | ",""))-3)))</f>
        <v/>
      </c>
      <c r="M1437" s="21" t="str">
        <f aca="false">IF(A1437="","",IF(COUNTIF($A$9:A1437,A1437)=1,MAX($M$8:M1436)+1,""))</f>
        <v/>
      </c>
    </row>
    <row r="1438" customFormat="false" ht="15" hidden="false" customHeight="false" outlineLevel="0" collapsed="false">
      <c r="A1438" s="8"/>
      <c r="B1438" s="17"/>
      <c r="C1438" s="19"/>
      <c r="D1438" s="8"/>
      <c r="E1438" s="18"/>
      <c r="F1438" s="18"/>
      <c r="G1438" s="8"/>
      <c r="H1438" s="8"/>
      <c r="I1438" s="8"/>
      <c r="J1438" s="8"/>
      <c r="K1438" s="10" t="str">
        <f aca="false">IF(A1438="","",IF(ABS(SUMIFS($E$9:$E$2008,$A$9:$A$2008,A1438)-SUMIFS($F$9:$F$2008,$A$9:$A$2008,A1438))&lt;0.5,"Yes","No"))</f>
        <v/>
      </c>
      <c r="L1438" s="10" t="str">
        <f aca="false">IF(A1438="","",IF(IF(K1438="No","Does not balance | ","")&amp;IF(I1438="","Not approved | ",IF(UPPER(TRIM(H1438))=UPPER(TRIM(I1438)),"Self-approved | ",""))&amp;IF(J1438="","No support | ","")&amp;IF(WEEKDAY(B1438,2)&gt;5,"Weekend posting | ","")&amp;IF(COUNTIF(Settings!$A$14:$A$43,B1438)&gt;0,"Holiday posting | ","")&amp;IF(B1438&gt;Settings!$C$8,"Posted after close | ","")&amp;IF(OR(B1438&lt;Settings!$C$6,B1438&gt;Settings!$C$7),"Outside period | ","")&amp;IF(COUNTIF(Settings!$E$14:$E$43,C1438&amp;"")&gt;0,"Sensitive account | ","")&amp;IF(AND(MAX(N(E1438),N(F1438))&gt;=Settings!$C$9,MOD(MAX(N(E1438),N(F1438)),Settings!$C$10)=0),"Round amount | ","")="","",LEFT(IF(K1438="No","Does not balance | ","")&amp;IF(I1438="","Not approved | ",IF(UPPER(TRIM(H1438))=UPPER(TRIM(I1438)),"Self-approved | ",""))&amp;IF(J1438="","No support | ","")&amp;IF(WEEKDAY(B1438,2)&gt;5,"Weekend posting | ","")&amp;IF(COUNTIF(Settings!$A$14:$A$43,B1438)&gt;0,"Holiday posting | ","")&amp;IF(B1438&gt;Settings!$C$8,"Posted after close | ","")&amp;IF(OR(B1438&lt;Settings!$C$6,B1438&gt;Settings!$C$7),"Outside period | ","")&amp;IF(COUNTIF(Settings!$E$14:$E$43,C1438&amp;"")&gt;0,"Sensitive account | ","")&amp;IF(AND(MAX(N(E1438),N(F1438))&gt;=Settings!$C$9,MOD(MAX(N(E1438),N(F1438)),Settings!$C$10)=0),"Round amount | ",""),LEN(IF(K1438="No","Does not balance | ","")&amp;IF(I1438="","Not approved | ",IF(UPPER(TRIM(H1438))=UPPER(TRIM(I1438)),"Self-approved | ",""))&amp;IF(J1438="","No support | ","")&amp;IF(WEEKDAY(B1438,2)&gt;5,"Weekend posting | ","")&amp;IF(COUNTIF(Settings!$A$14:$A$43,B1438)&gt;0,"Holiday posting | ","")&amp;IF(B1438&gt;Settings!$C$8,"Posted after close | ","")&amp;IF(OR(B1438&lt;Settings!$C$6,B1438&gt;Settings!$C$7),"Outside period | ","")&amp;IF(COUNTIF(Settings!$E$14:$E$43,C1438&amp;"")&gt;0,"Sensitive account | ","")&amp;IF(AND(MAX(N(E1438),N(F1438))&gt;=Settings!$C$9,MOD(MAX(N(E1438),N(F1438)),Settings!$C$10)=0),"Round amount | ",""))-3)))</f>
        <v/>
      </c>
      <c r="M1438" s="21" t="str">
        <f aca="false">IF(A1438="","",IF(COUNTIF($A$9:A1438,A1438)=1,MAX($M$8:M1437)+1,""))</f>
        <v/>
      </c>
    </row>
    <row r="1439" customFormat="false" ht="15" hidden="false" customHeight="false" outlineLevel="0" collapsed="false">
      <c r="A1439" s="8"/>
      <c r="B1439" s="17"/>
      <c r="C1439" s="19"/>
      <c r="D1439" s="8"/>
      <c r="E1439" s="18"/>
      <c r="F1439" s="18"/>
      <c r="G1439" s="8"/>
      <c r="H1439" s="8"/>
      <c r="I1439" s="8"/>
      <c r="J1439" s="8"/>
      <c r="K1439" s="10" t="str">
        <f aca="false">IF(A1439="","",IF(ABS(SUMIFS($E$9:$E$2008,$A$9:$A$2008,A1439)-SUMIFS($F$9:$F$2008,$A$9:$A$2008,A1439))&lt;0.5,"Yes","No"))</f>
        <v/>
      </c>
      <c r="L1439" s="10" t="str">
        <f aca="false">IF(A1439="","",IF(IF(K1439="No","Does not balance | ","")&amp;IF(I1439="","Not approved | ",IF(UPPER(TRIM(H1439))=UPPER(TRIM(I1439)),"Self-approved | ",""))&amp;IF(J1439="","No support | ","")&amp;IF(WEEKDAY(B1439,2)&gt;5,"Weekend posting | ","")&amp;IF(COUNTIF(Settings!$A$14:$A$43,B1439)&gt;0,"Holiday posting | ","")&amp;IF(B1439&gt;Settings!$C$8,"Posted after close | ","")&amp;IF(OR(B1439&lt;Settings!$C$6,B1439&gt;Settings!$C$7),"Outside period | ","")&amp;IF(COUNTIF(Settings!$E$14:$E$43,C1439&amp;"")&gt;0,"Sensitive account | ","")&amp;IF(AND(MAX(N(E1439),N(F1439))&gt;=Settings!$C$9,MOD(MAX(N(E1439),N(F1439)),Settings!$C$10)=0),"Round amount | ","")="","",LEFT(IF(K1439="No","Does not balance | ","")&amp;IF(I1439="","Not approved | ",IF(UPPER(TRIM(H1439))=UPPER(TRIM(I1439)),"Self-approved | ",""))&amp;IF(J1439="","No support | ","")&amp;IF(WEEKDAY(B1439,2)&gt;5,"Weekend posting | ","")&amp;IF(COUNTIF(Settings!$A$14:$A$43,B1439)&gt;0,"Holiday posting | ","")&amp;IF(B1439&gt;Settings!$C$8,"Posted after close | ","")&amp;IF(OR(B1439&lt;Settings!$C$6,B1439&gt;Settings!$C$7),"Outside period | ","")&amp;IF(COUNTIF(Settings!$E$14:$E$43,C1439&amp;"")&gt;0,"Sensitive account | ","")&amp;IF(AND(MAX(N(E1439),N(F1439))&gt;=Settings!$C$9,MOD(MAX(N(E1439),N(F1439)),Settings!$C$10)=0),"Round amount | ",""),LEN(IF(K1439="No","Does not balance | ","")&amp;IF(I1439="","Not approved | ",IF(UPPER(TRIM(H1439))=UPPER(TRIM(I1439)),"Self-approved | ",""))&amp;IF(J1439="","No support | ","")&amp;IF(WEEKDAY(B1439,2)&gt;5,"Weekend posting | ","")&amp;IF(COUNTIF(Settings!$A$14:$A$43,B1439)&gt;0,"Holiday posting | ","")&amp;IF(B1439&gt;Settings!$C$8,"Posted after close | ","")&amp;IF(OR(B1439&lt;Settings!$C$6,B1439&gt;Settings!$C$7),"Outside period | ","")&amp;IF(COUNTIF(Settings!$E$14:$E$43,C1439&amp;"")&gt;0,"Sensitive account | ","")&amp;IF(AND(MAX(N(E1439),N(F1439))&gt;=Settings!$C$9,MOD(MAX(N(E1439),N(F1439)),Settings!$C$10)=0),"Round amount | ",""))-3)))</f>
        <v/>
      </c>
      <c r="M1439" s="21" t="str">
        <f aca="false">IF(A1439="","",IF(COUNTIF($A$9:A1439,A1439)=1,MAX($M$8:M1438)+1,""))</f>
        <v/>
      </c>
    </row>
    <row r="1440" customFormat="false" ht="15" hidden="false" customHeight="false" outlineLevel="0" collapsed="false">
      <c r="A1440" s="8"/>
      <c r="B1440" s="17"/>
      <c r="C1440" s="19"/>
      <c r="D1440" s="8"/>
      <c r="E1440" s="18"/>
      <c r="F1440" s="18"/>
      <c r="G1440" s="8"/>
      <c r="H1440" s="8"/>
      <c r="I1440" s="8"/>
      <c r="J1440" s="8"/>
      <c r="K1440" s="10" t="str">
        <f aca="false">IF(A1440="","",IF(ABS(SUMIFS($E$9:$E$2008,$A$9:$A$2008,A1440)-SUMIFS($F$9:$F$2008,$A$9:$A$2008,A1440))&lt;0.5,"Yes","No"))</f>
        <v/>
      </c>
      <c r="L1440" s="10" t="str">
        <f aca="false">IF(A1440="","",IF(IF(K1440="No","Does not balance | ","")&amp;IF(I1440="","Not approved | ",IF(UPPER(TRIM(H1440))=UPPER(TRIM(I1440)),"Self-approved | ",""))&amp;IF(J1440="","No support | ","")&amp;IF(WEEKDAY(B1440,2)&gt;5,"Weekend posting | ","")&amp;IF(COUNTIF(Settings!$A$14:$A$43,B1440)&gt;0,"Holiday posting | ","")&amp;IF(B1440&gt;Settings!$C$8,"Posted after close | ","")&amp;IF(OR(B1440&lt;Settings!$C$6,B1440&gt;Settings!$C$7),"Outside period | ","")&amp;IF(COUNTIF(Settings!$E$14:$E$43,C1440&amp;"")&gt;0,"Sensitive account | ","")&amp;IF(AND(MAX(N(E1440),N(F1440))&gt;=Settings!$C$9,MOD(MAX(N(E1440),N(F1440)),Settings!$C$10)=0),"Round amount | ","")="","",LEFT(IF(K1440="No","Does not balance | ","")&amp;IF(I1440="","Not approved | ",IF(UPPER(TRIM(H1440))=UPPER(TRIM(I1440)),"Self-approved | ",""))&amp;IF(J1440="","No support | ","")&amp;IF(WEEKDAY(B1440,2)&gt;5,"Weekend posting | ","")&amp;IF(COUNTIF(Settings!$A$14:$A$43,B1440)&gt;0,"Holiday posting | ","")&amp;IF(B1440&gt;Settings!$C$8,"Posted after close | ","")&amp;IF(OR(B1440&lt;Settings!$C$6,B1440&gt;Settings!$C$7),"Outside period | ","")&amp;IF(COUNTIF(Settings!$E$14:$E$43,C1440&amp;"")&gt;0,"Sensitive account | ","")&amp;IF(AND(MAX(N(E1440),N(F1440))&gt;=Settings!$C$9,MOD(MAX(N(E1440),N(F1440)),Settings!$C$10)=0),"Round amount | ",""),LEN(IF(K1440="No","Does not balance | ","")&amp;IF(I1440="","Not approved | ",IF(UPPER(TRIM(H1440))=UPPER(TRIM(I1440)),"Self-approved | ",""))&amp;IF(J1440="","No support | ","")&amp;IF(WEEKDAY(B1440,2)&gt;5,"Weekend posting | ","")&amp;IF(COUNTIF(Settings!$A$14:$A$43,B1440)&gt;0,"Holiday posting | ","")&amp;IF(B1440&gt;Settings!$C$8,"Posted after close | ","")&amp;IF(OR(B1440&lt;Settings!$C$6,B1440&gt;Settings!$C$7),"Outside period | ","")&amp;IF(COUNTIF(Settings!$E$14:$E$43,C1440&amp;"")&gt;0,"Sensitive account | ","")&amp;IF(AND(MAX(N(E1440),N(F1440))&gt;=Settings!$C$9,MOD(MAX(N(E1440),N(F1440)),Settings!$C$10)=0),"Round amount | ",""))-3)))</f>
        <v/>
      </c>
      <c r="M1440" s="21" t="str">
        <f aca="false">IF(A1440="","",IF(COUNTIF($A$9:A1440,A1440)=1,MAX($M$8:M1439)+1,""))</f>
        <v/>
      </c>
    </row>
    <row r="1441" customFormat="false" ht="15" hidden="false" customHeight="false" outlineLevel="0" collapsed="false">
      <c r="A1441" s="8"/>
      <c r="B1441" s="17"/>
      <c r="C1441" s="19"/>
      <c r="D1441" s="8"/>
      <c r="E1441" s="18"/>
      <c r="F1441" s="18"/>
      <c r="G1441" s="8"/>
      <c r="H1441" s="8"/>
      <c r="I1441" s="8"/>
      <c r="J1441" s="8"/>
      <c r="K1441" s="10" t="str">
        <f aca="false">IF(A1441="","",IF(ABS(SUMIFS($E$9:$E$2008,$A$9:$A$2008,A1441)-SUMIFS($F$9:$F$2008,$A$9:$A$2008,A1441))&lt;0.5,"Yes","No"))</f>
        <v/>
      </c>
      <c r="L1441" s="10" t="str">
        <f aca="false">IF(A1441="","",IF(IF(K1441="No","Does not balance | ","")&amp;IF(I1441="","Not approved | ",IF(UPPER(TRIM(H1441))=UPPER(TRIM(I1441)),"Self-approved | ",""))&amp;IF(J1441="","No support | ","")&amp;IF(WEEKDAY(B1441,2)&gt;5,"Weekend posting | ","")&amp;IF(COUNTIF(Settings!$A$14:$A$43,B1441)&gt;0,"Holiday posting | ","")&amp;IF(B1441&gt;Settings!$C$8,"Posted after close | ","")&amp;IF(OR(B1441&lt;Settings!$C$6,B1441&gt;Settings!$C$7),"Outside period | ","")&amp;IF(COUNTIF(Settings!$E$14:$E$43,C1441&amp;"")&gt;0,"Sensitive account | ","")&amp;IF(AND(MAX(N(E1441),N(F1441))&gt;=Settings!$C$9,MOD(MAX(N(E1441),N(F1441)),Settings!$C$10)=0),"Round amount | ","")="","",LEFT(IF(K1441="No","Does not balance | ","")&amp;IF(I1441="","Not approved | ",IF(UPPER(TRIM(H1441))=UPPER(TRIM(I1441)),"Self-approved | ",""))&amp;IF(J1441="","No support | ","")&amp;IF(WEEKDAY(B1441,2)&gt;5,"Weekend posting | ","")&amp;IF(COUNTIF(Settings!$A$14:$A$43,B1441)&gt;0,"Holiday posting | ","")&amp;IF(B1441&gt;Settings!$C$8,"Posted after close | ","")&amp;IF(OR(B1441&lt;Settings!$C$6,B1441&gt;Settings!$C$7),"Outside period | ","")&amp;IF(COUNTIF(Settings!$E$14:$E$43,C1441&amp;"")&gt;0,"Sensitive account | ","")&amp;IF(AND(MAX(N(E1441),N(F1441))&gt;=Settings!$C$9,MOD(MAX(N(E1441),N(F1441)),Settings!$C$10)=0),"Round amount | ",""),LEN(IF(K1441="No","Does not balance | ","")&amp;IF(I1441="","Not approved | ",IF(UPPER(TRIM(H1441))=UPPER(TRIM(I1441)),"Self-approved | ",""))&amp;IF(J1441="","No support | ","")&amp;IF(WEEKDAY(B1441,2)&gt;5,"Weekend posting | ","")&amp;IF(COUNTIF(Settings!$A$14:$A$43,B1441)&gt;0,"Holiday posting | ","")&amp;IF(B1441&gt;Settings!$C$8,"Posted after close | ","")&amp;IF(OR(B1441&lt;Settings!$C$6,B1441&gt;Settings!$C$7),"Outside period | ","")&amp;IF(COUNTIF(Settings!$E$14:$E$43,C1441&amp;"")&gt;0,"Sensitive account | ","")&amp;IF(AND(MAX(N(E1441),N(F1441))&gt;=Settings!$C$9,MOD(MAX(N(E1441),N(F1441)),Settings!$C$10)=0),"Round amount | ",""))-3)))</f>
        <v/>
      </c>
      <c r="M1441" s="21" t="str">
        <f aca="false">IF(A1441="","",IF(COUNTIF($A$9:A1441,A1441)=1,MAX($M$8:M1440)+1,""))</f>
        <v/>
      </c>
    </row>
    <row r="1442" customFormat="false" ht="15" hidden="false" customHeight="false" outlineLevel="0" collapsed="false">
      <c r="A1442" s="8"/>
      <c r="B1442" s="17"/>
      <c r="C1442" s="19"/>
      <c r="D1442" s="8"/>
      <c r="E1442" s="18"/>
      <c r="F1442" s="18"/>
      <c r="G1442" s="8"/>
      <c r="H1442" s="8"/>
      <c r="I1442" s="8"/>
      <c r="J1442" s="8"/>
      <c r="K1442" s="10" t="str">
        <f aca="false">IF(A1442="","",IF(ABS(SUMIFS($E$9:$E$2008,$A$9:$A$2008,A1442)-SUMIFS($F$9:$F$2008,$A$9:$A$2008,A1442))&lt;0.5,"Yes","No"))</f>
        <v/>
      </c>
      <c r="L1442" s="10" t="str">
        <f aca="false">IF(A1442="","",IF(IF(K1442="No","Does not balance | ","")&amp;IF(I1442="","Not approved | ",IF(UPPER(TRIM(H1442))=UPPER(TRIM(I1442)),"Self-approved | ",""))&amp;IF(J1442="","No support | ","")&amp;IF(WEEKDAY(B1442,2)&gt;5,"Weekend posting | ","")&amp;IF(COUNTIF(Settings!$A$14:$A$43,B1442)&gt;0,"Holiday posting | ","")&amp;IF(B1442&gt;Settings!$C$8,"Posted after close | ","")&amp;IF(OR(B1442&lt;Settings!$C$6,B1442&gt;Settings!$C$7),"Outside period | ","")&amp;IF(COUNTIF(Settings!$E$14:$E$43,C1442&amp;"")&gt;0,"Sensitive account | ","")&amp;IF(AND(MAX(N(E1442),N(F1442))&gt;=Settings!$C$9,MOD(MAX(N(E1442),N(F1442)),Settings!$C$10)=0),"Round amount | ","")="","",LEFT(IF(K1442="No","Does not balance | ","")&amp;IF(I1442="","Not approved | ",IF(UPPER(TRIM(H1442))=UPPER(TRIM(I1442)),"Self-approved | ",""))&amp;IF(J1442="","No support | ","")&amp;IF(WEEKDAY(B1442,2)&gt;5,"Weekend posting | ","")&amp;IF(COUNTIF(Settings!$A$14:$A$43,B1442)&gt;0,"Holiday posting | ","")&amp;IF(B1442&gt;Settings!$C$8,"Posted after close | ","")&amp;IF(OR(B1442&lt;Settings!$C$6,B1442&gt;Settings!$C$7),"Outside period | ","")&amp;IF(COUNTIF(Settings!$E$14:$E$43,C1442&amp;"")&gt;0,"Sensitive account | ","")&amp;IF(AND(MAX(N(E1442),N(F1442))&gt;=Settings!$C$9,MOD(MAX(N(E1442),N(F1442)),Settings!$C$10)=0),"Round amount | ",""),LEN(IF(K1442="No","Does not balance | ","")&amp;IF(I1442="","Not approved | ",IF(UPPER(TRIM(H1442))=UPPER(TRIM(I1442)),"Self-approved | ",""))&amp;IF(J1442="","No support | ","")&amp;IF(WEEKDAY(B1442,2)&gt;5,"Weekend posting | ","")&amp;IF(COUNTIF(Settings!$A$14:$A$43,B1442)&gt;0,"Holiday posting | ","")&amp;IF(B1442&gt;Settings!$C$8,"Posted after close | ","")&amp;IF(OR(B1442&lt;Settings!$C$6,B1442&gt;Settings!$C$7),"Outside period | ","")&amp;IF(COUNTIF(Settings!$E$14:$E$43,C1442&amp;"")&gt;0,"Sensitive account | ","")&amp;IF(AND(MAX(N(E1442),N(F1442))&gt;=Settings!$C$9,MOD(MAX(N(E1442),N(F1442)),Settings!$C$10)=0),"Round amount | ",""))-3)))</f>
        <v/>
      </c>
      <c r="M1442" s="21" t="str">
        <f aca="false">IF(A1442="","",IF(COUNTIF($A$9:A1442,A1442)=1,MAX($M$8:M1441)+1,""))</f>
        <v/>
      </c>
    </row>
    <row r="1443" customFormat="false" ht="15" hidden="false" customHeight="false" outlineLevel="0" collapsed="false">
      <c r="A1443" s="8"/>
      <c r="B1443" s="17"/>
      <c r="C1443" s="19"/>
      <c r="D1443" s="8"/>
      <c r="E1443" s="18"/>
      <c r="F1443" s="18"/>
      <c r="G1443" s="8"/>
      <c r="H1443" s="8"/>
      <c r="I1443" s="8"/>
      <c r="J1443" s="8"/>
      <c r="K1443" s="10" t="str">
        <f aca="false">IF(A1443="","",IF(ABS(SUMIFS($E$9:$E$2008,$A$9:$A$2008,A1443)-SUMIFS($F$9:$F$2008,$A$9:$A$2008,A1443))&lt;0.5,"Yes","No"))</f>
        <v/>
      </c>
      <c r="L1443" s="10" t="str">
        <f aca="false">IF(A1443="","",IF(IF(K1443="No","Does not balance | ","")&amp;IF(I1443="","Not approved | ",IF(UPPER(TRIM(H1443))=UPPER(TRIM(I1443)),"Self-approved | ",""))&amp;IF(J1443="","No support | ","")&amp;IF(WEEKDAY(B1443,2)&gt;5,"Weekend posting | ","")&amp;IF(COUNTIF(Settings!$A$14:$A$43,B1443)&gt;0,"Holiday posting | ","")&amp;IF(B1443&gt;Settings!$C$8,"Posted after close | ","")&amp;IF(OR(B1443&lt;Settings!$C$6,B1443&gt;Settings!$C$7),"Outside period | ","")&amp;IF(COUNTIF(Settings!$E$14:$E$43,C1443&amp;"")&gt;0,"Sensitive account | ","")&amp;IF(AND(MAX(N(E1443),N(F1443))&gt;=Settings!$C$9,MOD(MAX(N(E1443),N(F1443)),Settings!$C$10)=0),"Round amount | ","")="","",LEFT(IF(K1443="No","Does not balance | ","")&amp;IF(I1443="","Not approved | ",IF(UPPER(TRIM(H1443))=UPPER(TRIM(I1443)),"Self-approved | ",""))&amp;IF(J1443="","No support | ","")&amp;IF(WEEKDAY(B1443,2)&gt;5,"Weekend posting | ","")&amp;IF(COUNTIF(Settings!$A$14:$A$43,B1443)&gt;0,"Holiday posting | ","")&amp;IF(B1443&gt;Settings!$C$8,"Posted after close | ","")&amp;IF(OR(B1443&lt;Settings!$C$6,B1443&gt;Settings!$C$7),"Outside period | ","")&amp;IF(COUNTIF(Settings!$E$14:$E$43,C1443&amp;"")&gt;0,"Sensitive account | ","")&amp;IF(AND(MAX(N(E1443),N(F1443))&gt;=Settings!$C$9,MOD(MAX(N(E1443),N(F1443)),Settings!$C$10)=0),"Round amount | ",""),LEN(IF(K1443="No","Does not balance | ","")&amp;IF(I1443="","Not approved | ",IF(UPPER(TRIM(H1443))=UPPER(TRIM(I1443)),"Self-approved | ",""))&amp;IF(J1443="","No support | ","")&amp;IF(WEEKDAY(B1443,2)&gt;5,"Weekend posting | ","")&amp;IF(COUNTIF(Settings!$A$14:$A$43,B1443)&gt;0,"Holiday posting | ","")&amp;IF(B1443&gt;Settings!$C$8,"Posted after close | ","")&amp;IF(OR(B1443&lt;Settings!$C$6,B1443&gt;Settings!$C$7),"Outside period | ","")&amp;IF(COUNTIF(Settings!$E$14:$E$43,C1443&amp;"")&gt;0,"Sensitive account | ","")&amp;IF(AND(MAX(N(E1443),N(F1443))&gt;=Settings!$C$9,MOD(MAX(N(E1443),N(F1443)),Settings!$C$10)=0),"Round amount | ",""))-3)))</f>
        <v/>
      </c>
      <c r="M1443" s="21" t="str">
        <f aca="false">IF(A1443="","",IF(COUNTIF($A$9:A1443,A1443)=1,MAX($M$8:M1442)+1,""))</f>
        <v/>
      </c>
    </row>
    <row r="1444" customFormat="false" ht="15" hidden="false" customHeight="false" outlineLevel="0" collapsed="false">
      <c r="A1444" s="8"/>
      <c r="B1444" s="17"/>
      <c r="C1444" s="19"/>
      <c r="D1444" s="8"/>
      <c r="E1444" s="18"/>
      <c r="F1444" s="18"/>
      <c r="G1444" s="8"/>
      <c r="H1444" s="8"/>
      <c r="I1444" s="8"/>
      <c r="J1444" s="8"/>
      <c r="K1444" s="10" t="str">
        <f aca="false">IF(A1444="","",IF(ABS(SUMIFS($E$9:$E$2008,$A$9:$A$2008,A1444)-SUMIFS($F$9:$F$2008,$A$9:$A$2008,A1444))&lt;0.5,"Yes","No"))</f>
        <v/>
      </c>
      <c r="L1444" s="10" t="str">
        <f aca="false">IF(A1444="","",IF(IF(K1444="No","Does not balance | ","")&amp;IF(I1444="","Not approved | ",IF(UPPER(TRIM(H1444))=UPPER(TRIM(I1444)),"Self-approved | ",""))&amp;IF(J1444="","No support | ","")&amp;IF(WEEKDAY(B1444,2)&gt;5,"Weekend posting | ","")&amp;IF(COUNTIF(Settings!$A$14:$A$43,B1444)&gt;0,"Holiday posting | ","")&amp;IF(B1444&gt;Settings!$C$8,"Posted after close | ","")&amp;IF(OR(B1444&lt;Settings!$C$6,B1444&gt;Settings!$C$7),"Outside period | ","")&amp;IF(COUNTIF(Settings!$E$14:$E$43,C1444&amp;"")&gt;0,"Sensitive account | ","")&amp;IF(AND(MAX(N(E1444),N(F1444))&gt;=Settings!$C$9,MOD(MAX(N(E1444),N(F1444)),Settings!$C$10)=0),"Round amount | ","")="","",LEFT(IF(K1444="No","Does not balance | ","")&amp;IF(I1444="","Not approved | ",IF(UPPER(TRIM(H1444))=UPPER(TRIM(I1444)),"Self-approved | ",""))&amp;IF(J1444="","No support | ","")&amp;IF(WEEKDAY(B1444,2)&gt;5,"Weekend posting | ","")&amp;IF(COUNTIF(Settings!$A$14:$A$43,B1444)&gt;0,"Holiday posting | ","")&amp;IF(B1444&gt;Settings!$C$8,"Posted after close | ","")&amp;IF(OR(B1444&lt;Settings!$C$6,B1444&gt;Settings!$C$7),"Outside period | ","")&amp;IF(COUNTIF(Settings!$E$14:$E$43,C1444&amp;"")&gt;0,"Sensitive account | ","")&amp;IF(AND(MAX(N(E1444),N(F1444))&gt;=Settings!$C$9,MOD(MAX(N(E1444),N(F1444)),Settings!$C$10)=0),"Round amount | ",""),LEN(IF(K1444="No","Does not balance | ","")&amp;IF(I1444="","Not approved | ",IF(UPPER(TRIM(H1444))=UPPER(TRIM(I1444)),"Self-approved | ",""))&amp;IF(J1444="","No support | ","")&amp;IF(WEEKDAY(B1444,2)&gt;5,"Weekend posting | ","")&amp;IF(COUNTIF(Settings!$A$14:$A$43,B1444)&gt;0,"Holiday posting | ","")&amp;IF(B1444&gt;Settings!$C$8,"Posted after close | ","")&amp;IF(OR(B1444&lt;Settings!$C$6,B1444&gt;Settings!$C$7),"Outside period | ","")&amp;IF(COUNTIF(Settings!$E$14:$E$43,C1444&amp;"")&gt;0,"Sensitive account | ","")&amp;IF(AND(MAX(N(E1444),N(F1444))&gt;=Settings!$C$9,MOD(MAX(N(E1444),N(F1444)),Settings!$C$10)=0),"Round amount | ",""))-3)))</f>
        <v/>
      </c>
      <c r="M1444" s="21" t="str">
        <f aca="false">IF(A1444="","",IF(COUNTIF($A$9:A1444,A1444)=1,MAX($M$8:M1443)+1,""))</f>
        <v/>
      </c>
    </row>
    <row r="1445" customFormat="false" ht="15" hidden="false" customHeight="false" outlineLevel="0" collapsed="false">
      <c r="A1445" s="8"/>
      <c r="B1445" s="17"/>
      <c r="C1445" s="19"/>
      <c r="D1445" s="8"/>
      <c r="E1445" s="18"/>
      <c r="F1445" s="18"/>
      <c r="G1445" s="8"/>
      <c r="H1445" s="8"/>
      <c r="I1445" s="8"/>
      <c r="J1445" s="8"/>
      <c r="K1445" s="10" t="str">
        <f aca="false">IF(A1445="","",IF(ABS(SUMIFS($E$9:$E$2008,$A$9:$A$2008,A1445)-SUMIFS($F$9:$F$2008,$A$9:$A$2008,A1445))&lt;0.5,"Yes","No"))</f>
        <v/>
      </c>
      <c r="L1445" s="10" t="str">
        <f aca="false">IF(A1445="","",IF(IF(K1445="No","Does not balance | ","")&amp;IF(I1445="","Not approved | ",IF(UPPER(TRIM(H1445))=UPPER(TRIM(I1445)),"Self-approved | ",""))&amp;IF(J1445="","No support | ","")&amp;IF(WEEKDAY(B1445,2)&gt;5,"Weekend posting | ","")&amp;IF(COUNTIF(Settings!$A$14:$A$43,B1445)&gt;0,"Holiday posting | ","")&amp;IF(B1445&gt;Settings!$C$8,"Posted after close | ","")&amp;IF(OR(B1445&lt;Settings!$C$6,B1445&gt;Settings!$C$7),"Outside period | ","")&amp;IF(COUNTIF(Settings!$E$14:$E$43,C1445&amp;"")&gt;0,"Sensitive account | ","")&amp;IF(AND(MAX(N(E1445),N(F1445))&gt;=Settings!$C$9,MOD(MAX(N(E1445),N(F1445)),Settings!$C$10)=0),"Round amount | ","")="","",LEFT(IF(K1445="No","Does not balance | ","")&amp;IF(I1445="","Not approved | ",IF(UPPER(TRIM(H1445))=UPPER(TRIM(I1445)),"Self-approved | ",""))&amp;IF(J1445="","No support | ","")&amp;IF(WEEKDAY(B1445,2)&gt;5,"Weekend posting | ","")&amp;IF(COUNTIF(Settings!$A$14:$A$43,B1445)&gt;0,"Holiday posting | ","")&amp;IF(B1445&gt;Settings!$C$8,"Posted after close | ","")&amp;IF(OR(B1445&lt;Settings!$C$6,B1445&gt;Settings!$C$7),"Outside period | ","")&amp;IF(COUNTIF(Settings!$E$14:$E$43,C1445&amp;"")&gt;0,"Sensitive account | ","")&amp;IF(AND(MAX(N(E1445),N(F1445))&gt;=Settings!$C$9,MOD(MAX(N(E1445),N(F1445)),Settings!$C$10)=0),"Round amount | ",""),LEN(IF(K1445="No","Does not balance | ","")&amp;IF(I1445="","Not approved | ",IF(UPPER(TRIM(H1445))=UPPER(TRIM(I1445)),"Self-approved | ",""))&amp;IF(J1445="","No support | ","")&amp;IF(WEEKDAY(B1445,2)&gt;5,"Weekend posting | ","")&amp;IF(COUNTIF(Settings!$A$14:$A$43,B1445)&gt;0,"Holiday posting | ","")&amp;IF(B1445&gt;Settings!$C$8,"Posted after close | ","")&amp;IF(OR(B1445&lt;Settings!$C$6,B1445&gt;Settings!$C$7),"Outside period | ","")&amp;IF(COUNTIF(Settings!$E$14:$E$43,C1445&amp;"")&gt;0,"Sensitive account | ","")&amp;IF(AND(MAX(N(E1445),N(F1445))&gt;=Settings!$C$9,MOD(MAX(N(E1445),N(F1445)),Settings!$C$10)=0),"Round amount | ",""))-3)))</f>
        <v/>
      </c>
      <c r="M1445" s="21" t="str">
        <f aca="false">IF(A1445="","",IF(COUNTIF($A$9:A1445,A1445)=1,MAX($M$8:M1444)+1,""))</f>
        <v/>
      </c>
    </row>
    <row r="1446" customFormat="false" ht="15" hidden="false" customHeight="false" outlineLevel="0" collapsed="false">
      <c r="A1446" s="8"/>
      <c r="B1446" s="17"/>
      <c r="C1446" s="19"/>
      <c r="D1446" s="8"/>
      <c r="E1446" s="18"/>
      <c r="F1446" s="18"/>
      <c r="G1446" s="8"/>
      <c r="H1446" s="8"/>
      <c r="I1446" s="8"/>
      <c r="J1446" s="8"/>
      <c r="K1446" s="10" t="str">
        <f aca="false">IF(A1446="","",IF(ABS(SUMIFS($E$9:$E$2008,$A$9:$A$2008,A1446)-SUMIFS($F$9:$F$2008,$A$9:$A$2008,A1446))&lt;0.5,"Yes","No"))</f>
        <v/>
      </c>
      <c r="L1446" s="10" t="str">
        <f aca="false">IF(A1446="","",IF(IF(K1446="No","Does not balance | ","")&amp;IF(I1446="","Not approved | ",IF(UPPER(TRIM(H1446))=UPPER(TRIM(I1446)),"Self-approved | ",""))&amp;IF(J1446="","No support | ","")&amp;IF(WEEKDAY(B1446,2)&gt;5,"Weekend posting | ","")&amp;IF(COUNTIF(Settings!$A$14:$A$43,B1446)&gt;0,"Holiday posting | ","")&amp;IF(B1446&gt;Settings!$C$8,"Posted after close | ","")&amp;IF(OR(B1446&lt;Settings!$C$6,B1446&gt;Settings!$C$7),"Outside period | ","")&amp;IF(COUNTIF(Settings!$E$14:$E$43,C1446&amp;"")&gt;0,"Sensitive account | ","")&amp;IF(AND(MAX(N(E1446),N(F1446))&gt;=Settings!$C$9,MOD(MAX(N(E1446),N(F1446)),Settings!$C$10)=0),"Round amount | ","")="","",LEFT(IF(K1446="No","Does not balance | ","")&amp;IF(I1446="","Not approved | ",IF(UPPER(TRIM(H1446))=UPPER(TRIM(I1446)),"Self-approved | ",""))&amp;IF(J1446="","No support | ","")&amp;IF(WEEKDAY(B1446,2)&gt;5,"Weekend posting | ","")&amp;IF(COUNTIF(Settings!$A$14:$A$43,B1446)&gt;0,"Holiday posting | ","")&amp;IF(B1446&gt;Settings!$C$8,"Posted after close | ","")&amp;IF(OR(B1446&lt;Settings!$C$6,B1446&gt;Settings!$C$7),"Outside period | ","")&amp;IF(COUNTIF(Settings!$E$14:$E$43,C1446&amp;"")&gt;0,"Sensitive account | ","")&amp;IF(AND(MAX(N(E1446),N(F1446))&gt;=Settings!$C$9,MOD(MAX(N(E1446),N(F1446)),Settings!$C$10)=0),"Round amount | ",""),LEN(IF(K1446="No","Does not balance | ","")&amp;IF(I1446="","Not approved | ",IF(UPPER(TRIM(H1446))=UPPER(TRIM(I1446)),"Self-approved | ",""))&amp;IF(J1446="","No support | ","")&amp;IF(WEEKDAY(B1446,2)&gt;5,"Weekend posting | ","")&amp;IF(COUNTIF(Settings!$A$14:$A$43,B1446)&gt;0,"Holiday posting | ","")&amp;IF(B1446&gt;Settings!$C$8,"Posted after close | ","")&amp;IF(OR(B1446&lt;Settings!$C$6,B1446&gt;Settings!$C$7),"Outside period | ","")&amp;IF(COUNTIF(Settings!$E$14:$E$43,C1446&amp;"")&gt;0,"Sensitive account | ","")&amp;IF(AND(MAX(N(E1446),N(F1446))&gt;=Settings!$C$9,MOD(MAX(N(E1446),N(F1446)),Settings!$C$10)=0),"Round amount | ",""))-3)))</f>
        <v/>
      </c>
      <c r="M1446" s="21" t="str">
        <f aca="false">IF(A1446="","",IF(COUNTIF($A$9:A1446,A1446)=1,MAX($M$8:M1445)+1,""))</f>
        <v/>
      </c>
    </row>
    <row r="1447" customFormat="false" ht="15" hidden="false" customHeight="false" outlineLevel="0" collapsed="false">
      <c r="A1447" s="8"/>
      <c r="B1447" s="17"/>
      <c r="C1447" s="19"/>
      <c r="D1447" s="8"/>
      <c r="E1447" s="18"/>
      <c r="F1447" s="18"/>
      <c r="G1447" s="8"/>
      <c r="H1447" s="8"/>
      <c r="I1447" s="8"/>
      <c r="J1447" s="8"/>
      <c r="K1447" s="10" t="str">
        <f aca="false">IF(A1447="","",IF(ABS(SUMIFS($E$9:$E$2008,$A$9:$A$2008,A1447)-SUMIFS($F$9:$F$2008,$A$9:$A$2008,A1447))&lt;0.5,"Yes","No"))</f>
        <v/>
      </c>
      <c r="L1447" s="10" t="str">
        <f aca="false">IF(A1447="","",IF(IF(K1447="No","Does not balance | ","")&amp;IF(I1447="","Not approved | ",IF(UPPER(TRIM(H1447))=UPPER(TRIM(I1447)),"Self-approved | ",""))&amp;IF(J1447="","No support | ","")&amp;IF(WEEKDAY(B1447,2)&gt;5,"Weekend posting | ","")&amp;IF(COUNTIF(Settings!$A$14:$A$43,B1447)&gt;0,"Holiday posting | ","")&amp;IF(B1447&gt;Settings!$C$8,"Posted after close | ","")&amp;IF(OR(B1447&lt;Settings!$C$6,B1447&gt;Settings!$C$7),"Outside period | ","")&amp;IF(COUNTIF(Settings!$E$14:$E$43,C1447&amp;"")&gt;0,"Sensitive account | ","")&amp;IF(AND(MAX(N(E1447),N(F1447))&gt;=Settings!$C$9,MOD(MAX(N(E1447),N(F1447)),Settings!$C$10)=0),"Round amount | ","")="","",LEFT(IF(K1447="No","Does not balance | ","")&amp;IF(I1447="","Not approved | ",IF(UPPER(TRIM(H1447))=UPPER(TRIM(I1447)),"Self-approved | ",""))&amp;IF(J1447="","No support | ","")&amp;IF(WEEKDAY(B1447,2)&gt;5,"Weekend posting | ","")&amp;IF(COUNTIF(Settings!$A$14:$A$43,B1447)&gt;0,"Holiday posting | ","")&amp;IF(B1447&gt;Settings!$C$8,"Posted after close | ","")&amp;IF(OR(B1447&lt;Settings!$C$6,B1447&gt;Settings!$C$7),"Outside period | ","")&amp;IF(COUNTIF(Settings!$E$14:$E$43,C1447&amp;"")&gt;0,"Sensitive account | ","")&amp;IF(AND(MAX(N(E1447),N(F1447))&gt;=Settings!$C$9,MOD(MAX(N(E1447),N(F1447)),Settings!$C$10)=0),"Round amount | ",""),LEN(IF(K1447="No","Does not balance | ","")&amp;IF(I1447="","Not approved | ",IF(UPPER(TRIM(H1447))=UPPER(TRIM(I1447)),"Self-approved | ",""))&amp;IF(J1447="","No support | ","")&amp;IF(WEEKDAY(B1447,2)&gt;5,"Weekend posting | ","")&amp;IF(COUNTIF(Settings!$A$14:$A$43,B1447)&gt;0,"Holiday posting | ","")&amp;IF(B1447&gt;Settings!$C$8,"Posted after close | ","")&amp;IF(OR(B1447&lt;Settings!$C$6,B1447&gt;Settings!$C$7),"Outside period | ","")&amp;IF(COUNTIF(Settings!$E$14:$E$43,C1447&amp;"")&gt;0,"Sensitive account | ","")&amp;IF(AND(MAX(N(E1447),N(F1447))&gt;=Settings!$C$9,MOD(MAX(N(E1447),N(F1447)),Settings!$C$10)=0),"Round amount | ",""))-3)))</f>
        <v/>
      </c>
      <c r="M1447" s="21" t="str">
        <f aca="false">IF(A1447="","",IF(COUNTIF($A$9:A1447,A1447)=1,MAX($M$8:M1446)+1,""))</f>
        <v/>
      </c>
    </row>
    <row r="1448" customFormat="false" ht="15" hidden="false" customHeight="false" outlineLevel="0" collapsed="false">
      <c r="A1448" s="8"/>
      <c r="B1448" s="17"/>
      <c r="C1448" s="19"/>
      <c r="D1448" s="8"/>
      <c r="E1448" s="18"/>
      <c r="F1448" s="18"/>
      <c r="G1448" s="8"/>
      <c r="H1448" s="8"/>
      <c r="I1448" s="8"/>
      <c r="J1448" s="8"/>
      <c r="K1448" s="10" t="str">
        <f aca="false">IF(A1448="","",IF(ABS(SUMIFS($E$9:$E$2008,$A$9:$A$2008,A1448)-SUMIFS($F$9:$F$2008,$A$9:$A$2008,A1448))&lt;0.5,"Yes","No"))</f>
        <v/>
      </c>
      <c r="L1448" s="10" t="str">
        <f aca="false">IF(A1448="","",IF(IF(K1448="No","Does not balance | ","")&amp;IF(I1448="","Not approved | ",IF(UPPER(TRIM(H1448))=UPPER(TRIM(I1448)),"Self-approved | ",""))&amp;IF(J1448="","No support | ","")&amp;IF(WEEKDAY(B1448,2)&gt;5,"Weekend posting | ","")&amp;IF(COUNTIF(Settings!$A$14:$A$43,B1448)&gt;0,"Holiday posting | ","")&amp;IF(B1448&gt;Settings!$C$8,"Posted after close | ","")&amp;IF(OR(B1448&lt;Settings!$C$6,B1448&gt;Settings!$C$7),"Outside period | ","")&amp;IF(COUNTIF(Settings!$E$14:$E$43,C1448&amp;"")&gt;0,"Sensitive account | ","")&amp;IF(AND(MAX(N(E1448),N(F1448))&gt;=Settings!$C$9,MOD(MAX(N(E1448),N(F1448)),Settings!$C$10)=0),"Round amount | ","")="","",LEFT(IF(K1448="No","Does not balance | ","")&amp;IF(I1448="","Not approved | ",IF(UPPER(TRIM(H1448))=UPPER(TRIM(I1448)),"Self-approved | ",""))&amp;IF(J1448="","No support | ","")&amp;IF(WEEKDAY(B1448,2)&gt;5,"Weekend posting | ","")&amp;IF(COUNTIF(Settings!$A$14:$A$43,B1448)&gt;0,"Holiday posting | ","")&amp;IF(B1448&gt;Settings!$C$8,"Posted after close | ","")&amp;IF(OR(B1448&lt;Settings!$C$6,B1448&gt;Settings!$C$7),"Outside period | ","")&amp;IF(COUNTIF(Settings!$E$14:$E$43,C1448&amp;"")&gt;0,"Sensitive account | ","")&amp;IF(AND(MAX(N(E1448),N(F1448))&gt;=Settings!$C$9,MOD(MAX(N(E1448),N(F1448)),Settings!$C$10)=0),"Round amount | ",""),LEN(IF(K1448="No","Does not balance | ","")&amp;IF(I1448="","Not approved | ",IF(UPPER(TRIM(H1448))=UPPER(TRIM(I1448)),"Self-approved | ",""))&amp;IF(J1448="","No support | ","")&amp;IF(WEEKDAY(B1448,2)&gt;5,"Weekend posting | ","")&amp;IF(COUNTIF(Settings!$A$14:$A$43,B1448)&gt;0,"Holiday posting | ","")&amp;IF(B1448&gt;Settings!$C$8,"Posted after close | ","")&amp;IF(OR(B1448&lt;Settings!$C$6,B1448&gt;Settings!$C$7),"Outside period | ","")&amp;IF(COUNTIF(Settings!$E$14:$E$43,C1448&amp;"")&gt;0,"Sensitive account | ","")&amp;IF(AND(MAX(N(E1448),N(F1448))&gt;=Settings!$C$9,MOD(MAX(N(E1448),N(F1448)),Settings!$C$10)=0),"Round amount | ",""))-3)))</f>
        <v/>
      </c>
      <c r="M1448" s="21" t="str">
        <f aca="false">IF(A1448="","",IF(COUNTIF($A$9:A1448,A1448)=1,MAX($M$8:M1447)+1,""))</f>
        <v/>
      </c>
    </row>
    <row r="1449" customFormat="false" ht="15" hidden="false" customHeight="false" outlineLevel="0" collapsed="false">
      <c r="A1449" s="8"/>
      <c r="B1449" s="17"/>
      <c r="C1449" s="19"/>
      <c r="D1449" s="8"/>
      <c r="E1449" s="18"/>
      <c r="F1449" s="18"/>
      <c r="G1449" s="8"/>
      <c r="H1449" s="8"/>
      <c r="I1449" s="8"/>
      <c r="J1449" s="8"/>
      <c r="K1449" s="10" t="str">
        <f aca="false">IF(A1449="","",IF(ABS(SUMIFS($E$9:$E$2008,$A$9:$A$2008,A1449)-SUMIFS($F$9:$F$2008,$A$9:$A$2008,A1449))&lt;0.5,"Yes","No"))</f>
        <v/>
      </c>
      <c r="L1449" s="10" t="str">
        <f aca="false">IF(A1449="","",IF(IF(K1449="No","Does not balance | ","")&amp;IF(I1449="","Not approved | ",IF(UPPER(TRIM(H1449))=UPPER(TRIM(I1449)),"Self-approved | ",""))&amp;IF(J1449="","No support | ","")&amp;IF(WEEKDAY(B1449,2)&gt;5,"Weekend posting | ","")&amp;IF(COUNTIF(Settings!$A$14:$A$43,B1449)&gt;0,"Holiday posting | ","")&amp;IF(B1449&gt;Settings!$C$8,"Posted after close | ","")&amp;IF(OR(B1449&lt;Settings!$C$6,B1449&gt;Settings!$C$7),"Outside period | ","")&amp;IF(COUNTIF(Settings!$E$14:$E$43,C1449&amp;"")&gt;0,"Sensitive account | ","")&amp;IF(AND(MAX(N(E1449),N(F1449))&gt;=Settings!$C$9,MOD(MAX(N(E1449),N(F1449)),Settings!$C$10)=0),"Round amount | ","")="","",LEFT(IF(K1449="No","Does not balance | ","")&amp;IF(I1449="","Not approved | ",IF(UPPER(TRIM(H1449))=UPPER(TRIM(I1449)),"Self-approved | ",""))&amp;IF(J1449="","No support | ","")&amp;IF(WEEKDAY(B1449,2)&gt;5,"Weekend posting | ","")&amp;IF(COUNTIF(Settings!$A$14:$A$43,B1449)&gt;0,"Holiday posting | ","")&amp;IF(B1449&gt;Settings!$C$8,"Posted after close | ","")&amp;IF(OR(B1449&lt;Settings!$C$6,B1449&gt;Settings!$C$7),"Outside period | ","")&amp;IF(COUNTIF(Settings!$E$14:$E$43,C1449&amp;"")&gt;0,"Sensitive account | ","")&amp;IF(AND(MAX(N(E1449),N(F1449))&gt;=Settings!$C$9,MOD(MAX(N(E1449),N(F1449)),Settings!$C$10)=0),"Round amount | ",""),LEN(IF(K1449="No","Does not balance | ","")&amp;IF(I1449="","Not approved | ",IF(UPPER(TRIM(H1449))=UPPER(TRIM(I1449)),"Self-approved | ",""))&amp;IF(J1449="","No support | ","")&amp;IF(WEEKDAY(B1449,2)&gt;5,"Weekend posting | ","")&amp;IF(COUNTIF(Settings!$A$14:$A$43,B1449)&gt;0,"Holiday posting | ","")&amp;IF(B1449&gt;Settings!$C$8,"Posted after close | ","")&amp;IF(OR(B1449&lt;Settings!$C$6,B1449&gt;Settings!$C$7),"Outside period | ","")&amp;IF(COUNTIF(Settings!$E$14:$E$43,C1449&amp;"")&gt;0,"Sensitive account | ","")&amp;IF(AND(MAX(N(E1449),N(F1449))&gt;=Settings!$C$9,MOD(MAX(N(E1449),N(F1449)),Settings!$C$10)=0),"Round amount | ",""))-3)))</f>
        <v/>
      </c>
      <c r="M1449" s="21" t="str">
        <f aca="false">IF(A1449="","",IF(COUNTIF($A$9:A1449,A1449)=1,MAX($M$8:M1448)+1,""))</f>
        <v/>
      </c>
    </row>
    <row r="1450" customFormat="false" ht="15" hidden="false" customHeight="false" outlineLevel="0" collapsed="false">
      <c r="A1450" s="8"/>
      <c r="B1450" s="17"/>
      <c r="C1450" s="19"/>
      <c r="D1450" s="8"/>
      <c r="E1450" s="18"/>
      <c r="F1450" s="18"/>
      <c r="G1450" s="8"/>
      <c r="H1450" s="8"/>
      <c r="I1450" s="8"/>
      <c r="J1450" s="8"/>
      <c r="K1450" s="10" t="str">
        <f aca="false">IF(A1450="","",IF(ABS(SUMIFS($E$9:$E$2008,$A$9:$A$2008,A1450)-SUMIFS($F$9:$F$2008,$A$9:$A$2008,A1450))&lt;0.5,"Yes","No"))</f>
        <v/>
      </c>
      <c r="L1450" s="10" t="str">
        <f aca="false">IF(A1450="","",IF(IF(K1450="No","Does not balance | ","")&amp;IF(I1450="","Not approved | ",IF(UPPER(TRIM(H1450))=UPPER(TRIM(I1450)),"Self-approved | ",""))&amp;IF(J1450="","No support | ","")&amp;IF(WEEKDAY(B1450,2)&gt;5,"Weekend posting | ","")&amp;IF(COUNTIF(Settings!$A$14:$A$43,B1450)&gt;0,"Holiday posting | ","")&amp;IF(B1450&gt;Settings!$C$8,"Posted after close | ","")&amp;IF(OR(B1450&lt;Settings!$C$6,B1450&gt;Settings!$C$7),"Outside period | ","")&amp;IF(COUNTIF(Settings!$E$14:$E$43,C1450&amp;"")&gt;0,"Sensitive account | ","")&amp;IF(AND(MAX(N(E1450),N(F1450))&gt;=Settings!$C$9,MOD(MAX(N(E1450),N(F1450)),Settings!$C$10)=0),"Round amount | ","")="","",LEFT(IF(K1450="No","Does not balance | ","")&amp;IF(I1450="","Not approved | ",IF(UPPER(TRIM(H1450))=UPPER(TRIM(I1450)),"Self-approved | ",""))&amp;IF(J1450="","No support | ","")&amp;IF(WEEKDAY(B1450,2)&gt;5,"Weekend posting | ","")&amp;IF(COUNTIF(Settings!$A$14:$A$43,B1450)&gt;0,"Holiday posting | ","")&amp;IF(B1450&gt;Settings!$C$8,"Posted after close | ","")&amp;IF(OR(B1450&lt;Settings!$C$6,B1450&gt;Settings!$C$7),"Outside period | ","")&amp;IF(COUNTIF(Settings!$E$14:$E$43,C1450&amp;"")&gt;0,"Sensitive account | ","")&amp;IF(AND(MAX(N(E1450),N(F1450))&gt;=Settings!$C$9,MOD(MAX(N(E1450),N(F1450)),Settings!$C$10)=0),"Round amount | ",""),LEN(IF(K1450="No","Does not balance | ","")&amp;IF(I1450="","Not approved | ",IF(UPPER(TRIM(H1450))=UPPER(TRIM(I1450)),"Self-approved | ",""))&amp;IF(J1450="","No support | ","")&amp;IF(WEEKDAY(B1450,2)&gt;5,"Weekend posting | ","")&amp;IF(COUNTIF(Settings!$A$14:$A$43,B1450)&gt;0,"Holiday posting | ","")&amp;IF(B1450&gt;Settings!$C$8,"Posted after close | ","")&amp;IF(OR(B1450&lt;Settings!$C$6,B1450&gt;Settings!$C$7),"Outside period | ","")&amp;IF(COUNTIF(Settings!$E$14:$E$43,C1450&amp;"")&gt;0,"Sensitive account | ","")&amp;IF(AND(MAX(N(E1450),N(F1450))&gt;=Settings!$C$9,MOD(MAX(N(E1450),N(F1450)),Settings!$C$10)=0),"Round amount | ",""))-3)))</f>
        <v/>
      </c>
      <c r="M1450" s="21" t="str">
        <f aca="false">IF(A1450="","",IF(COUNTIF($A$9:A1450,A1450)=1,MAX($M$8:M1449)+1,""))</f>
        <v/>
      </c>
    </row>
    <row r="1451" customFormat="false" ht="15" hidden="false" customHeight="false" outlineLevel="0" collapsed="false">
      <c r="A1451" s="8"/>
      <c r="B1451" s="17"/>
      <c r="C1451" s="19"/>
      <c r="D1451" s="8"/>
      <c r="E1451" s="18"/>
      <c r="F1451" s="18"/>
      <c r="G1451" s="8"/>
      <c r="H1451" s="8"/>
      <c r="I1451" s="8"/>
      <c r="J1451" s="8"/>
      <c r="K1451" s="10" t="str">
        <f aca="false">IF(A1451="","",IF(ABS(SUMIFS($E$9:$E$2008,$A$9:$A$2008,A1451)-SUMIFS($F$9:$F$2008,$A$9:$A$2008,A1451))&lt;0.5,"Yes","No"))</f>
        <v/>
      </c>
      <c r="L1451" s="10" t="str">
        <f aca="false">IF(A1451="","",IF(IF(K1451="No","Does not balance | ","")&amp;IF(I1451="","Not approved | ",IF(UPPER(TRIM(H1451))=UPPER(TRIM(I1451)),"Self-approved | ",""))&amp;IF(J1451="","No support | ","")&amp;IF(WEEKDAY(B1451,2)&gt;5,"Weekend posting | ","")&amp;IF(COUNTIF(Settings!$A$14:$A$43,B1451)&gt;0,"Holiday posting | ","")&amp;IF(B1451&gt;Settings!$C$8,"Posted after close | ","")&amp;IF(OR(B1451&lt;Settings!$C$6,B1451&gt;Settings!$C$7),"Outside period | ","")&amp;IF(COUNTIF(Settings!$E$14:$E$43,C1451&amp;"")&gt;0,"Sensitive account | ","")&amp;IF(AND(MAX(N(E1451),N(F1451))&gt;=Settings!$C$9,MOD(MAX(N(E1451),N(F1451)),Settings!$C$10)=0),"Round amount | ","")="","",LEFT(IF(K1451="No","Does not balance | ","")&amp;IF(I1451="","Not approved | ",IF(UPPER(TRIM(H1451))=UPPER(TRIM(I1451)),"Self-approved | ",""))&amp;IF(J1451="","No support | ","")&amp;IF(WEEKDAY(B1451,2)&gt;5,"Weekend posting | ","")&amp;IF(COUNTIF(Settings!$A$14:$A$43,B1451)&gt;0,"Holiday posting | ","")&amp;IF(B1451&gt;Settings!$C$8,"Posted after close | ","")&amp;IF(OR(B1451&lt;Settings!$C$6,B1451&gt;Settings!$C$7),"Outside period | ","")&amp;IF(COUNTIF(Settings!$E$14:$E$43,C1451&amp;"")&gt;0,"Sensitive account | ","")&amp;IF(AND(MAX(N(E1451),N(F1451))&gt;=Settings!$C$9,MOD(MAX(N(E1451),N(F1451)),Settings!$C$10)=0),"Round amount | ",""),LEN(IF(K1451="No","Does not balance | ","")&amp;IF(I1451="","Not approved | ",IF(UPPER(TRIM(H1451))=UPPER(TRIM(I1451)),"Self-approved | ",""))&amp;IF(J1451="","No support | ","")&amp;IF(WEEKDAY(B1451,2)&gt;5,"Weekend posting | ","")&amp;IF(COUNTIF(Settings!$A$14:$A$43,B1451)&gt;0,"Holiday posting | ","")&amp;IF(B1451&gt;Settings!$C$8,"Posted after close | ","")&amp;IF(OR(B1451&lt;Settings!$C$6,B1451&gt;Settings!$C$7),"Outside period | ","")&amp;IF(COUNTIF(Settings!$E$14:$E$43,C1451&amp;"")&gt;0,"Sensitive account | ","")&amp;IF(AND(MAX(N(E1451),N(F1451))&gt;=Settings!$C$9,MOD(MAX(N(E1451),N(F1451)),Settings!$C$10)=0),"Round amount | ",""))-3)))</f>
        <v/>
      </c>
      <c r="M1451" s="21" t="str">
        <f aca="false">IF(A1451="","",IF(COUNTIF($A$9:A1451,A1451)=1,MAX($M$8:M1450)+1,""))</f>
        <v/>
      </c>
    </row>
    <row r="1452" customFormat="false" ht="15" hidden="false" customHeight="false" outlineLevel="0" collapsed="false">
      <c r="A1452" s="8"/>
      <c r="B1452" s="17"/>
      <c r="C1452" s="19"/>
      <c r="D1452" s="8"/>
      <c r="E1452" s="18"/>
      <c r="F1452" s="18"/>
      <c r="G1452" s="8"/>
      <c r="H1452" s="8"/>
      <c r="I1452" s="8"/>
      <c r="J1452" s="8"/>
      <c r="K1452" s="10" t="str">
        <f aca="false">IF(A1452="","",IF(ABS(SUMIFS($E$9:$E$2008,$A$9:$A$2008,A1452)-SUMIFS($F$9:$F$2008,$A$9:$A$2008,A1452))&lt;0.5,"Yes","No"))</f>
        <v/>
      </c>
      <c r="L1452" s="10" t="str">
        <f aca="false">IF(A1452="","",IF(IF(K1452="No","Does not balance | ","")&amp;IF(I1452="","Not approved | ",IF(UPPER(TRIM(H1452))=UPPER(TRIM(I1452)),"Self-approved | ",""))&amp;IF(J1452="","No support | ","")&amp;IF(WEEKDAY(B1452,2)&gt;5,"Weekend posting | ","")&amp;IF(COUNTIF(Settings!$A$14:$A$43,B1452)&gt;0,"Holiday posting | ","")&amp;IF(B1452&gt;Settings!$C$8,"Posted after close | ","")&amp;IF(OR(B1452&lt;Settings!$C$6,B1452&gt;Settings!$C$7),"Outside period | ","")&amp;IF(COUNTIF(Settings!$E$14:$E$43,C1452&amp;"")&gt;0,"Sensitive account | ","")&amp;IF(AND(MAX(N(E1452),N(F1452))&gt;=Settings!$C$9,MOD(MAX(N(E1452),N(F1452)),Settings!$C$10)=0),"Round amount | ","")="","",LEFT(IF(K1452="No","Does not balance | ","")&amp;IF(I1452="","Not approved | ",IF(UPPER(TRIM(H1452))=UPPER(TRIM(I1452)),"Self-approved | ",""))&amp;IF(J1452="","No support | ","")&amp;IF(WEEKDAY(B1452,2)&gt;5,"Weekend posting | ","")&amp;IF(COUNTIF(Settings!$A$14:$A$43,B1452)&gt;0,"Holiday posting | ","")&amp;IF(B1452&gt;Settings!$C$8,"Posted after close | ","")&amp;IF(OR(B1452&lt;Settings!$C$6,B1452&gt;Settings!$C$7),"Outside period | ","")&amp;IF(COUNTIF(Settings!$E$14:$E$43,C1452&amp;"")&gt;0,"Sensitive account | ","")&amp;IF(AND(MAX(N(E1452),N(F1452))&gt;=Settings!$C$9,MOD(MAX(N(E1452),N(F1452)),Settings!$C$10)=0),"Round amount | ",""),LEN(IF(K1452="No","Does not balance | ","")&amp;IF(I1452="","Not approved | ",IF(UPPER(TRIM(H1452))=UPPER(TRIM(I1452)),"Self-approved | ",""))&amp;IF(J1452="","No support | ","")&amp;IF(WEEKDAY(B1452,2)&gt;5,"Weekend posting | ","")&amp;IF(COUNTIF(Settings!$A$14:$A$43,B1452)&gt;0,"Holiday posting | ","")&amp;IF(B1452&gt;Settings!$C$8,"Posted after close | ","")&amp;IF(OR(B1452&lt;Settings!$C$6,B1452&gt;Settings!$C$7),"Outside period | ","")&amp;IF(COUNTIF(Settings!$E$14:$E$43,C1452&amp;"")&gt;0,"Sensitive account | ","")&amp;IF(AND(MAX(N(E1452),N(F1452))&gt;=Settings!$C$9,MOD(MAX(N(E1452),N(F1452)),Settings!$C$10)=0),"Round amount | ",""))-3)))</f>
        <v/>
      </c>
      <c r="M1452" s="21" t="str">
        <f aca="false">IF(A1452="","",IF(COUNTIF($A$9:A1452,A1452)=1,MAX($M$8:M1451)+1,""))</f>
        <v/>
      </c>
    </row>
    <row r="1453" customFormat="false" ht="15" hidden="false" customHeight="false" outlineLevel="0" collapsed="false">
      <c r="A1453" s="8"/>
      <c r="B1453" s="17"/>
      <c r="C1453" s="19"/>
      <c r="D1453" s="8"/>
      <c r="E1453" s="18"/>
      <c r="F1453" s="18"/>
      <c r="G1453" s="8"/>
      <c r="H1453" s="8"/>
      <c r="I1453" s="8"/>
      <c r="J1453" s="8"/>
      <c r="K1453" s="10" t="str">
        <f aca="false">IF(A1453="","",IF(ABS(SUMIFS($E$9:$E$2008,$A$9:$A$2008,A1453)-SUMIFS($F$9:$F$2008,$A$9:$A$2008,A1453))&lt;0.5,"Yes","No"))</f>
        <v/>
      </c>
      <c r="L1453" s="10" t="str">
        <f aca="false">IF(A1453="","",IF(IF(K1453="No","Does not balance | ","")&amp;IF(I1453="","Not approved | ",IF(UPPER(TRIM(H1453))=UPPER(TRIM(I1453)),"Self-approved | ",""))&amp;IF(J1453="","No support | ","")&amp;IF(WEEKDAY(B1453,2)&gt;5,"Weekend posting | ","")&amp;IF(COUNTIF(Settings!$A$14:$A$43,B1453)&gt;0,"Holiday posting | ","")&amp;IF(B1453&gt;Settings!$C$8,"Posted after close | ","")&amp;IF(OR(B1453&lt;Settings!$C$6,B1453&gt;Settings!$C$7),"Outside period | ","")&amp;IF(COUNTIF(Settings!$E$14:$E$43,C1453&amp;"")&gt;0,"Sensitive account | ","")&amp;IF(AND(MAX(N(E1453),N(F1453))&gt;=Settings!$C$9,MOD(MAX(N(E1453),N(F1453)),Settings!$C$10)=0),"Round amount | ","")="","",LEFT(IF(K1453="No","Does not balance | ","")&amp;IF(I1453="","Not approved | ",IF(UPPER(TRIM(H1453))=UPPER(TRIM(I1453)),"Self-approved | ",""))&amp;IF(J1453="","No support | ","")&amp;IF(WEEKDAY(B1453,2)&gt;5,"Weekend posting | ","")&amp;IF(COUNTIF(Settings!$A$14:$A$43,B1453)&gt;0,"Holiday posting | ","")&amp;IF(B1453&gt;Settings!$C$8,"Posted after close | ","")&amp;IF(OR(B1453&lt;Settings!$C$6,B1453&gt;Settings!$C$7),"Outside period | ","")&amp;IF(COUNTIF(Settings!$E$14:$E$43,C1453&amp;"")&gt;0,"Sensitive account | ","")&amp;IF(AND(MAX(N(E1453),N(F1453))&gt;=Settings!$C$9,MOD(MAX(N(E1453),N(F1453)),Settings!$C$10)=0),"Round amount | ",""),LEN(IF(K1453="No","Does not balance | ","")&amp;IF(I1453="","Not approved | ",IF(UPPER(TRIM(H1453))=UPPER(TRIM(I1453)),"Self-approved | ",""))&amp;IF(J1453="","No support | ","")&amp;IF(WEEKDAY(B1453,2)&gt;5,"Weekend posting | ","")&amp;IF(COUNTIF(Settings!$A$14:$A$43,B1453)&gt;0,"Holiday posting | ","")&amp;IF(B1453&gt;Settings!$C$8,"Posted after close | ","")&amp;IF(OR(B1453&lt;Settings!$C$6,B1453&gt;Settings!$C$7),"Outside period | ","")&amp;IF(COUNTIF(Settings!$E$14:$E$43,C1453&amp;"")&gt;0,"Sensitive account | ","")&amp;IF(AND(MAX(N(E1453),N(F1453))&gt;=Settings!$C$9,MOD(MAX(N(E1453),N(F1453)),Settings!$C$10)=0),"Round amount | ",""))-3)))</f>
        <v/>
      </c>
      <c r="M1453" s="21" t="str">
        <f aca="false">IF(A1453="","",IF(COUNTIF($A$9:A1453,A1453)=1,MAX($M$8:M1452)+1,""))</f>
        <v/>
      </c>
    </row>
    <row r="1454" customFormat="false" ht="15" hidden="false" customHeight="false" outlineLevel="0" collapsed="false">
      <c r="A1454" s="8"/>
      <c r="B1454" s="17"/>
      <c r="C1454" s="19"/>
      <c r="D1454" s="8"/>
      <c r="E1454" s="18"/>
      <c r="F1454" s="18"/>
      <c r="G1454" s="8"/>
      <c r="H1454" s="8"/>
      <c r="I1454" s="8"/>
      <c r="J1454" s="8"/>
      <c r="K1454" s="10" t="str">
        <f aca="false">IF(A1454="","",IF(ABS(SUMIFS($E$9:$E$2008,$A$9:$A$2008,A1454)-SUMIFS($F$9:$F$2008,$A$9:$A$2008,A1454))&lt;0.5,"Yes","No"))</f>
        <v/>
      </c>
      <c r="L1454" s="10" t="str">
        <f aca="false">IF(A1454="","",IF(IF(K1454="No","Does not balance | ","")&amp;IF(I1454="","Not approved | ",IF(UPPER(TRIM(H1454))=UPPER(TRIM(I1454)),"Self-approved | ",""))&amp;IF(J1454="","No support | ","")&amp;IF(WEEKDAY(B1454,2)&gt;5,"Weekend posting | ","")&amp;IF(COUNTIF(Settings!$A$14:$A$43,B1454)&gt;0,"Holiday posting | ","")&amp;IF(B1454&gt;Settings!$C$8,"Posted after close | ","")&amp;IF(OR(B1454&lt;Settings!$C$6,B1454&gt;Settings!$C$7),"Outside period | ","")&amp;IF(COUNTIF(Settings!$E$14:$E$43,C1454&amp;"")&gt;0,"Sensitive account | ","")&amp;IF(AND(MAX(N(E1454),N(F1454))&gt;=Settings!$C$9,MOD(MAX(N(E1454),N(F1454)),Settings!$C$10)=0),"Round amount | ","")="","",LEFT(IF(K1454="No","Does not balance | ","")&amp;IF(I1454="","Not approved | ",IF(UPPER(TRIM(H1454))=UPPER(TRIM(I1454)),"Self-approved | ",""))&amp;IF(J1454="","No support | ","")&amp;IF(WEEKDAY(B1454,2)&gt;5,"Weekend posting | ","")&amp;IF(COUNTIF(Settings!$A$14:$A$43,B1454)&gt;0,"Holiday posting | ","")&amp;IF(B1454&gt;Settings!$C$8,"Posted after close | ","")&amp;IF(OR(B1454&lt;Settings!$C$6,B1454&gt;Settings!$C$7),"Outside period | ","")&amp;IF(COUNTIF(Settings!$E$14:$E$43,C1454&amp;"")&gt;0,"Sensitive account | ","")&amp;IF(AND(MAX(N(E1454),N(F1454))&gt;=Settings!$C$9,MOD(MAX(N(E1454),N(F1454)),Settings!$C$10)=0),"Round amount | ",""),LEN(IF(K1454="No","Does not balance | ","")&amp;IF(I1454="","Not approved | ",IF(UPPER(TRIM(H1454))=UPPER(TRIM(I1454)),"Self-approved | ",""))&amp;IF(J1454="","No support | ","")&amp;IF(WEEKDAY(B1454,2)&gt;5,"Weekend posting | ","")&amp;IF(COUNTIF(Settings!$A$14:$A$43,B1454)&gt;0,"Holiday posting | ","")&amp;IF(B1454&gt;Settings!$C$8,"Posted after close | ","")&amp;IF(OR(B1454&lt;Settings!$C$6,B1454&gt;Settings!$C$7),"Outside period | ","")&amp;IF(COUNTIF(Settings!$E$14:$E$43,C1454&amp;"")&gt;0,"Sensitive account | ","")&amp;IF(AND(MAX(N(E1454),N(F1454))&gt;=Settings!$C$9,MOD(MAX(N(E1454),N(F1454)),Settings!$C$10)=0),"Round amount | ",""))-3)))</f>
        <v/>
      </c>
      <c r="M1454" s="21" t="str">
        <f aca="false">IF(A1454="","",IF(COUNTIF($A$9:A1454,A1454)=1,MAX($M$8:M1453)+1,""))</f>
        <v/>
      </c>
    </row>
    <row r="1455" customFormat="false" ht="15" hidden="false" customHeight="false" outlineLevel="0" collapsed="false">
      <c r="A1455" s="8"/>
      <c r="B1455" s="17"/>
      <c r="C1455" s="19"/>
      <c r="D1455" s="8"/>
      <c r="E1455" s="18"/>
      <c r="F1455" s="18"/>
      <c r="G1455" s="8"/>
      <c r="H1455" s="8"/>
      <c r="I1455" s="8"/>
      <c r="J1455" s="8"/>
      <c r="K1455" s="10" t="str">
        <f aca="false">IF(A1455="","",IF(ABS(SUMIFS($E$9:$E$2008,$A$9:$A$2008,A1455)-SUMIFS($F$9:$F$2008,$A$9:$A$2008,A1455))&lt;0.5,"Yes","No"))</f>
        <v/>
      </c>
      <c r="L1455" s="10" t="str">
        <f aca="false">IF(A1455="","",IF(IF(K1455="No","Does not balance | ","")&amp;IF(I1455="","Not approved | ",IF(UPPER(TRIM(H1455))=UPPER(TRIM(I1455)),"Self-approved | ",""))&amp;IF(J1455="","No support | ","")&amp;IF(WEEKDAY(B1455,2)&gt;5,"Weekend posting | ","")&amp;IF(COUNTIF(Settings!$A$14:$A$43,B1455)&gt;0,"Holiday posting | ","")&amp;IF(B1455&gt;Settings!$C$8,"Posted after close | ","")&amp;IF(OR(B1455&lt;Settings!$C$6,B1455&gt;Settings!$C$7),"Outside period | ","")&amp;IF(COUNTIF(Settings!$E$14:$E$43,C1455&amp;"")&gt;0,"Sensitive account | ","")&amp;IF(AND(MAX(N(E1455),N(F1455))&gt;=Settings!$C$9,MOD(MAX(N(E1455),N(F1455)),Settings!$C$10)=0),"Round amount | ","")="","",LEFT(IF(K1455="No","Does not balance | ","")&amp;IF(I1455="","Not approved | ",IF(UPPER(TRIM(H1455))=UPPER(TRIM(I1455)),"Self-approved | ",""))&amp;IF(J1455="","No support | ","")&amp;IF(WEEKDAY(B1455,2)&gt;5,"Weekend posting | ","")&amp;IF(COUNTIF(Settings!$A$14:$A$43,B1455)&gt;0,"Holiday posting | ","")&amp;IF(B1455&gt;Settings!$C$8,"Posted after close | ","")&amp;IF(OR(B1455&lt;Settings!$C$6,B1455&gt;Settings!$C$7),"Outside period | ","")&amp;IF(COUNTIF(Settings!$E$14:$E$43,C1455&amp;"")&gt;0,"Sensitive account | ","")&amp;IF(AND(MAX(N(E1455),N(F1455))&gt;=Settings!$C$9,MOD(MAX(N(E1455),N(F1455)),Settings!$C$10)=0),"Round amount | ",""),LEN(IF(K1455="No","Does not balance | ","")&amp;IF(I1455="","Not approved | ",IF(UPPER(TRIM(H1455))=UPPER(TRIM(I1455)),"Self-approved | ",""))&amp;IF(J1455="","No support | ","")&amp;IF(WEEKDAY(B1455,2)&gt;5,"Weekend posting | ","")&amp;IF(COUNTIF(Settings!$A$14:$A$43,B1455)&gt;0,"Holiday posting | ","")&amp;IF(B1455&gt;Settings!$C$8,"Posted after close | ","")&amp;IF(OR(B1455&lt;Settings!$C$6,B1455&gt;Settings!$C$7),"Outside period | ","")&amp;IF(COUNTIF(Settings!$E$14:$E$43,C1455&amp;"")&gt;0,"Sensitive account | ","")&amp;IF(AND(MAX(N(E1455),N(F1455))&gt;=Settings!$C$9,MOD(MAX(N(E1455),N(F1455)),Settings!$C$10)=0),"Round amount | ",""))-3)))</f>
        <v/>
      </c>
      <c r="M1455" s="21" t="str">
        <f aca="false">IF(A1455="","",IF(COUNTIF($A$9:A1455,A1455)=1,MAX($M$8:M1454)+1,""))</f>
        <v/>
      </c>
    </row>
    <row r="1456" customFormat="false" ht="15" hidden="false" customHeight="false" outlineLevel="0" collapsed="false">
      <c r="A1456" s="8"/>
      <c r="B1456" s="17"/>
      <c r="C1456" s="19"/>
      <c r="D1456" s="8"/>
      <c r="E1456" s="18"/>
      <c r="F1456" s="18"/>
      <c r="G1456" s="8"/>
      <c r="H1456" s="8"/>
      <c r="I1456" s="8"/>
      <c r="J1456" s="8"/>
      <c r="K1456" s="10" t="str">
        <f aca="false">IF(A1456="","",IF(ABS(SUMIFS($E$9:$E$2008,$A$9:$A$2008,A1456)-SUMIFS($F$9:$F$2008,$A$9:$A$2008,A1456))&lt;0.5,"Yes","No"))</f>
        <v/>
      </c>
      <c r="L1456" s="10" t="str">
        <f aca="false">IF(A1456="","",IF(IF(K1456="No","Does not balance | ","")&amp;IF(I1456="","Not approved | ",IF(UPPER(TRIM(H1456))=UPPER(TRIM(I1456)),"Self-approved | ",""))&amp;IF(J1456="","No support | ","")&amp;IF(WEEKDAY(B1456,2)&gt;5,"Weekend posting | ","")&amp;IF(COUNTIF(Settings!$A$14:$A$43,B1456)&gt;0,"Holiday posting | ","")&amp;IF(B1456&gt;Settings!$C$8,"Posted after close | ","")&amp;IF(OR(B1456&lt;Settings!$C$6,B1456&gt;Settings!$C$7),"Outside period | ","")&amp;IF(COUNTIF(Settings!$E$14:$E$43,C1456&amp;"")&gt;0,"Sensitive account | ","")&amp;IF(AND(MAX(N(E1456),N(F1456))&gt;=Settings!$C$9,MOD(MAX(N(E1456),N(F1456)),Settings!$C$10)=0),"Round amount | ","")="","",LEFT(IF(K1456="No","Does not balance | ","")&amp;IF(I1456="","Not approved | ",IF(UPPER(TRIM(H1456))=UPPER(TRIM(I1456)),"Self-approved | ",""))&amp;IF(J1456="","No support | ","")&amp;IF(WEEKDAY(B1456,2)&gt;5,"Weekend posting | ","")&amp;IF(COUNTIF(Settings!$A$14:$A$43,B1456)&gt;0,"Holiday posting | ","")&amp;IF(B1456&gt;Settings!$C$8,"Posted after close | ","")&amp;IF(OR(B1456&lt;Settings!$C$6,B1456&gt;Settings!$C$7),"Outside period | ","")&amp;IF(COUNTIF(Settings!$E$14:$E$43,C1456&amp;"")&gt;0,"Sensitive account | ","")&amp;IF(AND(MAX(N(E1456),N(F1456))&gt;=Settings!$C$9,MOD(MAX(N(E1456),N(F1456)),Settings!$C$10)=0),"Round amount | ",""),LEN(IF(K1456="No","Does not balance | ","")&amp;IF(I1456="","Not approved | ",IF(UPPER(TRIM(H1456))=UPPER(TRIM(I1456)),"Self-approved | ",""))&amp;IF(J1456="","No support | ","")&amp;IF(WEEKDAY(B1456,2)&gt;5,"Weekend posting | ","")&amp;IF(COUNTIF(Settings!$A$14:$A$43,B1456)&gt;0,"Holiday posting | ","")&amp;IF(B1456&gt;Settings!$C$8,"Posted after close | ","")&amp;IF(OR(B1456&lt;Settings!$C$6,B1456&gt;Settings!$C$7),"Outside period | ","")&amp;IF(COUNTIF(Settings!$E$14:$E$43,C1456&amp;"")&gt;0,"Sensitive account | ","")&amp;IF(AND(MAX(N(E1456),N(F1456))&gt;=Settings!$C$9,MOD(MAX(N(E1456),N(F1456)),Settings!$C$10)=0),"Round amount | ",""))-3)))</f>
        <v/>
      </c>
      <c r="M1456" s="21" t="str">
        <f aca="false">IF(A1456="","",IF(COUNTIF($A$9:A1456,A1456)=1,MAX($M$8:M1455)+1,""))</f>
        <v/>
      </c>
    </row>
    <row r="1457" customFormat="false" ht="15" hidden="false" customHeight="false" outlineLevel="0" collapsed="false">
      <c r="A1457" s="8"/>
      <c r="B1457" s="17"/>
      <c r="C1457" s="19"/>
      <c r="D1457" s="8"/>
      <c r="E1457" s="18"/>
      <c r="F1457" s="18"/>
      <c r="G1457" s="8"/>
      <c r="H1457" s="8"/>
      <c r="I1457" s="8"/>
      <c r="J1457" s="8"/>
      <c r="K1457" s="10" t="str">
        <f aca="false">IF(A1457="","",IF(ABS(SUMIFS($E$9:$E$2008,$A$9:$A$2008,A1457)-SUMIFS($F$9:$F$2008,$A$9:$A$2008,A1457))&lt;0.5,"Yes","No"))</f>
        <v/>
      </c>
      <c r="L1457" s="10" t="str">
        <f aca="false">IF(A1457="","",IF(IF(K1457="No","Does not balance | ","")&amp;IF(I1457="","Not approved | ",IF(UPPER(TRIM(H1457))=UPPER(TRIM(I1457)),"Self-approved | ",""))&amp;IF(J1457="","No support | ","")&amp;IF(WEEKDAY(B1457,2)&gt;5,"Weekend posting | ","")&amp;IF(COUNTIF(Settings!$A$14:$A$43,B1457)&gt;0,"Holiday posting | ","")&amp;IF(B1457&gt;Settings!$C$8,"Posted after close | ","")&amp;IF(OR(B1457&lt;Settings!$C$6,B1457&gt;Settings!$C$7),"Outside period | ","")&amp;IF(COUNTIF(Settings!$E$14:$E$43,C1457&amp;"")&gt;0,"Sensitive account | ","")&amp;IF(AND(MAX(N(E1457),N(F1457))&gt;=Settings!$C$9,MOD(MAX(N(E1457),N(F1457)),Settings!$C$10)=0),"Round amount | ","")="","",LEFT(IF(K1457="No","Does not balance | ","")&amp;IF(I1457="","Not approved | ",IF(UPPER(TRIM(H1457))=UPPER(TRIM(I1457)),"Self-approved | ",""))&amp;IF(J1457="","No support | ","")&amp;IF(WEEKDAY(B1457,2)&gt;5,"Weekend posting | ","")&amp;IF(COUNTIF(Settings!$A$14:$A$43,B1457)&gt;0,"Holiday posting | ","")&amp;IF(B1457&gt;Settings!$C$8,"Posted after close | ","")&amp;IF(OR(B1457&lt;Settings!$C$6,B1457&gt;Settings!$C$7),"Outside period | ","")&amp;IF(COUNTIF(Settings!$E$14:$E$43,C1457&amp;"")&gt;0,"Sensitive account | ","")&amp;IF(AND(MAX(N(E1457),N(F1457))&gt;=Settings!$C$9,MOD(MAX(N(E1457),N(F1457)),Settings!$C$10)=0),"Round amount | ",""),LEN(IF(K1457="No","Does not balance | ","")&amp;IF(I1457="","Not approved | ",IF(UPPER(TRIM(H1457))=UPPER(TRIM(I1457)),"Self-approved | ",""))&amp;IF(J1457="","No support | ","")&amp;IF(WEEKDAY(B1457,2)&gt;5,"Weekend posting | ","")&amp;IF(COUNTIF(Settings!$A$14:$A$43,B1457)&gt;0,"Holiday posting | ","")&amp;IF(B1457&gt;Settings!$C$8,"Posted after close | ","")&amp;IF(OR(B1457&lt;Settings!$C$6,B1457&gt;Settings!$C$7),"Outside period | ","")&amp;IF(COUNTIF(Settings!$E$14:$E$43,C1457&amp;"")&gt;0,"Sensitive account | ","")&amp;IF(AND(MAX(N(E1457),N(F1457))&gt;=Settings!$C$9,MOD(MAX(N(E1457),N(F1457)),Settings!$C$10)=0),"Round amount | ",""))-3)))</f>
        <v/>
      </c>
      <c r="M1457" s="21" t="str">
        <f aca="false">IF(A1457="","",IF(COUNTIF($A$9:A1457,A1457)=1,MAX($M$8:M1456)+1,""))</f>
        <v/>
      </c>
    </row>
    <row r="1458" customFormat="false" ht="15" hidden="false" customHeight="false" outlineLevel="0" collapsed="false">
      <c r="A1458" s="8"/>
      <c r="B1458" s="17"/>
      <c r="C1458" s="19"/>
      <c r="D1458" s="8"/>
      <c r="E1458" s="18"/>
      <c r="F1458" s="18"/>
      <c r="G1458" s="8"/>
      <c r="H1458" s="8"/>
      <c r="I1458" s="8"/>
      <c r="J1458" s="8"/>
      <c r="K1458" s="10" t="str">
        <f aca="false">IF(A1458="","",IF(ABS(SUMIFS($E$9:$E$2008,$A$9:$A$2008,A1458)-SUMIFS($F$9:$F$2008,$A$9:$A$2008,A1458))&lt;0.5,"Yes","No"))</f>
        <v/>
      </c>
      <c r="L1458" s="10" t="str">
        <f aca="false">IF(A1458="","",IF(IF(K1458="No","Does not balance | ","")&amp;IF(I1458="","Not approved | ",IF(UPPER(TRIM(H1458))=UPPER(TRIM(I1458)),"Self-approved | ",""))&amp;IF(J1458="","No support | ","")&amp;IF(WEEKDAY(B1458,2)&gt;5,"Weekend posting | ","")&amp;IF(COUNTIF(Settings!$A$14:$A$43,B1458)&gt;0,"Holiday posting | ","")&amp;IF(B1458&gt;Settings!$C$8,"Posted after close | ","")&amp;IF(OR(B1458&lt;Settings!$C$6,B1458&gt;Settings!$C$7),"Outside period | ","")&amp;IF(COUNTIF(Settings!$E$14:$E$43,C1458&amp;"")&gt;0,"Sensitive account | ","")&amp;IF(AND(MAX(N(E1458),N(F1458))&gt;=Settings!$C$9,MOD(MAX(N(E1458),N(F1458)),Settings!$C$10)=0),"Round amount | ","")="","",LEFT(IF(K1458="No","Does not balance | ","")&amp;IF(I1458="","Not approved | ",IF(UPPER(TRIM(H1458))=UPPER(TRIM(I1458)),"Self-approved | ",""))&amp;IF(J1458="","No support | ","")&amp;IF(WEEKDAY(B1458,2)&gt;5,"Weekend posting | ","")&amp;IF(COUNTIF(Settings!$A$14:$A$43,B1458)&gt;0,"Holiday posting | ","")&amp;IF(B1458&gt;Settings!$C$8,"Posted after close | ","")&amp;IF(OR(B1458&lt;Settings!$C$6,B1458&gt;Settings!$C$7),"Outside period | ","")&amp;IF(COUNTIF(Settings!$E$14:$E$43,C1458&amp;"")&gt;0,"Sensitive account | ","")&amp;IF(AND(MAX(N(E1458),N(F1458))&gt;=Settings!$C$9,MOD(MAX(N(E1458),N(F1458)),Settings!$C$10)=0),"Round amount | ",""),LEN(IF(K1458="No","Does not balance | ","")&amp;IF(I1458="","Not approved | ",IF(UPPER(TRIM(H1458))=UPPER(TRIM(I1458)),"Self-approved | ",""))&amp;IF(J1458="","No support | ","")&amp;IF(WEEKDAY(B1458,2)&gt;5,"Weekend posting | ","")&amp;IF(COUNTIF(Settings!$A$14:$A$43,B1458)&gt;0,"Holiday posting | ","")&amp;IF(B1458&gt;Settings!$C$8,"Posted after close | ","")&amp;IF(OR(B1458&lt;Settings!$C$6,B1458&gt;Settings!$C$7),"Outside period | ","")&amp;IF(COUNTIF(Settings!$E$14:$E$43,C1458&amp;"")&gt;0,"Sensitive account | ","")&amp;IF(AND(MAX(N(E1458),N(F1458))&gt;=Settings!$C$9,MOD(MAX(N(E1458),N(F1458)),Settings!$C$10)=0),"Round amount | ",""))-3)))</f>
        <v/>
      </c>
      <c r="M1458" s="21" t="str">
        <f aca="false">IF(A1458="","",IF(COUNTIF($A$9:A1458,A1458)=1,MAX($M$8:M1457)+1,""))</f>
        <v/>
      </c>
    </row>
    <row r="1459" customFormat="false" ht="15" hidden="false" customHeight="false" outlineLevel="0" collapsed="false">
      <c r="A1459" s="8"/>
      <c r="B1459" s="17"/>
      <c r="C1459" s="19"/>
      <c r="D1459" s="8"/>
      <c r="E1459" s="18"/>
      <c r="F1459" s="18"/>
      <c r="G1459" s="8"/>
      <c r="H1459" s="8"/>
      <c r="I1459" s="8"/>
      <c r="J1459" s="8"/>
      <c r="K1459" s="10" t="str">
        <f aca="false">IF(A1459="","",IF(ABS(SUMIFS($E$9:$E$2008,$A$9:$A$2008,A1459)-SUMIFS($F$9:$F$2008,$A$9:$A$2008,A1459))&lt;0.5,"Yes","No"))</f>
        <v/>
      </c>
      <c r="L1459" s="10" t="str">
        <f aca="false">IF(A1459="","",IF(IF(K1459="No","Does not balance | ","")&amp;IF(I1459="","Not approved | ",IF(UPPER(TRIM(H1459))=UPPER(TRIM(I1459)),"Self-approved | ",""))&amp;IF(J1459="","No support | ","")&amp;IF(WEEKDAY(B1459,2)&gt;5,"Weekend posting | ","")&amp;IF(COUNTIF(Settings!$A$14:$A$43,B1459)&gt;0,"Holiday posting | ","")&amp;IF(B1459&gt;Settings!$C$8,"Posted after close | ","")&amp;IF(OR(B1459&lt;Settings!$C$6,B1459&gt;Settings!$C$7),"Outside period | ","")&amp;IF(COUNTIF(Settings!$E$14:$E$43,C1459&amp;"")&gt;0,"Sensitive account | ","")&amp;IF(AND(MAX(N(E1459),N(F1459))&gt;=Settings!$C$9,MOD(MAX(N(E1459),N(F1459)),Settings!$C$10)=0),"Round amount | ","")="","",LEFT(IF(K1459="No","Does not balance | ","")&amp;IF(I1459="","Not approved | ",IF(UPPER(TRIM(H1459))=UPPER(TRIM(I1459)),"Self-approved | ",""))&amp;IF(J1459="","No support | ","")&amp;IF(WEEKDAY(B1459,2)&gt;5,"Weekend posting | ","")&amp;IF(COUNTIF(Settings!$A$14:$A$43,B1459)&gt;0,"Holiday posting | ","")&amp;IF(B1459&gt;Settings!$C$8,"Posted after close | ","")&amp;IF(OR(B1459&lt;Settings!$C$6,B1459&gt;Settings!$C$7),"Outside period | ","")&amp;IF(COUNTIF(Settings!$E$14:$E$43,C1459&amp;"")&gt;0,"Sensitive account | ","")&amp;IF(AND(MAX(N(E1459),N(F1459))&gt;=Settings!$C$9,MOD(MAX(N(E1459),N(F1459)),Settings!$C$10)=0),"Round amount | ",""),LEN(IF(K1459="No","Does not balance | ","")&amp;IF(I1459="","Not approved | ",IF(UPPER(TRIM(H1459))=UPPER(TRIM(I1459)),"Self-approved | ",""))&amp;IF(J1459="","No support | ","")&amp;IF(WEEKDAY(B1459,2)&gt;5,"Weekend posting | ","")&amp;IF(COUNTIF(Settings!$A$14:$A$43,B1459)&gt;0,"Holiday posting | ","")&amp;IF(B1459&gt;Settings!$C$8,"Posted after close | ","")&amp;IF(OR(B1459&lt;Settings!$C$6,B1459&gt;Settings!$C$7),"Outside period | ","")&amp;IF(COUNTIF(Settings!$E$14:$E$43,C1459&amp;"")&gt;0,"Sensitive account | ","")&amp;IF(AND(MAX(N(E1459),N(F1459))&gt;=Settings!$C$9,MOD(MAX(N(E1459),N(F1459)),Settings!$C$10)=0),"Round amount | ",""))-3)))</f>
        <v/>
      </c>
      <c r="M1459" s="21" t="str">
        <f aca="false">IF(A1459="","",IF(COUNTIF($A$9:A1459,A1459)=1,MAX($M$8:M1458)+1,""))</f>
        <v/>
      </c>
    </row>
    <row r="1460" customFormat="false" ht="15" hidden="false" customHeight="false" outlineLevel="0" collapsed="false">
      <c r="A1460" s="8"/>
      <c r="B1460" s="17"/>
      <c r="C1460" s="19"/>
      <c r="D1460" s="8"/>
      <c r="E1460" s="18"/>
      <c r="F1460" s="18"/>
      <c r="G1460" s="8"/>
      <c r="H1460" s="8"/>
      <c r="I1460" s="8"/>
      <c r="J1460" s="8"/>
      <c r="K1460" s="10" t="str">
        <f aca="false">IF(A1460="","",IF(ABS(SUMIFS($E$9:$E$2008,$A$9:$A$2008,A1460)-SUMIFS($F$9:$F$2008,$A$9:$A$2008,A1460))&lt;0.5,"Yes","No"))</f>
        <v/>
      </c>
      <c r="L1460" s="10" t="str">
        <f aca="false">IF(A1460="","",IF(IF(K1460="No","Does not balance | ","")&amp;IF(I1460="","Not approved | ",IF(UPPER(TRIM(H1460))=UPPER(TRIM(I1460)),"Self-approved | ",""))&amp;IF(J1460="","No support | ","")&amp;IF(WEEKDAY(B1460,2)&gt;5,"Weekend posting | ","")&amp;IF(COUNTIF(Settings!$A$14:$A$43,B1460)&gt;0,"Holiday posting | ","")&amp;IF(B1460&gt;Settings!$C$8,"Posted after close | ","")&amp;IF(OR(B1460&lt;Settings!$C$6,B1460&gt;Settings!$C$7),"Outside period | ","")&amp;IF(COUNTIF(Settings!$E$14:$E$43,C1460&amp;"")&gt;0,"Sensitive account | ","")&amp;IF(AND(MAX(N(E1460),N(F1460))&gt;=Settings!$C$9,MOD(MAX(N(E1460),N(F1460)),Settings!$C$10)=0),"Round amount | ","")="","",LEFT(IF(K1460="No","Does not balance | ","")&amp;IF(I1460="","Not approved | ",IF(UPPER(TRIM(H1460))=UPPER(TRIM(I1460)),"Self-approved | ",""))&amp;IF(J1460="","No support | ","")&amp;IF(WEEKDAY(B1460,2)&gt;5,"Weekend posting | ","")&amp;IF(COUNTIF(Settings!$A$14:$A$43,B1460)&gt;0,"Holiday posting | ","")&amp;IF(B1460&gt;Settings!$C$8,"Posted after close | ","")&amp;IF(OR(B1460&lt;Settings!$C$6,B1460&gt;Settings!$C$7),"Outside period | ","")&amp;IF(COUNTIF(Settings!$E$14:$E$43,C1460&amp;"")&gt;0,"Sensitive account | ","")&amp;IF(AND(MAX(N(E1460),N(F1460))&gt;=Settings!$C$9,MOD(MAX(N(E1460),N(F1460)),Settings!$C$10)=0),"Round amount | ",""),LEN(IF(K1460="No","Does not balance | ","")&amp;IF(I1460="","Not approved | ",IF(UPPER(TRIM(H1460))=UPPER(TRIM(I1460)),"Self-approved | ",""))&amp;IF(J1460="","No support | ","")&amp;IF(WEEKDAY(B1460,2)&gt;5,"Weekend posting | ","")&amp;IF(COUNTIF(Settings!$A$14:$A$43,B1460)&gt;0,"Holiday posting | ","")&amp;IF(B1460&gt;Settings!$C$8,"Posted after close | ","")&amp;IF(OR(B1460&lt;Settings!$C$6,B1460&gt;Settings!$C$7),"Outside period | ","")&amp;IF(COUNTIF(Settings!$E$14:$E$43,C1460&amp;"")&gt;0,"Sensitive account | ","")&amp;IF(AND(MAX(N(E1460),N(F1460))&gt;=Settings!$C$9,MOD(MAX(N(E1460),N(F1460)),Settings!$C$10)=0),"Round amount | ",""))-3)))</f>
        <v/>
      </c>
      <c r="M1460" s="21" t="str">
        <f aca="false">IF(A1460="","",IF(COUNTIF($A$9:A1460,A1460)=1,MAX($M$8:M1459)+1,""))</f>
        <v/>
      </c>
    </row>
    <row r="1461" customFormat="false" ht="15" hidden="false" customHeight="false" outlineLevel="0" collapsed="false">
      <c r="A1461" s="8"/>
      <c r="B1461" s="17"/>
      <c r="C1461" s="19"/>
      <c r="D1461" s="8"/>
      <c r="E1461" s="18"/>
      <c r="F1461" s="18"/>
      <c r="G1461" s="8"/>
      <c r="H1461" s="8"/>
      <c r="I1461" s="8"/>
      <c r="J1461" s="8"/>
      <c r="K1461" s="10" t="str">
        <f aca="false">IF(A1461="","",IF(ABS(SUMIFS($E$9:$E$2008,$A$9:$A$2008,A1461)-SUMIFS($F$9:$F$2008,$A$9:$A$2008,A1461))&lt;0.5,"Yes","No"))</f>
        <v/>
      </c>
      <c r="L1461" s="10" t="str">
        <f aca="false">IF(A1461="","",IF(IF(K1461="No","Does not balance | ","")&amp;IF(I1461="","Not approved | ",IF(UPPER(TRIM(H1461))=UPPER(TRIM(I1461)),"Self-approved | ",""))&amp;IF(J1461="","No support | ","")&amp;IF(WEEKDAY(B1461,2)&gt;5,"Weekend posting | ","")&amp;IF(COUNTIF(Settings!$A$14:$A$43,B1461)&gt;0,"Holiday posting | ","")&amp;IF(B1461&gt;Settings!$C$8,"Posted after close | ","")&amp;IF(OR(B1461&lt;Settings!$C$6,B1461&gt;Settings!$C$7),"Outside period | ","")&amp;IF(COUNTIF(Settings!$E$14:$E$43,C1461&amp;"")&gt;0,"Sensitive account | ","")&amp;IF(AND(MAX(N(E1461),N(F1461))&gt;=Settings!$C$9,MOD(MAX(N(E1461),N(F1461)),Settings!$C$10)=0),"Round amount | ","")="","",LEFT(IF(K1461="No","Does not balance | ","")&amp;IF(I1461="","Not approved | ",IF(UPPER(TRIM(H1461))=UPPER(TRIM(I1461)),"Self-approved | ",""))&amp;IF(J1461="","No support | ","")&amp;IF(WEEKDAY(B1461,2)&gt;5,"Weekend posting | ","")&amp;IF(COUNTIF(Settings!$A$14:$A$43,B1461)&gt;0,"Holiday posting | ","")&amp;IF(B1461&gt;Settings!$C$8,"Posted after close | ","")&amp;IF(OR(B1461&lt;Settings!$C$6,B1461&gt;Settings!$C$7),"Outside period | ","")&amp;IF(COUNTIF(Settings!$E$14:$E$43,C1461&amp;"")&gt;0,"Sensitive account | ","")&amp;IF(AND(MAX(N(E1461),N(F1461))&gt;=Settings!$C$9,MOD(MAX(N(E1461),N(F1461)),Settings!$C$10)=0),"Round amount | ",""),LEN(IF(K1461="No","Does not balance | ","")&amp;IF(I1461="","Not approved | ",IF(UPPER(TRIM(H1461))=UPPER(TRIM(I1461)),"Self-approved | ",""))&amp;IF(J1461="","No support | ","")&amp;IF(WEEKDAY(B1461,2)&gt;5,"Weekend posting | ","")&amp;IF(COUNTIF(Settings!$A$14:$A$43,B1461)&gt;0,"Holiday posting | ","")&amp;IF(B1461&gt;Settings!$C$8,"Posted after close | ","")&amp;IF(OR(B1461&lt;Settings!$C$6,B1461&gt;Settings!$C$7),"Outside period | ","")&amp;IF(COUNTIF(Settings!$E$14:$E$43,C1461&amp;"")&gt;0,"Sensitive account | ","")&amp;IF(AND(MAX(N(E1461),N(F1461))&gt;=Settings!$C$9,MOD(MAX(N(E1461),N(F1461)),Settings!$C$10)=0),"Round amount | ",""))-3)))</f>
        <v/>
      </c>
      <c r="M1461" s="21" t="str">
        <f aca="false">IF(A1461="","",IF(COUNTIF($A$9:A1461,A1461)=1,MAX($M$8:M1460)+1,""))</f>
        <v/>
      </c>
    </row>
    <row r="1462" customFormat="false" ht="15" hidden="false" customHeight="false" outlineLevel="0" collapsed="false">
      <c r="A1462" s="8"/>
      <c r="B1462" s="17"/>
      <c r="C1462" s="19"/>
      <c r="D1462" s="8"/>
      <c r="E1462" s="18"/>
      <c r="F1462" s="18"/>
      <c r="G1462" s="8"/>
      <c r="H1462" s="8"/>
      <c r="I1462" s="8"/>
      <c r="J1462" s="8"/>
      <c r="K1462" s="10" t="str">
        <f aca="false">IF(A1462="","",IF(ABS(SUMIFS($E$9:$E$2008,$A$9:$A$2008,A1462)-SUMIFS($F$9:$F$2008,$A$9:$A$2008,A1462))&lt;0.5,"Yes","No"))</f>
        <v/>
      </c>
      <c r="L1462" s="10" t="str">
        <f aca="false">IF(A1462="","",IF(IF(K1462="No","Does not balance | ","")&amp;IF(I1462="","Not approved | ",IF(UPPER(TRIM(H1462))=UPPER(TRIM(I1462)),"Self-approved | ",""))&amp;IF(J1462="","No support | ","")&amp;IF(WEEKDAY(B1462,2)&gt;5,"Weekend posting | ","")&amp;IF(COUNTIF(Settings!$A$14:$A$43,B1462)&gt;0,"Holiday posting | ","")&amp;IF(B1462&gt;Settings!$C$8,"Posted after close | ","")&amp;IF(OR(B1462&lt;Settings!$C$6,B1462&gt;Settings!$C$7),"Outside period | ","")&amp;IF(COUNTIF(Settings!$E$14:$E$43,C1462&amp;"")&gt;0,"Sensitive account | ","")&amp;IF(AND(MAX(N(E1462),N(F1462))&gt;=Settings!$C$9,MOD(MAX(N(E1462),N(F1462)),Settings!$C$10)=0),"Round amount | ","")="","",LEFT(IF(K1462="No","Does not balance | ","")&amp;IF(I1462="","Not approved | ",IF(UPPER(TRIM(H1462))=UPPER(TRIM(I1462)),"Self-approved | ",""))&amp;IF(J1462="","No support | ","")&amp;IF(WEEKDAY(B1462,2)&gt;5,"Weekend posting | ","")&amp;IF(COUNTIF(Settings!$A$14:$A$43,B1462)&gt;0,"Holiday posting | ","")&amp;IF(B1462&gt;Settings!$C$8,"Posted after close | ","")&amp;IF(OR(B1462&lt;Settings!$C$6,B1462&gt;Settings!$C$7),"Outside period | ","")&amp;IF(COUNTIF(Settings!$E$14:$E$43,C1462&amp;"")&gt;0,"Sensitive account | ","")&amp;IF(AND(MAX(N(E1462),N(F1462))&gt;=Settings!$C$9,MOD(MAX(N(E1462),N(F1462)),Settings!$C$10)=0),"Round amount | ",""),LEN(IF(K1462="No","Does not balance | ","")&amp;IF(I1462="","Not approved | ",IF(UPPER(TRIM(H1462))=UPPER(TRIM(I1462)),"Self-approved | ",""))&amp;IF(J1462="","No support | ","")&amp;IF(WEEKDAY(B1462,2)&gt;5,"Weekend posting | ","")&amp;IF(COUNTIF(Settings!$A$14:$A$43,B1462)&gt;0,"Holiday posting | ","")&amp;IF(B1462&gt;Settings!$C$8,"Posted after close | ","")&amp;IF(OR(B1462&lt;Settings!$C$6,B1462&gt;Settings!$C$7),"Outside period | ","")&amp;IF(COUNTIF(Settings!$E$14:$E$43,C1462&amp;"")&gt;0,"Sensitive account | ","")&amp;IF(AND(MAX(N(E1462),N(F1462))&gt;=Settings!$C$9,MOD(MAX(N(E1462),N(F1462)),Settings!$C$10)=0),"Round amount | ",""))-3)))</f>
        <v/>
      </c>
      <c r="M1462" s="21" t="str">
        <f aca="false">IF(A1462="","",IF(COUNTIF($A$9:A1462,A1462)=1,MAX($M$8:M1461)+1,""))</f>
        <v/>
      </c>
    </row>
    <row r="1463" customFormat="false" ht="15" hidden="false" customHeight="false" outlineLevel="0" collapsed="false">
      <c r="A1463" s="8"/>
      <c r="B1463" s="17"/>
      <c r="C1463" s="19"/>
      <c r="D1463" s="8"/>
      <c r="E1463" s="18"/>
      <c r="F1463" s="18"/>
      <c r="G1463" s="8"/>
      <c r="H1463" s="8"/>
      <c r="I1463" s="8"/>
      <c r="J1463" s="8"/>
      <c r="K1463" s="10" t="str">
        <f aca="false">IF(A1463="","",IF(ABS(SUMIFS($E$9:$E$2008,$A$9:$A$2008,A1463)-SUMIFS($F$9:$F$2008,$A$9:$A$2008,A1463))&lt;0.5,"Yes","No"))</f>
        <v/>
      </c>
      <c r="L1463" s="10" t="str">
        <f aca="false">IF(A1463="","",IF(IF(K1463="No","Does not balance | ","")&amp;IF(I1463="","Not approved | ",IF(UPPER(TRIM(H1463))=UPPER(TRIM(I1463)),"Self-approved | ",""))&amp;IF(J1463="","No support | ","")&amp;IF(WEEKDAY(B1463,2)&gt;5,"Weekend posting | ","")&amp;IF(COUNTIF(Settings!$A$14:$A$43,B1463)&gt;0,"Holiday posting | ","")&amp;IF(B1463&gt;Settings!$C$8,"Posted after close | ","")&amp;IF(OR(B1463&lt;Settings!$C$6,B1463&gt;Settings!$C$7),"Outside period | ","")&amp;IF(COUNTIF(Settings!$E$14:$E$43,C1463&amp;"")&gt;0,"Sensitive account | ","")&amp;IF(AND(MAX(N(E1463),N(F1463))&gt;=Settings!$C$9,MOD(MAX(N(E1463),N(F1463)),Settings!$C$10)=0),"Round amount | ","")="","",LEFT(IF(K1463="No","Does not balance | ","")&amp;IF(I1463="","Not approved | ",IF(UPPER(TRIM(H1463))=UPPER(TRIM(I1463)),"Self-approved | ",""))&amp;IF(J1463="","No support | ","")&amp;IF(WEEKDAY(B1463,2)&gt;5,"Weekend posting | ","")&amp;IF(COUNTIF(Settings!$A$14:$A$43,B1463)&gt;0,"Holiday posting | ","")&amp;IF(B1463&gt;Settings!$C$8,"Posted after close | ","")&amp;IF(OR(B1463&lt;Settings!$C$6,B1463&gt;Settings!$C$7),"Outside period | ","")&amp;IF(COUNTIF(Settings!$E$14:$E$43,C1463&amp;"")&gt;0,"Sensitive account | ","")&amp;IF(AND(MAX(N(E1463),N(F1463))&gt;=Settings!$C$9,MOD(MAX(N(E1463),N(F1463)),Settings!$C$10)=0),"Round amount | ",""),LEN(IF(K1463="No","Does not balance | ","")&amp;IF(I1463="","Not approved | ",IF(UPPER(TRIM(H1463))=UPPER(TRIM(I1463)),"Self-approved | ",""))&amp;IF(J1463="","No support | ","")&amp;IF(WEEKDAY(B1463,2)&gt;5,"Weekend posting | ","")&amp;IF(COUNTIF(Settings!$A$14:$A$43,B1463)&gt;0,"Holiday posting | ","")&amp;IF(B1463&gt;Settings!$C$8,"Posted after close | ","")&amp;IF(OR(B1463&lt;Settings!$C$6,B1463&gt;Settings!$C$7),"Outside period | ","")&amp;IF(COUNTIF(Settings!$E$14:$E$43,C1463&amp;"")&gt;0,"Sensitive account | ","")&amp;IF(AND(MAX(N(E1463),N(F1463))&gt;=Settings!$C$9,MOD(MAX(N(E1463),N(F1463)),Settings!$C$10)=0),"Round amount | ",""))-3)))</f>
        <v/>
      </c>
      <c r="M1463" s="21" t="str">
        <f aca="false">IF(A1463="","",IF(COUNTIF($A$9:A1463,A1463)=1,MAX($M$8:M1462)+1,""))</f>
        <v/>
      </c>
    </row>
    <row r="1464" customFormat="false" ht="15" hidden="false" customHeight="false" outlineLevel="0" collapsed="false">
      <c r="A1464" s="8"/>
      <c r="B1464" s="17"/>
      <c r="C1464" s="19"/>
      <c r="D1464" s="8"/>
      <c r="E1464" s="18"/>
      <c r="F1464" s="18"/>
      <c r="G1464" s="8"/>
      <c r="H1464" s="8"/>
      <c r="I1464" s="8"/>
      <c r="J1464" s="8"/>
      <c r="K1464" s="10" t="str">
        <f aca="false">IF(A1464="","",IF(ABS(SUMIFS($E$9:$E$2008,$A$9:$A$2008,A1464)-SUMIFS($F$9:$F$2008,$A$9:$A$2008,A1464))&lt;0.5,"Yes","No"))</f>
        <v/>
      </c>
      <c r="L1464" s="10" t="str">
        <f aca="false">IF(A1464="","",IF(IF(K1464="No","Does not balance | ","")&amp;IF(I1464="","Not approved | ",IF(UPPER(TRIM(H1464))=UPPER(TRIM(I1464)),"Self-approved | ",""))&amp;IF(J1464="","No support | ","")&amp;IF(WEEKDAY(B1464,2)&gt;5,"Weekend posting | ","")&amp;IF(COUNTIF(Settings!$A$14:$A$43,B1464)&gt;0,"Holiday posting | ","")&amp;IF(B1464&gt;Settings!$C$8,"Posted after close | ","")&amp;IF(OR(B1464&lt;Settings!$C$6,B1464&gt;Settings!$C$7),"Outside period | ","")&amp;IF(COUNTIF(Settings!$E$14:$E$43,C1464&amp;"")&gt;0,"Sensitive account | ","")&amp;IF(AND(MAX(N(E1464),N(F1464))&gt;=Settings!$C$9,MOD(MAX(N(E1464),N(F1464)),Settings!$C$10)=0),"Round amount | ","")="","",LEFT(IF(K1464="No","Does not balance | ","")&amp;IF(I1464="","Not approved | ",IF(UPPER(TRIM(H1464))=UPPER(TRIM(I1464)),"Self-approved | ",""))&amp;IF(J1464="","No support | ","")&amp;IF(WEEKDAY(B1464,2)&gt;5,"Weekend posting | ","")&amp;IF(COUNTIF(Settings!$A$14:$A$43,B1464)&gt;0,"Holiday posting | ","")&amp;IF(B1464&gt;Settings!$C$8,"Posted after close | ","")&amp;IF(OR(B1464&lt;Settings!$C$6,B1464&gt;Settings!$C$7),"Outside period | ","")&amp;IF(COUNTIF(Settings!$E$14:$E$43,C1464&amp;"")&gt;0,"Sensitive account | ","")&amp;IF(AND(MAX(N(E1464),N(F1464))&gt;=Settings!$C$9,MOD(MAX(N(E1464),N(F1464)),Settings!$C$10)=0),"Round amount | ",""),LEN(IF(K1464="No","Does not balance | ","")&amp;IF(I1464="","Not approved | ",IF(UPPER(TRIM(H1464))=UPPER(TRIM(I1464)),"Self-approved | ",""))&amp;IF(J1464="","No support | ","")&amp;IF(WEEKDAY(B1464,2)&gt;5,"Weekend posting | ","")&amp;IF(COUNTIF(Settings!$A$14:$A$43,B1464)&gt;0,"Holiday posting | ","")&amp;IF(B1464&gt;Settings!$C$8,"Posted after close | ","")&amp;IF(OR(B1464&lt;Settings!$C$6,B1464&gt;Settings!$C$7),"Outside period | ","")&amp;IF(COUNTIF(Settings!$E$14:$E$43,C1464&amp;"")&gt;0,"Sensitive account | ","")&amp;IF(AND(MAX(N(E1464),N(F1464))&gt;=Settings!$C$9,MOD(MAX(N(E1464),N(F1464)),Settings!$C$10)=0),"Round amount | ",""))-3)))</f>
        <v/>
      </c>
      <c r="M1464" s="21" t="str">
        <f aca="false">IF(A1464="","",IF(COUNTIF($A$9:A1464,A1464)=1,MAX($M$8:M1463)+1,""))</f>
        <v/>
      </c>
    </row>
    <row r="1465" customFormat="false" ht="15" hidden="false" customHeight="false" outlineLevel="0" collapsed="false">
      <c r="A1465" s="8"/>
      <c r="B1465" s="17"/>
      <c r="C1465" s="19"/>
      <c r="D1465" s="8"/>
      <c r="E1465" s="18"/>
      <c r="F1465" s="18"/>
      <c r="G1465" s="8"/>
      <c r="H1465" s="8"/>
      <c r="I1465" s="8"/>
      <c r="J1465" s="8"/>
      <c r="K1465" s="10" t="str">
        <f aca="false">IF(A1465="","",IF(ABS(SUMIFS($E$9:$E$2008,$A$9:$A$2008,A1465)-SUMIFS($F$9:$F$2008,$A$9:$A$2008,A1465))&lt;0.5,"Yes","No"))</f>
        <v/>
      </c>
      <c r="L1465" s="10" t="str">
        <f aca="false">IF(A1465="","",IF(IF(K1465="No","Does not balance | ","")&amp;IF(I1465="","Not approved | ",IF(UPPER(TRIM(H1465))=UPPER(TRIM(I1465)),"Self-approved | ",""))&amp;IF(J1465="","No support | ","")&amp;IF(WEEKDAY(B1465,2)&gt;5,"Weekend posting | ","")&amp;IF(COUNTIF(Settings!$A$14:$A$43,B1465)&gt;0,"Holiday posting | ","")&amp;IF(B1465&gt;Settings!$C$8,"Posted after close | ","")&amp;IF(OR(B1465&lt;Settings!$C$6,B1465&gt;Settings!$C$7),"Outside period | ","")&amp;IF(COUNTIF(Settings!$E$14:$E$43,C1465&amp;"")&gt;0,"Sensitive account | ","")&amp;IF(AND(MAX(N(E1465),N(F1465))&gt;=Settings!$C$9,MOD(MAX(N(E1465),N(F1465)),Settings!$C$10)=0),"Round amount | ","")="","",LEFT(IF(K1465="No","Does not balance | ","")&amp;IF(I1465="","Not approved | ",IF(UPPER(TRIM(H1465))=UPPER(TRIM(I1465)),"Self-approved | ",""))&amp;IF(J1465="","No support | ","")&amp;IF(WEEKDAY(B1465,2)&gt;5,"Weekend posting | ","")&amp;IF(COUNTIF(Settings!$A$14:$A$43,B1465)&gt;0,"Holiday posting | ","")&amp;IF(B1465&gt;Settings!$C$8,"Posted after close | ","")&amp;IF(OR(B1465&lt;Settings!$C$6,B1465&gt;Settings!$C$7),"Outside period | ","")&amp;IF(COUNTIF(Settings!$E$14:$E$43,C1465&amp;"")&gt;0,"Sensitive account | ","")&amp;IF(AND(MAX(N(E1465),N(F1465))&gt;=Settings!$C$9,MOD(MAX(N(E1465),N(F1465)),Settings!$C$10)=0),"Round amount | ",""),LEN(IF(K1465="No","Does not balance | ","")&amp;IF(I1465="","Not approved | ",IF(UPPER(TRIM(H1465))=UPPER(TRIM(I1465)),"Self-approved | ",""))&amp;IF(J1465="","No support | ","")&amp;IF(WEEKDAY(B1465,2)&gt;5,"Weekend posting | ","")&amp;IF(COUNTIF(Settings!$A$14:$A$43,B1465)&gt;0,"Holiday posting | ","")&amp;IF(B1465&gt;Settings!$C$8,"Posted after close | ","")&amp;IF(OR(B1465&lt;Settings!$C$6,B1465&gt;Settings!$C$7),"Outside period | ","")&amp;IF(COUNTIF(Settings!$E$14:$E$43,C1465&amp;"")&gt;0,"Sensitive account | ","")&amp;IF(AND(MAX(N(E1465),N(F1465))&gt;=Settings!$C$9,MOD(MAX(N(E1465),N(F1465)),Settings!$C$10)=0),"Round amount | ",""))-3)))</f>
        <v/>
      </c>
      <c r="M1465" s="21" t="str">
        <f aca="false">IF(A1465="","",IF(COUNTIF($A$9:A1465,A1465)=1,MAX($M$8:M1464)+1,""))</f>
        <v/>
      </c>
    </row>
    <row r="1466" customFormat="false" ht="15" hidden="false" customHeight="false" outlineLevel="0" collapsed="false">
      <c r="A1466" s="8"/>
      <c r="B1466" s="17"/>
      <c r="C1466" s="19"/>
      <c r="D1466" s="8"/>
      <c r="E1466" s="18"/>
      <c r="F1466" s="18"/>
      <c r="G1466" s="8"/>
      <c r="H1466" s="8"/>
      <c r="I1466" s="8"/>
      <c r="J1466" s="8"/>
      <c r="K1466" s="10" t="str">
        <f aca="false">IF(A1466="","",IF(ABS(SUMIFS($E$9:$E$2008,$A$9:$A$2008,A1466)-SUMIFS($F$9:$F$2008,$A$9:$A$2008,A1466))&lt;0.5,"Yes","No"))</f>
        <v/>
      </c>
      <c r="L1466" s="10" t="str">
        <f aca="false">IF(A1466="","",IF(IF(K1466="No","Does not balance | ","")&amp;IF(I1466="","Not approved | ",IF(UPPER(TRIM(H1466))=UPPER(TRIM(I1466)),"Self-approved | ",""))&amp;IF(J1466="","No support | ","")&amp;IF(WEEKDAY(B1466,2)&gt;5,"Weekend posting | ","")&amp;IF(COUNTIF(Settings!$A$14:$A$43,B1466)&gt;0,"Holiday posting | ","")&amp;IF(B1466&gt;Settings!$C$8,"Posted after close | ","")&amp;IF(OR(B1466&lt;Settings!$C$6,B1466&gt;Settings!$C$7),"Outside period | ","")&amp;IF(COUNTIF(Settings!$E$14:$E$43,C1466&amp;"")&gt;0,"Sensitive account | ","")&amp;IF(AND(MAX(N(E1466),N(F1466))&gt;=Settings!$C$9,MOD(MAX(N(E1466),N(F1466)),Settings!$C$10)=0),"Round amount | ","")="","",LEFT(IF(K1466="No","Does not balance | ","")&amp;IF(I1466="","Not approved | ",IF(UPPER(TRIM(H1466))=UPPER(TRIM(I1466)),"Self-approved | ",""))&amp;IF(J1466="","No support | ","")&amp;IF(WEEKDAY(B1466,2)&gt;5,"Weekend posting | ","")&amp;IF(COUNTIF(Settings!$A$14:$A$43,B1466)&gt;0,"Holiday posting | ","")&amp;IF(B1466&gt;Settings!$C$8,"Posted after close | ","")&amp;IF(OR(B1466&lt;Settings!$C$6,B1466&gt;Settings!$C$7),"Outside period | ","")&amp;IF(COUNTIF(Settings!$E$14:$E$43,C1466&amp;"")&gt;0,"Sensitive account | ","")&amp;IF(AND(MAX(N(E1466),N(F1466))&gt;=Settings!$C$9,MOD(MAX(N(E1466),N(F1466)),Settings!$C$10)=0),"Round amount | ",""),LEN(IF(K1466="No","Does not balance | ","")&amp;IF(I1466="","Not approved | ",IF(UPPER(TRIM(H1466))=UPPER(TRIM(I1466)),"Self-approved | ",""))&amp;IF(J1466="","No support | ","")&amp;IF(WEEKDAY(B1466,2)&gt;5,"Weekend posting | ","")&amp;IF(COUNTIF(Settings!$A$14:$A$43,B1466)&gt;0,"Holiday posting | ","")&amp;IF(B1466&gt;Settings!$C$8,"Posted after close | ","")&amp;IF(OR(B1466&lt;Settings!$C$6,B1466&gt;Settings!$C$7),"Outside period | ","")&amp;IF(COUNTIF(Settings!$E$14:$E$43,C1466&amp;"")&gt;0,"Sensitive account | ","")&amp;IF(AND(MAX(N(E1466),N(F1466))&gt;=Settings!$C$9,MOD(MAX(N(E1466),N(F1466)),Settings!$C$10)=0),"Round amount | ",""))-3)))</f>
        <v/>
      </c>
      <c r="M1466" s="21" t="str">
        <f aca="false">IF(A1466="","",IF(COUNTIF($A$9:A1466,A1466)=1,MAX($M$8:M1465)+1,""))</f>
        <v/>
      </c>
    </row>
    <row r="1467" customFormat="false" ht="15" hidden="false" customHeight="false" outlineLevel="0" collapsed="false">
      <c r="A1467" s="8"/>
      <c r="B1467" s="17"/>
      <c r="C1467" s="19"/>
      <c r="D1467" s="8"/>
      <c r="E1467" s="18"/>
      <c r="F1467" s="18"/>
      <c r="G1467" s="8"/>
      <c r="H1467" s="8"/>
      <c r="I1467" s="8"/>
      <c r="J1467" s="8"/>
      <c r="K1467" s="10" t="str">
        <f aca="false">IF(A1467="","",IF(ABS(SUMIFS($E$9:$E$2008,$A$9:$A$2008,A1467)-SUMIFS($F$9:$F$2008,$A$9:$A$2008,A1467))&lt;0.5,"Yes","No"))</f>
        <v/>
      </c>
      <c r="L1467" s="10" t="str">
        <f aca="false">IF(A1467="","",IF(IF(K1467="No","Does not balance | ","")&amp;IF(I1467="","Not approved | ",IF(UPPER(TRIM(H1467))=UPPER(TRIM(I1467)),"Self-approved | ",""))&amp;IF(J1467="","No support | ","")&amp;IF(WEEKDAY(B1467,2)&gt;5,"Weekend posting | ","")&amp;IF(COUNTIF(Settings!$A$14:$A$43,B1467)&gt;0,"Holiday posting | ","")&amp;IF(B1467&gt;Settings!$C$8,"Posted after close | ","")&amp;IF(OR(B1467&lt;Settings!$C$6,B1467&gt;Settings!$C$7),"Outside period | ","")&amp;IF(COUNTIF(Settings!$E$14:$E$43,C1467&amp;"")&gt;0,"Sensitive account | ","")&amp;IF(AND(MAX(N(E1467),N(F1467))&gt;=Settings!$C$9,MOD(MAX(N(E1467),N(F1467)),Settings!$C$10)=0),"Round amount | ","")="","",LEFT(IF(K1467="No","Does not balance | ","")&amp;IF(I1467="","Not approved | ",IF(UPPER(TRIM(H1467))=UPPER(TRIM(I1467)),"Self-approved | ",""))&amp;IF(J1467="","No support | ","")&amp;IF(WEEKDAY(B1467,2)&gt;5,"Weekend posting | ","")&amp;IF(COUNTIF(Settings!$A$14:$A$43,B1467)&gt;0,"Holiday posting | ","")&amp;IF(B1467&gt;Settings!$C$8,"Posted after close | ","")&amp;IF(OR(B1467&lt;Settings!$C$6,B1467&gt;Settings!$C$7),"Outside period | ","")&amp;IF(COUNTIF(Settings!$E$14:$E$43,C1467&amp;"")&gt;0,"Sensitive account | ","")&amp;IF(AND(MAX(N(E1467),N(F1467))&gt;=Settings!$C$9,MOD(MAX(N(E1467),N(F1467)),Settings!$C$10)=0),"Round amount | ",""),LEN(IF(K1467="No","Does not balance | ","")&amp;IF(I1467="","Not approved | ",IF(UPPER(TRIM(H1467))=UPPER(TRIM(I1467)),"Self-approved | ",""))&amp;IF(J1467="","No support | ","")&amp;IF(WEEKDAY(B1467,2)&gt;5,"Weekend posting | ","")&amp;IF(COUNTIF(Settings!$A$14:$A$43,B1467)&gt;0,"Holiday posting | ","")&amp;IF(B1467&gt;Settings!$C$8,"Posted after close | ","")&amp;IF(OR(B1467&lt;Settings!$C$6,B1467&gt;Settings!$C$7),"Outside period | ","")&amp;IF(COUNTIF(Settings!$E$14:$E$43,C1467&amp;"")&gt;0,"Sensitive account | ","")&amp;IF(AND(MAX(N(E1467),N(F1467))&gt;=Settings!$C$9,MOD(MAX(N(E1467),N(F1467)),Settings!$C$10)=0),"Round amount | ",""))-3)))</f>
        <v/>
      </c>
      <c r="M1467" s="21" t="str">
        <f aca="false">IF(A1467="","",IF(COUNTIF($A$9:A1467,A1467)=1,MAX($M$8:M1466)+1,""))</f>
        <v/>
      </c>
    </row>
    <row r="1468" customFormat="false" ht="15" hidden="false" customHeight="false" outlineLevel="0" collapsed="false">
      <c r="A1468" s="8"/>
      <c r="B1468" s="17"/>
      <c r="C1468" s="19"/>
      <c r="D1468" s="8"/>
      <c r="E1468" s="18"/>
      <c r="F1468" s="18"/>
      <c r="G1468" s="8"/>
      <c r="H1468" s="8"/>
      <c r="I1468" s="8"/>
      <c r="J1468" s="8"/>
      <c r="K1468" s="10" t="str">
        <f aca="false">IF(A1468="","",IF(ABS(SUMIFS($E$9:$E$2008,$A$9:$A$2008,A1468)-SUMIFS($F$9:$F$2008,$A$9:$A$2008,A1468))&lt;0.5,"Yes","No"))</f>
        <v/>
      </c>
      <c r="L1468" s="10" t="str">
        <f aca="false">IF(A1468="","",IF(IF(K1468="No","Does not balance | ","")&amp;IF(I1468="","Not approved | ",IF(UPPER(TRIM(H1468))=UPPER(TRIM(I1468)),"Self-approved | ",""))&amp;IF(J1468="","No support | ","")&amp;IF(WEEKDAY(B1468,2)&gt;5,"Weekend posting | ","")&amp;IF(COUNTIF(Settings!$A$14:$A$43,B1468)&gt;0,"Holiday posting | ","")&amp;IF(B1468&gt;Settings!$C$8,"Posted after close | ","")&amp;IF(OR(B1468&lt;Settings!$C$6,B1468&gt;Settings!$C$7),"Outside period | ","")&amp;IF(COUNTIF(Settings!$E$14:$E$43,C1468&amp;"")&gt;0,"Sensitive account | ","")&amp;IF(AND(MAX(N(E1468),N(F1468))&gt;=Settings!$C$9,MOD(MAX(N(E1468),N(F1468)),Settings!$C$10)=0),"Round amount | ","")="","",LEFT(IF(K1468="No","Does not balance | ","")&amp;IF(I1468="","Not approved | ",IF(UPPER(TRIM(H1468))=UPPER(TRIM(I1468)),"Self-approved | ",""))&amp;IF(J1468="","No support | ","")&amp;IF(WEEKDAY(B1468,2)&gt;5,"Weekend posting | ","")&amp;IF(COUNTIF(Settings!$A$14:$A$43,B1468)&gt;0,"Holiday posting | ","")&amp;IF(B1468&gt;Settings!$C$8,"Posted after close | ","")&amp;IF(OR(B1468&lt;Settings!$C$6,B1468&gt;Settings!$C$7),"Outside period | ","")&amp;IF(COUNTIF(Settings!$E$14:$E$43,C1468&amp;"")&gt;0,"Sensitive account | ","")&amp;IF(AND(MAX(N(E1468),N(F1468))&gt;=Settings!$C$9,MOD(MAX(N(E1468),N(F1468)),Settings!$C$10)=0),"Round amount | ",""),LEN(IF(K1468="No","Does not balance | ","")&amp;IF(I1468="","Not approved | ",IF(UPPER(TRIM(H1468))=UPPER(TRIM(I1468)),"Self-approved | ",""))&amp;IF(J1468="","No support | ","")&amp;IF(WEEKDAY(B1468,2)&gt;5,"Weekend posting | ","")&amp;IF(COUNTIF(Settings!$A$14:$A$43,B1468)&gt;0,"Holiday posting | ","")&amp;IF(B1468&gt;Settings!$C$8,"Posted after close | ","")&amp;IF(OR(B1468&lt;Settings!$C$6,B1468&gt;Settings!$C$7),"Outside period | ","")&amp;IF(COUNTIF(Settings!$E$14:$E$43,C1468&amp;"")&gt;0,"Sensitive account | ","")&amp;IF(AND(MAX(N(E1468),N(F1468))&gt;=Settings!$C$9,MOD(MAX(N(E1468),N(F1468)),Settings!$C$10)=0),"Round amount | ",""))-3)))</f>
        <v/>
      </c>
      <c r="M1468" s="21" t="str">
        <f aca="false">IF(A1468="","",IF(COUNTIF($A$9:A1468,A1468)=1,MAX($M$8:M1467)+1,""))</f>
        <v/>
      </c>
    </row>
    <row r="1469" customFormat="false" ht="15" hidden="false" customHeight="false" outlineLevel="0" collapsed="false">
      <c r="A1469" s="8"/>
      <c r="B1469" s="17"/>
      <c r="C1469" s="19"/>
      <c r="D1469" s="8"/>
      <c r="E1469" s="18"/>
      <c r="F1469" s="18"/>
      <c r="G1469" s="8"/>
      <c r="H1469" s="8"/>
      <c r="I1469" s="8"/>
      <c r="J1469" s="8"/>
      <c r="K1469" s="10" t="str">
        <f aca="false">IF(A1469="","",IF(ABS(SUMIFS($E$9:$E$2008,$A$9:$A$2008,A1469)-SUMIFS($F$9:$F$2008,$A$9:$A$2008,A1469))&lt;0.5,"Yes","No"))</f>
        <v/>
      </c>
      <c r="L1469" s="10" t="str">
        <f aca="false">IF(A1469="","",IF(IF(K1469="No","Does not balance | ","")&amp;IF(I1469="","Not approved | ",IF(UPPER(TRIM(H1469))=UPPER(TRIM(I1469)),"Self-approved | ",""))&amp;IF(J1469="","No support | ","")&amp;IF(WEEKDAY(B1469,2)&gt;5,"Weekend posting | ","")&amp;IF(COUNTIF(Settings!$A$14:$A$43,B1469)&gt;0,"Holiday posting | ","")&amp;IF(B1469&gt;Settings!$C$8,"Posted after close | ","")&amp;IF(OR(B1469&lt;Settings!$C$6,B1469&gt;Settings!$C$7),"Outside period | ","")&amp;IF(COUNTIF(Settings!$E$14:$E$43,C1469&amp;"")&gt;0,"Sensitive account | ","")&amp;IF(AND(MAX(N(E1469),N(F1469))&gt;=Settings!$C$9,MOD(MAX(N(E1469),N(F1469)),Settings!$C$10)=0),"Round amount | ","")="","",LEFT(IF(K1469="No","Does not balance | ","")&amp;IF(I1469="","Not approved | ",IF(UPPER(TRIM(H1469))=UPPER(TRIM(I1469)),"Self-approved | ",""))&amp;IF(J1469="","No support | ","")&amp;IF(WEEKDAY(B1469,2)&gt;5,"Weekend posting | ","")&amp;IF(COUNTIF(Settings!$A$14:$A$43,B1469)&gt;0,"Holiday posting | ","")&amp;IF(B1469&gt;Settings!$C$8,"Posted after close | ","")&amp;IF(OR(B1469&lt;Settings!$C$6,B1469&gt;Settings!$C$7),"Outside period | ","")&amp;IF(COUNTIF(Settings!$E$14:$E$43,C1469&amp;"")&gt;0,"Sensitive account | ","")&amp;IF(AND(MAX(N(E1469),N(F1469))&gt;=Settings!$C$9,MOD(MAX(N(E1469),N(F1469)),Settings!$C$10)=0),"Round amount | ",""),LEN(IF(K1469="No","Does not balance | ","")&amp;IF(I1469="","Not approved | ",IF(UPPER(TRIM(H1469))=UPPER(TRIM(I1469)),"Self-approved | ",""))&amp;IF(J1469="","No support | ","")&amp;IF(WEEKDAY(B1469,2)&gt;5,"Weekend posting | ","")&amp;IF(COUNTIF(Settings!$A$14:$A$43,B1469)&gt;0,"Holiday posting | ","")&amp;IF(B1469&gt;Settings!$C$8,"Posted after close | ","")&amp;IF(OR(B1469&lt;Settings!$C$6,B1469&gt;Settings!$C$7),"Outside period | ","")&amp;IF(COUNTIF(Settings!$E$14:$E$43,C1469&amp;"")&gt;0,"Sensitive account | ","")&amp;IF(AND(MAX(N(E1469),N(F1469))&gt;=Settings!$C$9,MOD(MAX(N(E1469),N(F1469)),Settings!$C$10)=0),"Round amount | ",""))-3)))</f>
        <v/>
      </c>
      <c r="M1469" s="21" t="str">
        <f aca="false">IF(A1469="","",IF(COUNTIF($A$9:A1469,A1469)=1,MAX($M$8:M1468)+1,""))</f>
        <v/>
      </c>
    </row>
    <row r="1470" customFormat="false" ht="15" hidden="false" customHeight="false" outlineLevel="0" collapsed="false">
      <c r="A1470" s="8"/>
      <c r="B1470" s="17"/>
      <c r="C1470" s="19"/>
      <c r="D1470" s="8"/>
      <c r="E1470" s="18"/>
      <c r="F1470" s="18"/>
      <c r="G1470" s="8"/>
      <c r="H1470" s="8"/>
      <c r="I1470" s="8"/>
      <c r="J1470" s="8"/>
      <c r="K1470" s="10" t="str">
        <f aca="false">IF(A1470="","",IF(ABS(SUMIFS($E$9:$E$2008,$A$9:$A$2008,A1470)-SUMIFS($F$9:$F$2008,$A$9:$A$2008,A1470))&lt;0.5,"Yes","No"))</f>
        <v/>
      </c>
      <c r="L1470" s="10" t="str">
        <f aca="false">IF(A1470="","",IF(IF(K1470="No","Does not balance | ","")&amp;IF(I1470="","Not approved | ",IF(UPPER(TRIM(H1470))=UPPER(TRIM(I1470)),"Self-approved | ",""))&amp;IF(J1470="","No support | ","")&amp;IF(WEEKDAY(B1470,2)&gt;5,"Weekend posting | ","")&amp;IF(COUNTIF(Settings!$A$14:$A$43,B1470)&gt;0,"Holiday posting | ","")&amp;IF(B1470&gt;Settings!$C$8,"Posted after close | ","")&amp;IF(OR(B1470&lt;Settings!$C$6,B1470&gt;Settings!$C$7),"Outside period | ","")&amp;IF(COUNTIF(Settings!$E$14:$E$43,C1470&amp;"")&gt;0,"Sensitive account | ","")&amp;IF(AND(MAX(N(E1470),N(F1470))&gt;=Settings!$C$9,MOD(MAX(N(E1470),N(F1470)),Settings!$C$10)=0),"Round amount | ","")="","",LEFT(IF(K1470="No","Does not balance | ","")&amp;IF(I1470="","Not approved | ",IF(UPPER(TRIM(H1470))=UPPER(TRIM(I1470)),"Self-approved | ",""))&amp;IF(J1470="","No support | ","")&amp;IF(WEEKDAY(B1470,2)&gt;5,"Weekend posting | ","")&amp;IF(COUNTIF(Settings!$A$14:$A$43,B1470)&gt;0,"Holiday posting | ","")&amp;IF(B1470&gt;Settings!$C$8,"Posted after close | ","")&amp;IF(OR(B1470&lt;Settings!$C$6,B1470&gt;Settings!$C$7),"Outside period | ","")&amp;IF(COUNTIF(Settings!$E$14:$E$43,C1470&amp;"")&gt;0,"Sensitive account | ","")&amp;IF(AND(MAX(N(E1470),N(F1470))&gt;=Settings!$C$9,MOD(MAX(N(E1470),N(F1470)),Settings!$C$10)=0),"Round amount | ",""),LEN(IF(K1470="No","Does not balance | ","")&amp;IF(I1470="","Not approved | ",IF(UPPER(TRIM(H1470))=UPPER(TRIM(I1470)),"Self-approved | ",""))&amp;IF(J1470="","No support | ","")&amp;IF(WEEKDAY(B1470,2)&gt;5,"Weekend posting | ","")&amp;IF(COUNTIF(Settings!$A$14:$A$43,B1470)&gt;0,"Holiday posting | ","")&amp;IF(B1470&gt;Settings!$C$8,"Posted after close | ","")&amp;IF(OR(B1470&lt;Settings!$C$6,B1470&gt;Settings!$C$7),"Outside period | ","")&amp;IF(COUNTIF(Settings!$E$14:$E$43,C1470&amp;"")&gt;0,"Sensitive account | ","")&amp;IF(AND(MAX(N(E1470),N(F1470))&gt;=Settings!$C$9,MOD(MAX(N(E1470),N(F1470)),Settings!$C$10)=0),"Round amount | ",""))-3)))</f>
        <v/>
      </c>
      <c r="M1470" s="21" t="str">
        <f aca="false">IF(A1470="","",IF(COUNTIF($A$9:A1470,A1470)=1,MAX($M$8:M1469)+1,""))</f>
        <v/>
      </c>
    </row>
    <row r="1471" customFormat="false" ht="15" hidden="false" customHeight="false" outlineLevel="0" collapsed="false">
      <c r="A1471" s="8"/>
      <c r="B1471" s="17"/>
      <c r="C1471" s="19"/>
      <c r="D1471" s="8"/>
      <c r="E1471" s="18"/>
      <c r="F1471" s="18"/>
      <c r="G1471" s="8"/>
      <c r="H1471" s="8"/>
      <c r="I1471" s="8"/>
      <c r="J1471" s="8"/>
      <c r="K1471" s="10" t="str">
        <f aca="false">IF(A1471="","",IF(ABS(SUMIFS($E$9:$E$2008,$A$9:$A$2008,A1471)-SUMIFS($F$9:$F$2008,$A$9:$A$2008,A1471))&lt;0.5,"Yes","No"))</f>
        <v/>
      </c>
      <c r="L1471" s="10" t="str">
        <f aca="false">IF(A1471="","",IF(IF(K1471="No","Does not balance | ","")&amp;IF(I1471="","Not approved | ",IF(UPPER(TRIM(H1471))=UPPER(TRIM(I1471)),"Self-approved | ",""))&amp;IF(J1471="","No support | ","")&amp;IF(WEEKDAY(B1471,2)&gt;5,"Weekend posting | ","")&amp;IF(COUNTIF(Settings!$A$14:$A$43,B1471)&gt;0,"Holiday posting | ","")&amp;IF(B1471&gt;Settings!$C$8,"Posted after close | ","")&amp;IF(OR(B1471&lt;Settings!$C$6,B1471&gt;Settings!$C$7),"Outside period | ","")&amp;IF(COUNTIF(Settings!$E$14:$E$43,C1471&amp;"")&gt;0,"Sensitive account | ","")&amp;IF(AND(MAX(N(E1471),N(F1471))&gt;=Settings!$C$9,MOD(MAX(N(E1471),N(F1471)),Settings!$C$10)=0),"Round amount | ","")="","",LEFT(IF(K1471="No","Does not balance | ","")&amp;IF(I1471="","Not approved | ",IF(UPPER(TRIM(H1471))=UPPER(TRIM(I1471)),"Self-approved | ",""))&amp;IF(J1471="","No support | ","")&amp;IF(WEEKDAY(B1471,2)&gt;5,"Weekend posting | ","")&amp;IF(COUNTIF(Settings!$A$14:$A$43,B1471)&gt;0,"Holiday posting | ","")&amp;IF(B1471&gt;Settings!$C$8,"Posted after close | ","")&amp;IF(OR(B1471&lt;Settings!$C$6,B1471&gt;Settings!$C$7),"Outside period | ","")&amp;IF(COUNTIF(Settings!$E$14:$E$43,C1471&amp;"")&gt;0,"Sensitive account | ","")&amp;IF(AND(MAX(N(E1471),N(F1471))&gt;=Settings!$C$9,MOD(MAX(N(E1471),N(F1471)),Settings!$C$10)=0),"Round amount | ",""),LEN(IF(K1471="No","Does not balance | ","")&amp;IF(I1471="","Not approved | ",IF(UPPER(TRIM(H1471))=UPPER(TRIM(I1471)),"Self-approved | ",""))&amp;IF(J1471="","No support | ","")&amp;IF(WEEKDAY(B1471,2)&gt;5,"Weekend posting | ","")&amp;IF(COUNTIF(Settings!$A$14:$A$43,B1471)&gt;0,"Holiday posting | ","")&amp;IF(B1471&gt;Settings!$C$8,"Posted after close | ","")&amp;IF(OR(B1471&lt;Settings!$C$6,B1471&gt;Settings!$C$7),"Outside period | ","")&amp;IF(COUNTIF(Settings!$E$14:$E$43,C1471&amp;"")&gt;0,"Sensitive account | ","")&amp;IF(AND(MAX(N(E1471),N(F1471))&gt;=Settings!$C$9,MOD(MAX(N(E1471),N(F1471)),Settings!$C$10)=0),"Round amount | ",""))-3)))</f>
        <v/>
      </c>
      <c r="M1471" s="21" t="str">
        <f aca="false">IF(A1471="","",IF(COUNTIF($A$9:A1471,A1471)=1,MAX($M$8:M1470)+1,""))</f>
        <v/>
      </c>
    </row>
    <row r="1472" customFormat="false" ht="15" hidden="false" customHeight="false" outlineLevel="0" collapsed="false">
      <c r="A1472" s="8"/>
      <c r="B1472" s="17"/>
      <c r="C1472" s="19"/>
      <c r="D1472" s="8"/>
      <c r="E1472" s="18"/>
      <c r="F1472" s="18"/>
      <c r="G1472" s="8"/>
      <c r="H1472" s="8"/>
      <c r="I1472" s="8"/>
      <c r="J1472" s="8"/>
      <c r="K1472" s="10" t="str">
        <f aca="false">IF(A1472="","",IF(ABS(SUMIFS($E$9:$E$2008,$A$9:$A$2008,A1472)-SUMIFS($F$9:$F$2008,$A$9:$A$2008,A1472))&lt;0.5,"Yes","No"))</f>
        <v/>
      </c>
      <c r="L1472" s="10" t="str">
        <f aca="false">IF(A1472="","",IF(IF(K1472="No","Does not balance | ","")&amp;IF(I1472="","Not approved | ",IF(UPPER(TRIM(H1472))=UPPER(TRIM(I1472)),"Self-approved | ",""))&amp;IF(J1472="","No support | ","")&amp;IF(WEEKDAY(B1472,2)&gt;5,"Weekend posting | ","")&amp;IF(COUNTIF(Settings!$A$14:$A$43,B1472)&gt;0,"Holiday posting | ","")&amp;IF(B1472&gt;Settings!$C$8,"Posted after close | ","")&amp;IF(OR(B1472&lt;Settings!$C$6,B1472&gt;Settings!$C$7),"Outside period | ","")&amp;IF(COUNTIF(Settings!$E$14:$E$43,C1472&amp;"")&gt;0,"Sensitive account | ","")&amp;IF(AND(MAX(N(E1472),N(F1472))&gt;=Settings!$C$9,MOD(MAX(N(E1472),N(F1472)),Settings!$C$10)=0),"Round amount | ","")="","",LEFT(IF(K1472="No","Does not balance | ","")&amp;IF(I1472="","Not approved | ",IF(UPPER(TRIM(H1472))=UPPER(TRIM(I1472)),"Self-approved | ",""))&amp;IF(J1472="","No support | ","")&amp;IF(WEEKDAY(B1472,2)&gt;5,"Weekend posting | ","")&amp;IF(COUNTIF(Settings!$A$14:$A$43,B1472)&gt;0,"Holiday posting | ","")&amp;IF(B1472&gt;Settings!$C$8,"Posted after close | ","")&amp;IF(OR(B1472&lt;Settings!$C$6,B1472&gt;Settings!$C$7),"Outside period | ","")&amp;IF(COUNTIF(Settings!$E$14:$E$43,C1472&amp;"")&gt;0,"Sensitive account | ","")&amp;IF(AND(MAX(N(E1472),N(F1472))&gt;=Settings!$C$9,MOD(MAX(N(E1472),N(F1472)),Settings!$C$10)=0),"Round amount | ",""),LEN(IF(K1472="No","Does not balance | ","")&amp;IF(I1472="","Not approved | ",IF(UPPER(TRIM(H1472))=UPPER(TRIM(I1472)),"Self-approved | ",""))&amp;IF(J1472="","No support | ","")&amp;IF(WEEKDAY(B1472,2)&gt;5,"Weekend posting | ","")&amp;IF(COUNTIF(Settings!$A$14:$A$43,B1472)&gt;0,"Holiday posting | ","")&amp;IF(B1472&gt;Settings!$C$8,"Posted after close | ","")&amp;IF(OR(B1472&lt;Settings!$C$6,B1472&gt;Settings!$C$7),"Outside period | ","")&amp;IF(COUNTIF(Settings!$E$14:$E$43,C1472&amp;"")&gt;0,"Sensitive account | ","")&amp;IF(AND(MAX(N(E1472),N(F1472))&gt;=Settings!$C$9,MOD(MAX(N(E1472),N(F1472)),Settings!$C$10)=0),"Round amount | ",""))-3)))</f>
        <v/>
      </c>
      <c r="M1472" s="21" t="str">
        <f aca="false">IF(A1472="","",IF(COUNTIF($A$9:A1472,A1472)=1,MAX($M$8:M1471)+1,""))</f>
        <v/>
      </c>
    </row>
    <row r="1473" customFormat="false" ht="15" hidden="false" customHeight="false" outlineLevel="0" collapsed="false">
      <c r="A1473" s="8"/>
      <c r="B1473" s="17"/>
      <c r="C1473" s="19"/>
      <c r="D1473" s="8"/>
      <c r="E1473" s="18"/>
      <c r="F1473" s="18"/>
      <c r="G1473" s="8"/>
      <c r="H1473" s="8"/>
      <c r="I1473" s="8"/>
      <c r="J1473" s="8"/>
      <c r="K1473" s="10" t="str">
        <f aca="false">IF(A1473="","",IF(ABS(SUMIFS($E$9:$E$2008,$A$9:$A$2008,A1473)-SUMIFS($F$9:$F$2008,$A$9:$A$2008,A1473))&lt;0.5,"Yes","No"))</f>
        <v/>
      </c>
      <c r="L1473" s="10" t="str">
        <f aca="false">IF(A1473="","",IF(IF(K1473="No","Does not balance | ","")&amp;IF(I1473="","Not approved | ",IF(UPPER(TRIM(H1473))=UPPER(TRIM(I1473)),"Self-approved | ",""))&amp;IF(J1473="","No support | ","")&amp;IF(WEEKDAY(B1473,2)&gt;5,"Weekend posting | ","")&amp;IF(COUNTIF(Settings!$A$14:$A$43,B1473)&gt;0,"Holiday posting | ","")&amp;IF(B1473&gt;Settings!$C$8,"Posted after close | ","")&amp;IF(OR(B1473&lt;Settings!$C$6,B1473&gt;Settings!$C$7),"Outside period | ","")&amp;IF(COUNTIF(Settings!$E$14:$E$43,C1473&amp;"")&gt;0,"Sensitive account | ","")&amp;IF(AND(MAX(N(E1473),N(F1473))&gt;=Settings!$C$9,MOD(MAX(N(E1473),N(F1473)),Settings!$C$10)=0),"Round amount | ","")="","",LEFT(IF(K1473="No","Does not balance | ","")&amp;IF(I1473="","Not approved | ",IF(UPPER(TRIM(H1473))=UPPER(TRIM(I1473)),"Self-approved | ",""))&amp;IF(J1473="","No support | ","")&amp;IF(WEEKDAY(B1473,2)&gt;5,"Weekend posting | ","")&amp;IF(COUNTIF(Settings!$A$14:$A$43,B1473)&gt;0,"Holiday posting | ","")&amp;IF(B1473&gt;Settings!$C$8,"Posted after close | ","")&amp;IF(OR(B1473&lt;Settings!$C$6,B1473&gt;Settings!$C$7),"Outside period | ","")&amp;IF(COUNTIF(Settings!$E$14:$E$43,C1473&amp;"")&gt;0,"Sensitive account | ","")&amp;IF(AND(MAX(N(E1473),N(F1473))&gt;=Settings!$C$9,MOD(MAX(N(E1473),N(F1473)),Settings!$C$10)=0),"Round amount | ",""),LEN(IF(K1473="No","Does not balance | ","")&amp;IF(I1473="","Not approved | ",IF(UPPER(TRIM(H1473))=UPPER(TRIM(I1473)),"Self-approved | ",""))&amp;IF(J1473="","No support | ","")&amp;IF(WEEKDAY(B1473,2)&gt;5,"Weekend posting | ","")&amp;IF(COUNTIF(Settings!$A$14:$A$43,B1473)&gt;0,"Holiday posting | ","")&amp;IF(B1473&gt;Settings!$C$8,"Posted after close | ","")&amp;IF(OR(B1473&lt;Settings!$C$6,B1473&gt;Settings!$C$7),"Outside period | ","")&amp;IF(COUNTIF(Settings!$E$14:$E$43,C1473&amp;"")&gt;0,"Sensitive account | ","")&amp;IF(AND(MAX(N(E1473),N(F1473))&gt;=Settings!$C$9,MOD(MAX(N(E1473),N(F1473)),Settings!$C$10)=0),"Round amount | ",""))-3)))</f>
        <v/>
      </c>
      <c r="M1473" s="21" t="str">
        <f aca="false">IF(A1473="","",IF(COUNTIF($A$9:A1473,A1473)=1,MAX($M$8:M1472)+1,""))</f>
        <v/>
      </c>
    </row>
    <row r="1474" customFormat="false" ht="15" hidden="false" customHeight="false" outlineLevel="0" collapsed="false">
      <c r="A1474" s="8"/>
      <c r="B1474" s="17"/>
      <c r="C1474" s="19"/>
      <c r="D1474" s="8"/>
      <c r="E1474" s="18"/>
      <c r="F1474" s="18"/>
      <c r="G1474" s="8"/>
      <c r="H1474" s="8"/>
      <c r="I1474" s="8"/>
      <c r="J1474" s="8"/>
      <c r="K1474" s="10" t="str">
        <f aca="false">IF(A1474="","",IF(ABS(SUMIFS($E$9:$E$2008,$A$9:$A$2008,A1474)-SUMIFS($F$9:$F$2008,$A$9:$A$2008,A1474))&lt;0.5,"Yes","No"))</f>
        <v/>
      </c>
      <c r="L1474" s="10" t="str">
        <f aca="false">IF(A1474="","",IF(IF(K1474="No","Does not balance | ","")&amp;IF(I1474="","Not approved | ",IF(UPPER(TRIM(H1474))=UPPER(TRIM(I1474)),"Self-approved | ",""))&amp;IF(J1474="","No support | ","")&amp;IF(WEEKDAY(B1474,2)&gt;5,"Weekend posting | ","")&amp;IF(COUNTIF(Settings!$A$14:$A$43,B1474)&gt;0,"Holiday posting | ","")&amp;IF(B1474&gt;Settings!$C$8,"Posted after close | ","")&amp;IF(OR(B1474&lt;Settings!$C$6,B1474&gt;Settings!$C$7),"Outside period | ","")&amp;IF(COUNTIF(Settings!$E$14:$E$43,C1474&amp;"")&gt;0,"Sensitive account | ","")&amp;IF(AND(MAX(N(E1474),N(F1474))&gt;=Settings!$C$9,MOD(MAX(N(E1474),N(F1474)),Settings!$C$10)=0),"Round amount | ","")="","",LEFT(IF(K1474="No","Does not balance | ","")&amp;IF(I1474="","Not approved | ",IF(UPPER(TRIM(H1474))=UPPER(TRIM(I1474)),"Self-approved | ",""))&amp;IF(J1474="","No support | ","")&amp;IF(WEEKDAY(B1474,2)&gt;5,"Weekend posting | ","")&amp;IF(COUNTIF(Settings!$A$14:$A$43,B1474)&gt;0,"Holiday posting | ","")&amp;IF(B1474&gt;Settings!$C$8,"Posted after close | ","")&amp;IF(OR(B1474&lt;Settings!$C$6,B1474&gt;Settings!$C$7),"Outside period | ","")&amp;IF(COUNTIF(Settings!$E$14:$E$43,C1474&amp;"")&gt;0,"Sensitive account | ","")&amp;IF(AND(MAX(N(E1474),N(F1474))&gt;=Settings!$C$9,MOD(MAX(N(E1474),N(F1474)),Settings!$C$10)=0),"Round amount | ",""),LEN(IF(K1474="No","Does not balance | ","")&amp;IF(I1474="","Not approved | ",IF(UPPER(TRIM(H1474))=UPPER(TRIM(I1474)),"Self-approved | ",""))&amp;IF(J1474="","No support | ","")&amp;IF(WEEKDAY(B1474,2)&gt;5,"Weekend posting | ","")&amp;IF(COUNTIF(Settings!$A$14:$A$43,B1474)&gt;0,"Holiday posting | ","")&amp;IF(B1474&gt;Settings!$C$8,"Posted after close | ","")&amp;IF(OR(B1474&lt;Settings!$C$6,B1474&gt;Settings!$C$7),"Outside period | ","")&amp;IF(COUNTIF(Settings!$E$14:$E$43,C1474&amp;"")&gt;0,"Sensitive account | ","")&amp;IF(AND(MAX(N(E1474),N(F1474))&gt;=Settings!$C$9,MOD(MAX(N(E1474),N(F1474)),Settings!$C$10)=0),"Round amount | ",""))-3)))</f>
        <v/>
      </c>
      <c r="M1474" s="21" t="str">
        <f aca="false">IF(A1474="","",IF(COUNTIF($A$9:A1474,A1474)=1,MAX($M$8:M1473)+1,""))</f>
        <v/>
      </c>
    </row>
    <row r="1475" customFormat="false" ht="15" hidden="false" customHeight="false" outlineLevel="0" collapsed="false">
      <c r="A1475" s="8"/>
      <c r="B1475" s="17"/>
      <c r="C1475" s="19"/>
      <c r="D1475" s="8"/>
      <c r="E1475" s="18"/>
      <c r="F1475" s="18"/>
      <c r="G1475" s="8"/>
      <c r="H1475" s="8"/>
      <c r="I1475" s="8"/>
      <c r="J1475" s="8"/>
      <c r="K1475" s="10" t="str">
        <f aca="false">IF(A1475="","",IF(ABS(SUMIFS($E$9:$E$2008,$A$9:$A$2008,A1475)-SUMIFS($F$9:$F$2008,$A$9:$A$2008,A1475))&lt;0.5,"Yes","No"))</f>
        <v/>
      </c>
      <c r="L1475" s="10" t="str">
        <f aca="false">IF(A1475="","",IF(IF(K1475="No","Does not balance | ","")&amp;IF(I1475="","Not approved | ",IF(UPPER(TRIM(H1475))=UPPER(TRIM(I1475)),"Self-approved | ",""))&amp;IF(J1475="","No support | ","")&amp;IF(WEEKDAY(B1475,2)&gt;5,"Weekend posting | ","")&amp;IF(COUNTIF(Settings!$A$14:$A$43,B1475)&gt;0,"Holiday posting | ","")&amp;IF(B1475&gt;Settings!$C$8,"Posted after close | ","")&amp;IF(OR(B1475&lt;Settings!$C$6,B1475&gt;Settings!$C$7),"Outside period | ","")&amp;IF(COUNTIF(Settings!$E$14:$E$43,C1475&amp;"")&gt;0,"Sensitive account | ","")&amp;IF(AND(MAX(N(E1475),N(F1475))&gt;=Settings!$C$9,MOD(MAX(N(E1475),N(F1475)),Settings!$C$10)=0),"Round amount | ","")="","",LEFT(IF(K1475="No","Does not balance | ","")&amp;IF(I1475="","Not approved | ",IF(UPPER(TRIM(H1475))=UPPER(TRIM(I1475)),"Self-approved | ",""))&amp;IF(J1475="","No support | ","")&amp;IF(WEEKDAY(B1475,2)&gt;5,"Weekend posting | ","")&amp;IF(COUNTIF(Settings!$A$14:$A$43,B1475)&gt;0,"Holiday posting | ","")&amp;IF(B1475&gt;Settings!$C$8,"Posted after close | ","")&amp;IF(OR(B1475&lt;Settings!$C$6,B1475&gt;Settings!$C$7),"Outside period | ","")&amp;IF(COUNTIF(Settings!$E$14:$E$43,C1475&amp;"")&gt;0,"Sensitive account | ","")&amp;IF(AND(MAX(N(E1475),N(F1475))&gt;=Settings!$C$9,MOD(MAX(N(E1475),N(F1475)),Settings!$C$10)=0),"Round amount | ",""),LEN(IF(K1475="No","Does not balance | ","")&amp;IF(I1475="","Not approved | ",IF(UPPER(TRIM(H1475))=UPPER(TRIM(I1475)),"Self-approved | ",""))&amp;IF(J1475="","No support | ","")&amp;IF(WEEKDAY(B1475,2)&gt;5,"Weekend posting | ","")&amp;IF(COUNTIF(Settings!$A$14:$A$43,B1475)&gt;0,"Holiday posting | ","")&amp;IF(B1475&gt;Settings!$C$8,"Posted after close | ","")&amp;IF(OR(B1475&lt;Settings!$C$6,B1475&gt;Settings!$C$7),"Outside period | ","")&amp;IF(COUNTIF(Settings!$E$14:$E$43,C1475&amp;"")&gt;0,"Sensitive account | ","")&amp;IF(AND(MAX(N(E1475),N(F1475))&gt;=Settings!$C$9,MOD(MAX(N(E1475),N(F1475)),Settings!$C$10)=0),"Round amount | ",""))-3)))</f>
        <v/>
      </c>
      <c r="M1475" s="21" t="str">
        <f aca="false">IF(A1475="","",IF(COUNTIF($A$9:A1475,A1475)=1,MAX($M$8:M1474)+1,""))</f>
        <v/>
      </c>
    </row>
    <row r="1476" customFormat="false" ht="15" hidden="false" customHeight="false" outlineLevel="0" collapsed="false">
      <c r="A1476" s="8"/>
      <c r="B1476" s="17"/>
      <c r="C1476" s="19"/>
      <c r="D1476" s="8"/>
      <c r="E1476" s="18"/>
      <c r="F1476" s="18"/>
      <c r="G1476" s="8"/>
      <c r="H1476" s="8"/>
      <c r="I1476" s="8"/>
      <c r="J1476" s="8"/>
      <c r="K1476" s="10" t="str">
        <f aca="false">IF(A1476="","",IF(ABS(SUMIFS($E$9:$E$2008,$A$9:$A$2008,A1476)-SUMIFS($F$9:$F$2008,$A$9:$A$2008,A1476))&lt;0.5,"Yes","No"))</f>
        <v/>
      </c>
      <c r="L1476" s="10" t="str">
        <f aca="false">IF(A1476="","",IF(IF(K1476="No","Does not balance | ","")&amp;IF(I1476="","Not approved | ",IF(UPPER(TRIM(H1476))=UPPER(TRIM(I1476)),"Self-approved | ",""))&amp;IF(J1476="","No support | ","")&amp;IF(WEEKDAY(B1476,2)&gt;5,"Weekend posting | ","")&amp;IF(COUNTIF(Settings!$A$14:$A$43,B1476)&gt;0,"Holiday posting | ","")&amp;IF(B1476&gt;Settings!$C$8,"Posted after close | ","")&amp;IF(OR(B1476&lt;Settings!$C$6,B1476&gt;Settings!$C$7),"Outside period | ","")&amp;IF(COUNTIF(Settings!$E$14:$E$43,C1476&amp;"")&gt;0,"Sensitive account | ","")&amp;IF(AND(MAX(N(E1476),N(F1476))&gt;=Settings!$C$9,MOD(MAX(N(E1476),N(F1476)),Settings!$C$10)=0),"Round amount | ","")="","",LEFT(IF(K1476="No","Does not balance | ","")&amp;IF(I1476="","Not approved | ",IF(UPPER(TRIM(H1476))=UPPER(TRIM(I1476)),"Self-approved | ",""))&amp;IF(J1476="","No support | ","")&amp;IF(WEEKDAY(B1476,2)&gt;5,"Weekend posting | ","")&amp;IF(COUNTIF(Settings!$A$14:$A$43,B1476)&gt;0,"Holiday posting | ","")&amp;IF(B1476&gt;Settings!$C$8,"Posted after close | ","")&amp;IF(OR(B1476&lt;Settings!$C$6,B1476&gt;Settings!$C$7),"Outside period | ","")&amp;IF(COUNTIF(Settings!$E$14:$E$43,C1476&amp;"")&gt;0,"Sensitive account | ","")&amp;IF(AND(MAX(N(E1476),N(F1476))&gt;=Settings!$C$9,MOD(MAX(N(E1476),N(F1476)),Settings!$C$10)=0),"Round amount | ",""),LEN(IF(K1476="No","Does not balance | ","")&amp;IF(I1476="","Not approved | ",IF(UPPER(TRIM(H1476))=UPPER(TRIM(I1476)),"Self-approved | ",""))&amp;IF(J1476="","No support | ","")&amp;IF(WEEKDAY(B1476,2)&gt;5,"Weekend posting | ","")&amp;IF(COUNTIF(Settings!$A$14:$A$43,B1476)&gt;0,"Holiday posting | ","")&amp;IF(B1476&gt;Settings!$C$8,"Posted after close | ","")&amp;IF(OR(B1476&lt;Settings!$C$6,B1476&gt;Settings!$C$7),"Outside period | ","")&amp;IF(COUNTIF(Settings!$E$14:$E$43,C1476&amp;"")&gt;0,"Sensitive account | ","")&amp;IF(AND(MAX(N(E1476),N(F1476))&gt;=Settings!$C$9,MOD(MAX(N(E1476),N(F1476)),Settings!$C$10)=0),"Round amount | ",""))-3)))</f>
        <v/>
      </c>
      <c r="M1476" s="21" t="str">
        <f aca="false">IF(A1476="","",IF(COUNTIF($A$9:A1476,A1476)=1,MAX($M$8:M1475)+1,""))</f>
        <v/>
      </c>
    </row>
    <row r="1477" customFormat="false" ht="15" hidden="false" customHeight="false" outlineLevel="0" collapsed="false">
      <c r="A1477" s="8"/>
      <c r="B1477" s="17"/>
      <c r="C1477" s="19"/>
      <c r="D1477" s="8"/>
      <c r="E1477" s="18"/>
      <c r="F1477" s="18"/>
      <c r="G1477" s="8"/>
      <c r="H1477" s="8"/>
      <c r="I1477" s="8"/>
      <c r="J1477" s="8"/>
      <c r="K1477" s="10" t="str">
        <f aca="false">IF(A1477="","",IF(ABS(SUMIFS($E$9:$E$2008,$A$9:$A$2008,A1477)-SUMIFS($F$9:$F$2008,$A$9:$A$2008,A1477))&lt;0.5,"Yes","No"))</f>
        <v/>
      </c>
      <c r="L1477" s="10" t="str">
        <f aca="false">IF(A1477="","",IF(IF(K1477="No","Does not balance | ","")&amp;IF(I1477="","Not approved | ",IF(UPPER(TRIM(H1477))=UPPER(TRIM(I1477)),"Self-approved | ",""))&amp;IF(J1477="","No support | ","")&amp;IF(WEEKDAY(B1477,2)&gt;5,"Weekend posting | ","")&amp;IF(COUNTIF(Settings!$A$14:$A$43,B1477)&gt;0,"Holiday posting | ","")&amp;IF(B1477&gt;Settings!$C$8,"Posted after close | ","")&amp;IF(OR(B1477&lt;Settings!$C$6,B1477&gt;Settings!$C$7),"Outside period | ","")&amp;IF(COUNTIF(Settings!$E$14:$E$43,C1477&amp;"")&gt;0,"Sensitive account | ","")&amp;IF(AND(MAX(N(E1477),N(F1477))&gt;=Settings!$C$9,MOD(MAX(N(E1477),N(F1477)),Settings!$C$10)=0),"Round amount | ","")="","",LEFT(IF(K1477="No","Does not balance | ","")&amp;IF(I1477="","Not approved | ",IF(UPPER(TRIM(H1477))=UPPER(TRIM(I1477)),"Self-approved | ",""))&amp;IF(J1477="","No support | ","")&amp;IF(WEEKDAY(B1477,2)&gt;5,"Weekend posting | ","")&amp;IF(COUNTIF(Settings!$A$14:$A$43,B1477)&gt;0,"Holiday posting | ","")&amp;IF(B1477&gt;Settings!$C$8,"Posted after close | ","")&amp;IF(OR(B1477&lt;Settings!$C$6,B1477&gt;Settings!$C$7),"Outside period | ","")&amp;IF(COUNTIF(Settings!$E$14:$E$43,C1477&amp;"")&gt;0,"Sensitive account | ","")&amp;IF(AND(MAX(N(E1477),N(F1477))&gt;=Settings!$C$9,MOD(MAX(N(E1477),N(F1477)),Settings!$C$10)=0),"Round amount | ",""),LEN(IF(K1477="No","Does not balance | ","")&amp;IF(I1477="","Not approved | ",IF(UPPER(TRIM(H1477))=UPPER(TRIM(I1477)),"Self-approved | ",""))&amp;IF(J1477="","No support | ","")&amp;IF(WEEKDAY(B1477,2)&gt;5,"Weekend posting | ","")&amp;IF(COUNTIF(Settings!$A$14:$A$43,B1477)&gt;0,"Holiday posting | ","")&amp;IF(B1477&gt;Settings!$C$8,"Posted after close | ","")&amp;IF(OR(B1477&lt;Settings!$C$6,B1477&gt;Settings!$C$7),"Outside period | ","")&amp;IF(COUNTIF(Settings!$E$14:$E$43,C1477&amp;"")&gt;0,"Sensitive account | ","")&amp;IF(AND(MAX(N(E1477),N(F1477))&gt;=Settings!$C$9,MOD(MAX(N(E1477),N(F1477)),Settings!$C$10)=0),"Round amount | ",""))-3)))</f>
        <v/>
      </c>
      <c r="M1477" s="21" t="str">
        <f aca="false">IF(A1477="","",IF(COUNTIF($A$9:A1477,A1477)=1,MAX($M$8:M1476)+1,""))</f>
        <v/>
      </c>
    </row>
    <row r="1478" customFormat="false" ht="15" hidden="false" customHeight="false" outlineLevel="0" collapsed="false">
      <c r="A1478" s="8"/>
      <c r="B1478" s="17"/>
      <c r="C1478" s="19"/>
      <c r="D1478" s="8"/>
      <c r="E1478" s="18"/>
      <c r="F1478" s="18"/>
      <c r="G1478" s="8"/>
      <c r="H1478" s="8"/>
      <c r="I1478" s="8"/>
      <c r="J1478" s="8"/>
      <c r="K1478" s="10" t="str">
        <f aca="false">IF(A1478="","",IF(ABS(SUMIFS($E$9:$E$2008,$A$9:$A$2008,A1478)-SUMIFS($F$9:$F$2008,$A$9:$A$2008,A1478))&lt;0.5,"Yes","No"))</f>
        <v/>
      </c>
      <c r="L1478" s="10" t="str">
        <f aca="false">IF(A1478="","",IF(IF(K1478="No","Does not balance | ","")&amp;IF(I1478="","Not approved | ",IF(UPPER(TRIM(H1478))=UPPER(TRIM(I1478)),"Self-approved | ",""))&amp;IF(J1478="","No support | ","")&amp;IF(WEEKDAY(B1478,2)&gt;5,"Weekend posting | ","")&amp;IF(COUNTIF(Settings!$A$14:$A$43,B1478)&gt;0,"Holiday posting | ","")&amp;IF(B1478&gt;Settings!$C$8,"Posted after close | ","")&amp;IF(OR(B1478&lt;Settings!$C$6,B1478&gt;Settings!$C$7),"Outside period | ","")&amp;IF(COUNTIF(Settings!$E$14:$E$43,C1478&amp;"")&gt;0,"Sensitive account | ","")&amp;IF(AND(MAX(N(E1478),N(F1478))&gt;=Settings!$C$9,MOD(MAX(N(E1478),N(F1478)),Settings!$C$10)=0),"Round amount | ","")="","",LEFT(IF(K1478="No","Does not balance | ","")&amp;IF(I1478="","Not approved | ",IF(UPPER(TRIM(H1478))=UPPER(TRIM(I1478)),"Self-approved | ",""))&amp;IF(J1478="","No support | ","")&amp;IF(WEEKDAY(B1478,2)&gt;5,"Weekend posting | ","")&amp;IF(COUNTIF(Settings!$A$14:$A$43,B1478)&gt;0,"Holiday posting | ","")&amp;IF(B1478&gt;Settings!$C$8,"Posted after close | ","")&amp;IF(OR(B1478&lt;Settings!$C$6,B1478&gt;Settings!$C$7),"Outside period | ","")&amp;IF(COUNTIF(Settings!$E$14:$E$43,C1478&amp;"")&gt;0,"Sensitive account | ","")&amp;IF(AND(MAX(N(E1478),N(F1478))&gt;=Settings!$C$9,MOD(MAX(N(E1478),N(F1478)),Settings!$C$10)=0),"Round amount | ",""),LEN(IF(K1478="No","Does not balance | ","")&amp;IF(I1478="","Not approved | ",IF(UPPER(TRIM(H1478))=UPPER(TRIM(I1478)),"Self-approved | ",""))&amp;IF(J1478="","No support | ","")&amp;IF(WEEKDAY(B1478,2)&gt;5,"Weekend posting | ","")&amp;IF(COUNTIF(Settings!$A$14:$A$43,B1478)&gt;0,"Holiday posting | ","")&amp;IF(B1478&gt;Settings!$C$8,"Posted after close | ","")&amp;IF(OR(B1478&lt;Settings!$C$6,B1478&gt;Settings!$C$7),"Outside period | ","")&amp;IF(COUNTIF(Settings!$E$14:$E$43,C1478&amp;"")&gt;0,"Sensitive account | ","")&amp;IF(AND(MAX(N(E1478),N(F1478))&gt;=Settings!$C$9,MOD(MAX(N(E1478),N(F1478)),Settings!$C$10)=0),"Round amount | ",""))-3)))</f>
        <v/>
      </c>
      <c r="M1478" s="21" t="str">
        <f aca="false">IF(A1478="","",IF(COUNTIF($A$9:A1478,A1478)=1,MAX($M$8:M1477)+1,""))</f>
        <v/>
      </c>
    </row>
    <row r="1479" customFormat="false" ht="15" hidden="false" customHeight="false" outlineLevel="0" collapsed="false">
      <c r="A1479" s="8"/>
      <c r="B1479" s="17"/>
      <c r="C1479" s="19"/>
      <c r="D1479" s="8"/>
      <c r="E1479" s="18"/>
      <c r="F1479" s="18"/>
      <c r="G1479" s="8"/>
      <c r="H1479" s="8"/>
      <c r="I1479" s="8"/>
      <c r="J1479" s="8"/>
      <c r="K1479" s="10" t="str">
        <f aca="false">IF(A1479="","",IF(ABS(SUMIFS($E$9:$E$2008,$A$9:$A$2008,A1479)-SUMIFS($F$9:$F$2008,$A$9:$A$2008,A1479))&lt;0.5,"Yes","No"))</f>
        <v/>
      </c>
      <c r="L1479" s="10" t="str">
        <f aca="false">IF(A1479="","",IF(IF(K1479="No","Does not balance | ","")&amp;IF(I1479="","Not approved | ",IF(UPPER(TRIM(H1479))=UPPER(TRIM(I1479)),"Self-approved | ",""))&amp;IF(J1479="","No support | ","")&amp;IF(WEEKDAY(B1479,2)&gt;5,"Weekend posting | ","")&amp;IF(COUNTIF(Settings!$A$14:$A$43,B1479)&gt;0,"Holiday posting | ","")&amp;IF(B1479&gt;Settings!$C$8,"Posted after close | ","")&amp;IF(OR(B1479&lt;Settings!$C$6,B1479&gt;Settings!$C$7),"Outside period | ","")&amp;IF(COUNTIF(Settings!$E$14:$E$43,C1479&amp;"")&gt;0,"Sensitive account | ","")&amp;IF(AND(MAX(N(E1479),N(F1479))&gt;=Settings!$C$9,MOD(MAX(N(E1479),N(F1479)),Settings!$C$10)=0),"Round amount | ","")="","",LEFT(IF(K1479="No","Does not balance | ","")&amp;IF(I1479="","Not approved | ",IF(UPPER(TRIM(H1479))=UPPER(TRIM(I1479)),"Self-approved | ",""))&amp;IF(J1479="","No support | ","")&amp;IF(WEEKDAY(B1479,2)&gt;5,"Weekend posting | ","")&amp;IF(COUNTIF(Settings!$A$14:$A$43,B1479)&gt;0,"Holiday posting | ","")&amp;IF(B1479&gt;Settings!$C$8,"Posted after close | ","")&amp;IF(OR(B1479&lt;Settings!$C$6,B1479&gt;Settings!$C$7),"Outside period | ","")&amp;IF(COUNTIF(Settings!$E$14:$E$43,C1479&amp;"")&gt;0,"Sensitive account | ","")&amp;IF(AND(MAX(N(E1479),N(F1479))&gt;=Settings!$C$9,MOD(MAX(N(E1479),N(F1479)),Settings!$C$10)=0),"Round amount | ",""),LEN(IF(K1479="No","Does not balance | ","")&amp;IF(I1479="","Not approved | ",IF(UPPER(TRIM(H1479))=UPPER(TRIM(I1479)),"Self-approved | ",""))&amp;IF(J1479="","No support | ","")&amp;IF(WEEKDAY(B1479,2)&gt;5,"Weekend posting | ","")&amp;IF(COUNTIF(Settings!$A$14:$A$43,B1479)&gt;0,"Holiday posting | ","")&amp;IF(B1479&gt;Settings!$C$8,"Posted after close | ","")&amp;IF(OR(B1479&lt;Settings!$C$6,B1479&gt;Settings!$C$7),"Outside period | ","")&amp;IF(COUNTIF(Settings!$E$14:$E$43,C1479&amp;"")&gt;0,"Sensitive account | ","")&amp;IF(AND(MAX(N(E1479),N(F1479))&gt;=Settings!$C$9,MOD(MAX(N(E1479),N(F1479)),Settings!$C$10)=0),"Round amount | ",""))-3)))</f>
        <v/>
      </c>
      <c r="M1479" s="21" t="str">
        <f aca="false">IF(A1479="","",IF(COUNTIF($A$9:A1479,A1479)=1,MAX($M$8:M1478)+1,""))</f>
        <v/>
      </c>
    </row>
    <row r="1480" customFormat="false" ht="15" hidden="false" customHeight="false" outlineLevel="0" collapsed="false">
      <c r="A1480" s="8"/>
      <c r="B1480" s="17"/>
      <c r="C1480" s="19"/>
      <c r="D1480" s="8"/>
      <c r="E1480" s="18"/>
      <c r="F1480" s="18"/>
      <c r="G1480" s="8"/>
      <c r="H1480" s="8"/>
      <c r="I1480" s="8"/>
      <c r="J1480" s="8"/>
      <c r="K1480" s="10" t="str">
        <f aca="false">IF(A1480="","",IF(ABS(SUMIFS($E$9:$E$2008,$A$9:$A$2008,A1480)-SUMIFS($F$9:$F$2008,$A$9:$A$2008,A1480))&lt;0.5,"Yes","No"))</f>
        <v/>
      </c>
      <c r="L1480" s="10" t="str">
        <f aca="false">IF(A1480="","",IF(IF(K1480="No","Does not balance | ","")&amp;IF(I1480="","Not approved | ",IF(UPPER(TRIM(H1480))=UPPER(TRIM(I1480)),"Self-approved | ",""))&amp;IF(J1480="","No support | ","")&amp;IF(WEEKDAY(B1480,2)&gt;5,"Weekend posting | ","")&amp;IF(COUNTIF(Settings!$A$14:$A$43,B1480)&gt;0,"Holiday posting | ","")&amp;IF(B1480&gt;Settings!$C$8,"Posted after close | ","")&amp;IF(OR(B1480&lt;Settings!$C$6,B1480&gt;Settings!$C$7),"Outside period | ","")&amp;IF(COUNTIF(Settings!$E$14:$E$43,C1480&amp;"")&gt;0,"Sensitive account | ","")&amp;IF(AND(MAX(N(E1480),N(F1480))&gt;=Settings!$C$9,MOD(MAX(N(E1480),N(F1480)),Settings!$C$10)=0),"Round amount | ","")="","",LEFT(IF(K1480="No","Does not balance | ","")&amp;IF(I1480="","Not approved | ",IF(UPPER(TRIM(H1480))=UPPER(TRIM(I1480)),"Self-approved | ",""))&amp;IF(J1480="","No support | ","")&amp;IF(WEEKDAY(B1480,2)&gt;5,"Weekend posting | ","")&amp;IF(COUNTIF(Settings!$A$14:$A$43,B1480)&gt;0,"Holiday posting | ","")&amp;IF(B1480&gt;Settings!$C$8,"Posted after close | ","")&amp;IF(OR(B1480&lt;Settings!$C$6,B1480&gt;Settings!$C$7),"Outside period | ","")&amp;IF(COUNTIF(Settings!$E$14:$E$43,C1480&amp;"")&gt;0,"Sensitive account | ","")&amp;IF(AND(MAX(N(E1480),N(F1480))&gt;=Settings!$C$9,MOD(MAX(N(E1480),N(F1480)),Settings!$C$10)=0),"Round amount | ",""),LEN(IF(K1480="No","Does not balance | ","")&amp;IF(I1480="","Not approved | ",IF(UPPER(TRIM(H1480))=UPPER(TRIM(I1480)),"Self-approved | ",""))&amp;IF(J1480="","No support | ","")&amp;IF(WEEKDAY(B1480,2)&gt;5,"Weekend posting | ","")&amp;IF(COUNTIF(Settings!$A$14:$A$43,B1480)&gt;0,"Holiday posting | ","")&amp;IF(B1480&gt;Settings!$C$8,"Posted after close | ","")&amp;IF(OR(B1480&lt;Settings!$C$6,B1480&gt;Settings!$C$7),"Outside period | ","")&amp;IF(COUNTIF(Settings!$E$14:$E$43,C1480&amp;"")&gt;0,"Sensitive account | ","")&amp;IF(AND(MAX(N(E1480),N(F1480))&gt;=Settings!$C$9,MOD(MAX(N(E1480),N(F1480)),Settings!$C$10)=0),"Round amount | ",""))-3)))</f>
        <v/>
      </c>
      <c r="M1480" s="21" t="str">
        <f aca="false">IF(A1480="","",IF(COUNTIF($A$9:A1480,A1480)=1,MAX($M$8:M1479)+1,""))</f>
        <v/>
      </c>
    </row>
    <row r="1481" customFormat="false" ht="15" hidden="false" customHeight="false" outlineLevel="0" collapsed="false">
      <c r="A1481" s="8"/>
      <c r="B1481" s="17"/>
      <c r="C1481" s="19"/>
      <c r="D1481" s="8"/>
      <c r="E1481" s="18"/>
      <c r="F1481" s="18"/>
      <c r="G1481" s="8"/>
      <c r="H1481" s="8"/>
      <c r="I1481" s="8"/>
      <c r="J1481" s="8"/>
      <c r="K1481" s="10" t="str">
        <f aca="false">IF(A1481="","",IF(ABS(SUMIFS($E$9:$E$2008,$A$9:$A$2008,A1481)-SUMIFS($F$9:$F$2008,$A$9:$A$2008,A1481))&lt;0.5,"Yes","No"))</f>
        <v/>
      </c>
      <c r="L1481" s="10" t="str">
        <f aca="false">IF(A1481="","",IF(IF(K1481="No","Does not balance | ","")&amp;IF(I1481="","Not approved | ",IF(UPPER(TRIM(H1481))=UPPER(TRIM(I1481)),"Self-approved | ",""))&amp;IF(J1481="","No support | ","")&amp;IF(WEEKDAY(B1481,2)&gt;5,"Weekend posting | ","")&amp;IF(COUNTIF(Settings!$A$14:$A$43,B1481)&gt;0,"Holiday posting | ","")&amp;IF(B1481&gt;Settings!$C$8,"Posted after close | ","")&amp;IF(OR(B1481&lt;Settings!$C$6,B1481&gt;Settings!$C$7),"Outside period | ","")&amp;IF(COUNTIF(Settings!$E$14:$E$43,C1481&amp;"")&gt;0,"Sensitive account | ","")&amp;IF(AND(MAX(N(E1481),N(F1481))&gt;=Settings!$C$9,MOD(MAX(N(E1481),N(F1481)),Settings!$C$10)=0),"Round amount | ","")="","",LEFT(IF(K1481="No","Does not balance | ","")&amp;IF(I1481="","Not approved | ",IF(UPPER(TRIM(H1481))=UPPER(TRIM(I1481)),"Self-approved | ",""))&amp;IF(J1481="","No support | ","")&amp;IF(WEEKDAY(B1481,2)&gt;5,"Weekend posting | ","")&amp;IF(COUNTIF(Settings!$A$14:$A$43,B1481)&gt;0,"Holiday posting | ","")&amp;IF(B1481&gt;Settings!$C$8,"Posted after close | ","")&amp;IF(OR(B1481&lt;Settings!$C$6,B1481&gt;Settings!$C$7),"Outside period | ","")&amp;IF(COUNTIF(Settings!$E$14:$E$43,C1481&amp;"")&gt;0,"Sensitive account | ","")&amp;IF(AND(MAX(N(E1481),N(F1481))&gt;=Settings!$C$9,MOD(MAX(N(E1481),N(F1481)),Settings!$C$10)=0),"Round amount | ",""),LEN(IF(K1481="No","Does not balance | ","")&amp;IF(I1481="","Not approved | ",IF(UPPER(TRIM(H1481))=UPPER(TRIM(I1481)),"Self-approved | ",""))&amp;IF(J1481="","No support | ","")&amp;IF(WEEKDAY(B1481,2)&gt;5,"Weekend posting | ","")&amp;IF(COUNTIF(Settings!$A$14:$A$43,B1481)&gt;0,"Holiday posting | ","")&amp;IF(B1481&gt;Settings!$C$8,"Posted after close | ","")&amp;IF(OR(B1481&lt;Settings!$C$6,B1481&gt;Settings!$C$7),"Outside period | ","")&amp;IF(COUNTIF(Settings!$E$14:$E$43,C1481&amp;"")&gt;0,"Sensitive account | ","")&amp;IF(AND(MAX(N(E1481),N(F1481))&gt;=Settings!$C$9,MOD(MAX(N(E1481),N(F1481)),Settings!$C$10)=0),"Round amount | ",""))-3)))</f>
        <v/>
      </c>
      <c r="M1481" s="21" t="str">
        <f aca="false">IF(A1481="","",IF(COUNTIF($A$9:A1481,A1481)=1,MAX($M$8:M1480)+1,""))</f>
        <v/>
      </c>
    </row>
    <row r="1482" customFormat="false" ht="15" hidden="false" customHeight="false" outlineLevel="0" collapsed="false">
      <c r="A1482" s="8"/>
      <c r="B1482" s="17"/>
      <c r="C1482" s="19"/>
      <c r="D1482" s="8"/>
      <c r="E1482" s="18"/>
      <c r="F1482" s="18"/>
      <c r="G1482" s="8"/>
      <c r="H1482" s="8"/>
      <c r="I1482" s="8"/>
      <c r="J1482" s="8"/>
      <c r="K1482" s="10" t="str">
        <f aca="false">IF(A1482="","",IF(ABS(SUMIFS($E$9:$E$2008,$A$9:$A$2008,A1482)-SUMIFS($F$9:$F$2008,$A$9:$A$2008,A1482))&lt;0.5,"Yes","No"))</f>
        <v/>
      </c>
      <c r="L1482" s="10" t="str">
        <f aca="false">IF(A1482="","",IF(IF(K1482="No","Does not balance | ","")&amp;IF(I1482="","Not approved | ",IF(UPPER(TRIM(H1482))=UPPER(TRIM(I1482)),"Self-approved | ",""))&amp;IF(J1482="","No support | ","")&amp;IF(WEEKDAY(B1482,2)&gt;5,"Weekend posting | ","")&amp;IF(COUNTIF(Settings!$A$14:$A$43,B1482)&gt;0,"Holiday posting | ","")&amp;IF(B1482&gt;Settings!$C$8,"Posted after close | ","")&amp;IF(OR(B1482&lt;Settings!$C$6,B1482&gt;Settings!$C$7),"Outside period | ","")&amp;IF(COUNTIF(Settings!$E$14:$E$43,C1482&amp;"")&gt;0,"Sensitive account | ","")&amp;IF(AND(MAX(N(E1482),N(F1482))&gt;=Settings!$C$9,MOD(MAX(N(E1482),N(F1482)),Settings!$C$10)=0),"Round amount | ","")="","",LEFT(IF(K1482="No","Does not balance | ","")&amp;IF(I1482="","Not approved | ",IF(UPPER(TRIM(H1482))=UPPER(TRIM(I1482)),"Self-approved | ",""))&amp;IF(J1482="","No support | ","")&amp;IF(WEEKDAY(B1482,2)&gt;5,"Weekend posting | ","")&amp;IF(COUNTIF(Settings!$A$14:$A$43,B1482)&gt;0,"Holiday posting | ","")&amp;IF(B1482&gt;Settings!$C$8,"Posted after close | ","")&amp;IF(OR(B1482&lt;Settings!$C$6,B1482&gt;Settings!$C$7),"Outside period | ","")&amp;IF(COUNTIF(Settings!$E$14:$E$43,C1482&amp;"")&gt;0,"Sensitive account | ","")&amp;IF(AND(MAX(N(E1482),N(F1482))&gt;=Settings!$C$9,MOD(MAX(N(E1482),N(F1482)),Settings!$C$10)=0),"Round amount | ",""),LEN(IF(K1482="No","Does not balance | ","")&amp;IF(I1482="","Not approved | ",IF(UPPER(TRIM(H1482))=UPPER(TRIM(I1482)),"Self-approved | ",""))&amp;IF(J1482="","No support | ","")&amp;IF(WEEKDAY(B1482,2)&gt;5,"Weekend posting | ","")&amp;IF(COUNTIF(Settings!$A$14:$A$43,B1482)&gt;0,"Holiday posting | ","")&amp;IF(B1482&gt;Settings!$C$8,"Posted after close | ","")&amp;IF(OR(B1482&lt;Settings!$C$6,B1482&gt;Settings!$C$7),"Outside period | ","")&amp;IF(COUNTIF(Settings!$E$14:$E$43,C1482&amp;"")&gt;0,"Sensitive account | ","")&amp;IF(AND(MAX(N(E1482),N(F1482))&gt;=Settings!$C$9,MOD(MAX(N(E1482),N(F1482)),Settings!$C$10)=0),"Round amount | ",""))-3)))</f>
        <v/>
      </c>
      <c r="M1482" s="21" t="str">
        <f aca="false">IF(A1482="","",IF(COUNTIF($A$9:A1482,A1482)=1,MAX($M$8:M1481)+1,""))</f>
        <v/>
      </c>
    </row>
    <row r="1483" customFormat="false" ht="15" hidden="false" customHeight="false" outlineLevel="0" collapsed="false">
      <c r="A1483" s="8"/>
      <c r="B1483" s="17"/>
      <c r="C1483" s="19"/>
      <c r="D1483" s="8"/>
      <c r="E1483" s="18"/>
      <c r="F1483" s="18"/>
      <c r="G1483" s="8"/>
      <c r="H1483" s="8"/>
      <c r="I1483" s="8"/>
      <c r="J1483" s="8"/>
      <c r="K1483" s="10" t="str">
        <f aca="false">IF(A1483="","",IF(ABS(SUMIFS($E$9:$E$2008,$A$9:$A$2008,A1483)-SUMIFS($F$9:$F$2008,$A$9:$A$2008,A1483))&lt;0.5,"Yes","No"))</f>
        <v/>
      </c>
      <c r="L1483" s="10" t="str">
        <f aca="false">IF(A1483="","",IF(IF(K1483="No","Does not balance | ","")&amp;IF(I1483="","Not approved | ",IF(UPPER(TRIM(H1483))=UPPER(TRIM(I1483)),"Self-approved | ",""))&amp;IF(J1483="","No support | ","")&amp;IF(WEEKDAY(B1483,2)&gt;5,"Weekend posting | ","")&amp;IF(COUNTIF(Settings!$A$14:$A$43,B1483)&gt;0,"Holiday posting | ","")&amp;IF(B1483&gt;Settings!$C$8,"Posted after close | ","")&amp;IF(OR(B1483&lt;Settings!$C$6,B1483&gt;Settings!$C$7),"Outside period | ","")&amp;IF(COUNTIF(Settings!$E$14:$E$43,C1483&amp;"")&gt;0,"Sensitive account | ","")&amp;IF(AND(MAX(N(E1483),N(F1483))&gt;=Settings!$C$9,MOD(MAX(N(E1483),N(F1483)),Settings!$C$10)=0),"Round amount | ","")="","",LEFT(IF(K1483="No","Does not balance | ","")&amp;IF(I1483="","Not approved | ",IF(UPPER(TRIM(H1483))=UPPER(TRIM(I1483)),"Self-approved | ",""))&amp;IF(J1483="","No support | ","")&amp;IF(WEEKDAY(B1483,2)&gt;5,"Weekend posting | ","")&amp;IF(COUNTIF(Settings!$A$14:$A$43,B1483)&gt;0,"Holiday posting | ","")&amp;IF(B1483&gt;Settings!$C$8,"Posted after close | ","")&amp;IF(OR(B1483&lt;Settings!$C$6,B1483&gt;Settings!$C$7),"Outside period | ","")&amp;IF(COUNTIF(Settings!$E$14:$E$43,C1483&amp;"")&gt;0,"Sensitive account | ","")&amp;IF(AND(MAX(N(E1483),N(F1483))&gt;=Settings!$C$9,MOD(MAX(N(E1483),N(F1483)),Settings!$C$10)=0),"Round amount | ",""),LEN(IF(K1483="No","Does not balance | ","")&amp;IF(I1483="","Not approved | ",IF(UPPER(TRIM(H1483))=UPPER(TRIM(I1483)),"Self-approved | ",""))&amp;IF(J1483="","No support | ","")&amp;IF(WEEKDAY(B1483,2)&gt;5,"Weekend posting | ","")&amp;IF(COUNTIF(Settings!$A$14:$A$43,B1483)&gt;0,"Holiday posting | ","")&amp;IF(B1483&gt;Settings!$C$8,"Posted after close | ","")&amp;IF(OR(B1483&lt;Settings!$C$6,B1483&gt;Settings!$C$7),"Outside period | ","")&amp;IF(COUNTIF(Settings!$E$14:$E$43,C1483&amp;"")&gt;0,"Sensitive account | ","")&amp;IF(AND(MAX(N(E1483),N(F1483))&gt;=Settings!$C$9,MOD(MAX(N(E1483),N(F1483)),Settings!$C$10)=0),"Round amount | ",""))-3)))</f>
        <v/>
      </c>
      <c r="M1483" s="21" t="str">
        <f aca="false">IF(A1483="","",IF(COUNTIF($A$9:A1483,A1483)=1,MAX($M$8:M1482)+1,""))</f>
        <v/>
      </c>
    </row>
    <row r="1484" customFormat="false" ht="15" hidden="false" customHeight="false" outlineLevel="0" collapsed="false">
      <c r="A1484" s="8"/>
      <c r="B1484" s="17"/>
      <c r="C1484" s="19"/>
      <c r="D1484" s="8"/>
      <c r="E1484" s="18"/>
      <c r="F1484" s="18"/>
      <c r="G1484" s="8"/>
      <c r="H1484" s="8"/>
      <c r="I1484" s="8"/>
      <c r="J1484" s="8"/>
      <c r="K1484" s="10" t="str">
        <f aca="false">IF(A1484="","",IF(ABS(SUMIFS($E$9:$E$2008,$A$9:$A$2008,A1484)-SUMIFS($F$9:$F$2008,$A$9:$A$2008,A1484))&lt;0.5,"Yes","No"))</f>
        <v/>
      </c>
      <c r="L1484" s="10" t="str">
        <f aca="false">IF(A1484="","",IF(IF(K1484="No","Does not balance | ","")&amp;IF(I1484="","Not approved | ",IF(UPPER(TRIM(H1484))=UPPER(TRIM(I1484)),"Self-approved | ",""))&amp;IF(J1484="","No support | ","")&amp;IF(WEEKDAY(B1484,2)&gt;5,"Weekend posting | ","")&amp;IF(COUNTIF(Settings!$A$14:$A$43,B1484)&gt;0,"Holiday posting | ","")&amp;IF(B1484&gt;Settings!$C$8,"Posted after close | ","")&amp;IF(OR(B1484&lt;Settings!$C$6,B1484&gt;Settings!$C$7),"Outside period | ","")&amp;IF(COUNTIF(Settings!$E$14:$E$43,C1484&amp;"")&gt;0,"Sensitive account | ","")&amp;IF(AND(MAX(N(E1484),N(F1484))&gt;=Settings!$C$9,MOD(MAX(N(E1484),N(F1484)),Settings!$C$10)=0),"Round amount | ","")="","",LEFT(IF(K1484="No","Does not balance | ","")&amp;IF(I1484="","Not approved | ",IF(UPPER(TRIM(H1484))=UPPER(TRIM(I1484)),"Self-approved | ",""))&amp;IF(J1484="","No support | ","")&amp;IF(WEEKDAY(B1484,2)&gt;5,"Weekend posting | ","")&amp;IF(COUNTIF(Settings!$A$14:$A$43,B1484)&gt;0,"Holiday posting | ","")&amp;IF(B1484&gt;Settings!$C$8,"Posted after close | ","")&amp;IF(OR(B1484&lt;Settings!$C$6,B1484&gt;Settings!$C$7),"Outside period | ","")&amp;IF(COUNTIF(Settings!$E$14:$E$43,C1484&amp;"")&gt;0,"Sensitive account | ","")&amp;IF(AND(MAX(N(E1484),N(F1484))&gt;=Settings!$C$9,MOD(MAX(N(E1484),N(F1484)),Settings!$C$10)=0),"Round amount | ",""),LEN(IF(K1484="No","Does not balance | ","")&amp;IF(I1484="","Not approved | ",IF(UPPER(TRIM(H1484))=UPPER(TRIM(I1484)),"Self-approved | ",""))&amp;IF(J1484="","No support | ","")&amp;IF(WEEKDAY(B1484,2)&gt;5,"Weekend posting | ","")&amp;IF(COUNTIF(Settings!$A$14:$A$43,B1484)&gt;0,"Holiday posting | ","")&amp;IF(B1484&gt;Settings!$C$8,"Posted after close | ","")&amp;IF(OR(B1484&lt;Settings!$C$6,B1484&gt;Settings!$C$7),"Outside period | ","")&amp;IF(COUNTIF(Settings!$E$14:$E$43,C1484&amp;"")&gt;0,"Sensitive account | ","")&amp;IF(AND(MAX(N(E1484),N(F1484))&gt;=Settings!$C$9,MOD(MAX(N(E1484),N(F1484)),Settings!$C$10)=0),"Round amount | ",""))-3)))</f>
        <v/>
      </c>
      <c r="M1484" s="21" t="str">
        <f aca="false">IF(A1484="","",IF(COUNTIF($A$9:A1484,A1484)=1,MAX($M$8:M1483)+1,""))</f>
        <v/>
      </c>
    </row>
    <row r="1485" customFormat="false" ht="15" hidden="false" customHeight="false" outlineLevel="0" collapsed="false">
      <c r="A1485" s="8"/>
      <c r="B1485" s="17"/>
      <c r="C1485" s="19"/>
      <c r="D1485" s="8"/>
      <c r="E1485" s="18"/>
      <c r="F1485" s="18"/>
      <c r="G1485" s="8"/>
      <c r="H1485" s="8"/>
      <c r="I1485" s="8"/>
      <c r="J1485" s="8"/>
      <c r="K1485" s="10" t="str">
        <f aca="false">IF(A1485="","",IF(ABS(SUMIFS($E$9:$E$2008,$A$9:$A$2008,A1485)-SUMIFS($F$9:$F$2008,$A$9:$A$2008,A1485))&lt;0.5,"Yes","No"))</f>
        <v/>
      </c>
      <c r="L1485" s="10" t="str">
        <f aca="false">IF(A1485="","",IF(IF(K1485="No","Does not balance | ","")&amp;IF(I1485="","Not approved | ",IF(UPPER(TRIM(H1485))=UPPER(TRIM(I1485)),"Self-approved | ",""))&amp;IF(J1485="","No support | ","")&amp;IF(WEEKDAY(B1485,2)&gt;5,"Weekend posting | ","")&amp;IF(COUNTIF(Settings!$A$14:$A$43,B1485)&gt;0,"Holiday posting | ","")&amp;IF(B1485&gt;Settings!$C$8,"Posted after close | ","")&amp;IF(OR(B1485&lt;Settings!$C$6,B1485&gt;Settings!$C$7),"Outside period | ","")&amp;IF(COUNTIF(Settings!$E$14:$E$43,C1485&amp;"")&gt;0,"Sensitive account | ","")&amp;IF(AND(MAX(N(E1485),N(F1485))&gt;=Settings!$C$9,MOD(MAX(N(E1485),N(F1485)),Settings!$C$10)=0),"Round amount | ","")="","",LEFT(IF(K1485="No","Does not balance | ","")&amp;IF(I1485="","Not approved | ",IF(UPPER(TRIM(H1485))=UPPER(TRIM(I1485)),"Self-approved | ",""))&amp;IF(J1485="","No support | ","")&amp;IF(WEEKDAY(B1485,2)&gt;5,"Weekend posting | ","")&amp;IF(COUNTIF(Settings!$A$14:$A$43,B1485)&gt;0,"Holiday posting | ","")&amp;IF(B1485&gt;Settings!$C$8,"Posted after close | ","")&amp;IF(OR(B1485&lt;Settings!$C$6,B1485&gt;Settings!$C$7),"Outside period | ","")&amp;IF(COUNTIF(Settings!$E$14:$E$43,C1485&amp;"")&gt;0,"Sensitive account | ","")&amp;IF(AND(MAX(N(E1485),N(F1485))&gt;=Settings!$C$9,MOD(MAX(N(E1485),N(F1485)),Settings!$C$10)=0),"Round amount | ",""),LEN(IF(K1485="No","Does not balance | ","")&amp;IF(I1485="","Not approved | ",IF(UPPER(TRIM(H1485))=UPPER(TRIM(I1485)),"Self-approved | ",""))&amp;IF(J1485="","No support | ","")&amp;IF(WEEKDAY(B1485,2)&gt;5,"Weekend posting | ","")&amp;IF(COUNTIF(Settings!$A$14:$A$43,B1485)&gt;0,"Holiday posting | ","")&amp;IF(B1485&gt;Settings!$C$8,"Posted after close | ","")&amp;IF(OR(B1485&lt;Settings!$C$6,B1485&gt;Settings!$C$7),"Outside period | ","")&amp;IF(COUNTIF(Settings!$E$14:$E$43,C1485&amp;"")&gt;0,"Sensitive account | ","")&amp;IF(AND(MAX(N(E1485),N(F1485))&gt;=Settings!$C$9,MOD(MAX(N(E1485),N(F1485)),Settings!$C$10)=0),"Round amount | ",""))-3)))</f>
        <v/>
      </c>
      <c r="M1485" s="21" t="str">
        <f aca="false">IF(A1485="","",IF(COUNTIF($A$9:A1485,A1485)=1,MAX($M$8:M1484)+1,""))</f>
        <v/>
      </c>
    </row>
    <row r="1486" customFormat="false" ht="15" hidden="false" customHeight="false" outlineLevel="0" collapsed="false">
      <c r="A1486" s="8"/>
      <c r="B1486" s="17"/>
      <c r="C1486" s="19"/>
      <c r="D1486" s="8"/>
      <c r="E1486" s="18"/>
      <c r="F1486" s="18"/>
      <c r="G1486" s="8"/>
      <c r="H1486" s="8"/>
      <c r="I1486" s="8"/>
      <c r="J1486" s="8"/>
      <c r="K1486" s="10" t="str">
        <f aca="false">IF(A1486="","",IF(ABS(SUMIFS($E$9:$E$2008,$A$9:$A$2008,A1486)-SUMIFS($F$9:$F$2008,$A$9:$A$2008,A1486))&lt;0.5,"Yes","No"))</f>
        <v/>
      </c>
      <c r="L1486" s="10" t="str">
        <f aca="false">IF(A1486="","",IF(IF(K1486="No","Does not balance | ","")&amp;IF(I1486="","Not approved | ",IF(UPPER(TRIM(H1486))=UPPER(TRIM(I1486)),"Self-approved | ",""))&amp;IF(J1486="","No support | ","")&amp;IF(WEEKDAY(B1486,2)&gt;5,"Weekend posting | ","")&amp;IF(COUNTIF(Settings!$A$14:$A$43,B1486)&gt;0,"Holiday posting | ","")&amp;IF(B1486&gt;Settings!$C$8,"Posted after close | ","")&amp;IF(OR(B1486&lt;Settings!$C$6,B1486&gt;Settings!$C$7),"Outside period | ","")&amp;IF(COUNTIF(Settings!$E$14:$E$43,C1486&amp;"")&gt;0,"Sensitive account | ","")&amp;IF(AND(MAX(N(E1486),N(F1486))&gt;=Settings!$C$9,MOD(MAX(N(E1486),N(F1486)),Settings!$C$10)=0),"Round amount | ","")="","",LEFT(IF(K1486="No","Does not balance | ","")&amp;IF(I1486="","Not approved | ",IF(UPPER(TRIM(H1486))=UPPER(TRIM(I1486)),"Self-approved | ",""))&amp;IF(J1486="","No support | ","")&amp;IF(WEEKDAY(B1486,2)&gt;5,"Weekend posting | ","")&amp;IF(COUNTIF(Settings!$A$14:$A$43,B1486)&gt;0,"Holiday posting | ","")&amp;IF(B1486&gt;Settings!$C$8,"Posted after close | ","")&amp;IF(OR(B1486&lt;Settings!$C$6,B1486&gt;Settings!$C$7),"Outside period | ","")&amp;IF(COUNTIF(Settings!$E$14:$E$43,C1486&amp;"")&gt;0,"Sensitive account | ","")&amp;IF(AND(MAX(N(E1486),N(F1486))&gt;=Settings!$C$9,MOD(MAX(N(E1486),N(F1486)),Settings!$C$10)=0),"Round amount | ",""),LEN(IF(K1486="No","Does not balance | ","")&amp;IF(I1486="","Not approved | ",IF(UPPER(TRIM(H1486))=UPPER(TRIM(I1486)),"Self-approved | ",""))&amp;IF(J1486="","No support | ","")&amp;IF(WEEKDAY(B1486,2)&gt;5,"Weekend posting | ","")&amp;IF(COUNTIF(Settings!$A$14:$A$43,B1486)&gt;0,"Holiday posting | ","")&amp;IF(B1486&gt;Settings!$C$8,"Posted after close | ","")&amp;IF(OR(B1486&lt;Settings!$C$6,B1486&gt;Settings!$C$7),"Outside period | ","")&amp;IF(COUNTIF(Settings!$E$14:$E$43,C1486&amp;"")&gt;0,"Sensitive account | ","")&amp;IF(AND(MAX(N(E1486),N(F1486))&gt;=Settings!$C$9,MOD(MAX(N(E1486),N(F1486)),Settings!$C$10)=0),"Round amount | ",""))-3)))</f>
        <v/>
      </c>
      <c r="M1486" s="21" t="str">
        <f aca="false">IF(A1486="","",IF(COUNTIF($A$9:A1486,A1486)=1,MAX($M$8:M1485)+1,""))</f>
        <v/>
      </c>
    </row>
    <row r="1487" customFormat="false" ht="15" hidden="false" customHeight="false" outlineLevel="0" collapsed="false">
      <c r="A1487" s="8"/>
      <c r="B1487" s="17"/>
      <c r="C1487" s="19"/>
      <c r="D1487" s="8"/>
      <c r="E1487" s="18"/>
      <c r="F1487" s="18"/>
      <c r="G1487" s="8"/>
      <c r="H1487" s="8"/>
      <c r="I1487" s="8"/>
      <c r="J1487" s="8"/>
      <c r="K1487" s="10" t="str">
        <f aca="false">IF(A1487="","",IF(ABS(SUMIFS($E$9:$E$2008,$A$9:$A$2008,A1487)-SUMIFS($F$9:$F$2008,$A$9:$A$2008,A1487))&lt;0.5,"Yes","No"))</f>
        <v/>
      </c>
      <c r="L1487" s="10" t="str">
        <f aca="false">IF(A1487="","",IF(IF(K1487="No","Does not balance | ","")&amp;IF(I1487="","Not approved | ",IF(UPPER(TRIM(H1487))=UPPER(TRIM(I1487)),"Self-approved | ",""))&amp;IF(J1487="","No support | ","")&amp;IF(WEEKDAY(B1487,2)&gt;5,"Weekend posting | ","")&amp;IF(COUNTIF(Settings!$A$14:$A$43,B1487)&gt;0,"Holiday posting | ","")&amp;IF(B1487&gt;Settings!$C$8,"Posted after close | ","")&amp;IF(OR(B1487&lt;Settings!$C$6,B1487&gt;Settings!$C$7),"Outside period | ","")&amp;IF(COUNTIF(Settings!$E$14:$E$43,C1487&amp;"")&gt;0,"Sensitive account | ","")&amp;IF(AND(MAX(N(E1487),N(F1487))&gt;=Settings!$C$9,MOD(MAX(N(E1487),N(F1487)),Settings!$C$10)=0),"Round amount | ","")="","",LEFT(IF(K1487="No","Does not balance | ","")&amp;IF(I1487="","Not approved | ",IF(UPPER(TRIM(H1487))=UPPER(TRIM(I1487)),"Self-approved | ",""))&amp;IF(J1487="","No support | ","")&amp;IF(WEEKDAY(B1487,2)&gt;5,"Weekend posting | ","")&amp;IF(COUNTIF(Settings!$A$14:$A$43,B1487)&gt;0,"Holiday posting | ","")&amp;IF(B1487&gt;Settings!$C$8,"Posted after close | ","")&amp;IF(OR(B1487&lt;Settings!$C$6,B1487&gt;Settings!$C$7),"Outside period | ","")&amp;IF(COUNTIF(Settings!$E$14:$E$43,C1487&amp;"")&gt;0,"Sensitive account | ","")&amp;IF(AND(MAX(N(E1487),N(F1487))&gt;=Settings!$C$9,MOD(MAX(N(E1487),N(F1487)),Settings!$C$10)=0),"Round amount | ",""),LEN(IF(K1487="No","Does not balance | ","")&amp;IF(I1487="","Not approved | ",IF(UPPER(TRIM(H1487))=UPPER(TRIM(I1487)),"Self-approved | ",""))&amp;IF(J1487="","No support | ","")&amp;IF(WEEKDAY(B1487,2)&gt;5,"Weekend posting | ","")&amp;IF(COUNTIF(Settings!$A$14:$A$43,B1487)&gt;0,"Holiday posting | ","")&amp;IF(B1487&gt;Settings!$C$8,"Posted after close | ","")&amp;IF(OR(B1487&lt;Settings!$C$6,B1487&gt;Settings!$C$7),"Outside period | ","")&amp;IF(COUNTIF(Settings!$E$14:$E$43,C1487&amp;"")&gt;0,"Sensitive account | ","")&amp;IF(AND(MAX(N(E1487),N(F1487))&gt;=Settings!$C$9,MOD(MAX(N(E1487),N(F1487)),Settings!$C$10)=0),"Round amount | ",""))-3)))</f>
        <v/>
      </c>
      <c r="M1487" s="21" t="str">
        <f aca="false">IF(A1487="","",IF(COUNTIF($A$9:A1487,A1487)=1,MAX($M$8:M1486)+1,""))</f>
        <v/>
      </c>
    </row>
    <row r="1488" customFormat="false" ht="15" hidden="false" customHeight="false" outlineLevel="0" collapsed="false">
      <c r="A1488" s="8"/>
      <c r="B1488" s="17"/>
      <c r="C1488" s="19"/>
      <c r="D1488" s="8"/>
      <c r="E1488" s="18"/>
      <c r="F1488" s="18"/>
      <c r="G1488" s="8"/>
      <c r="H1488" s="8"/>
      <c r="I1488" s="8"/>
      <c r="J1488" s="8"/>
      <c r="K1488" s="10" t="str">
        <f aca="false">IF(A1488="","",IF(ABS(SUMIFS($E$9:$E$2008,$A$9:$A$2008,A1488)-SUMIFS($F$9:$F$2008,$A$9:$A$2008,A1488))&lt;0.5,"Yes","No"))</f>
        <v/>
      </c>
      <c r="L1488" s="10" t="str">
        <f aca="false">IF(A1488="","",IF(IF(K1488="No","Does not balance | ","")&amp;IF(I1488="","Not approved | ",IF(UPPER(TRIM(H1488))=UPPER(TRIM(I1488)),"Self-approved | ",""))&amp;IF(J1488="","No support | ","")&amp;IF(WEEKDAY(B1488,2)&gt;5,"Weekend posting | ","")&amp;IF(COUNTIF(Settings!$A$14:$A$43,B1488)&gt;0,"Holiday posting | ","")&amp;IF(B1488&gt;Settings!$C$8,"Posted after close | ","")&amp;IF(OR(B1488&lt;Settings!$C$6,B1488&gt;Settings!$C$7),"Outside period | ","")&amp;IF(COUNTIF(Settings!$E$14:$E$43,C1488&amp;"")&gt;0,"Sensitive account | ","")&amp;IF(AND(MAX(N(E1488),N(F1488))&gt;=Settings!$C$9,MOD(MAX(N(E1488),N(F1488)),Settings!$C$10)=0),"Round amount | ","")="","",LEFT(IF(K1488="No","Does not balance | ","")&amp;IF(I1488="","Not approved | ",IF(UPPER(TRIM(H1488))=UPPER(TRIM(I1488)),"Self-approved | ",""))&amp;IF(J1488="","No support | ","")&amp;IF(WEEKDAY(B1488,2)&gt;5,"Weekend posting | ","")&amp;IF(COUNTIF(Settings!$A$14:$A$43,B1488)&gt;0,"Holiday posting | ","")&amp;IF(B1488&gt;Settings!$C$8,"Posted after close | ","")&amp;IF(OR(B1488&lt;Settings!$C$6,B1488&gt;Settings!$C$7),"Outside period | ","")&amp;IF(COUNTIF(Settings!$E$14:$E$43,C1488&amp;"")&gt;0,"Sensitive account | ","")&amp;IF(AND(MAX(N(E1488),N(F1488))&gt;=Settings!$C$9,MOD(MAX(N(E1488),N(F1488)),Settings!$C$10)=0),"Round amount | ",""),LEN(IF(K1488="No","Does not balance | ","")&amp;IF(I1488="","Not approved | ",IF(UPPER(TRIM(H1488))=UPPER(TRIM(I1488)),"Self-approved | ",""))&amp;IF(J1488="","No support | ","")&amp;IF(WEEKDAY(B1488,2)&gt;5,"Weekend posting | ","")&amp;IF(COUNTIF(Settings!$A$14:$A$43,B1488)&gt;0,"Holiday posting | ","")&amp;IF(B1488&gt;Settings!$C$8,"Posted after close | ","")&amp;IF(OR(B1488&lt;Settings!$C$6,B1488&gt;Settings!$C$7),"Outside period | ","")&amp;IF(COUNTIF(Settings!$E$14:$E$43,C1488&amp;"")&gt;0,"Sensitive account | ","")&amp;IF(AND(MAX(N(E1488),N(F1488))&gt;=Settings!$C$9,MOD(MAX(N(E1488),N(F1488)),Settings!$C$10)=0),"Round amount | ",""))-3)))</f>
        <v/>
      </c>
      <c r="M1488" s="21" t="str">
        <f aca="false">IF(A1488="","",IF(COUNTIF($A$9:A1488,A1488)=1,MAX($M$8:M1487)+1,""))</f>
        <v/>
      </c>
    </row>
    <row r="1489" customFormat="false" ht="15" hidden="false" customHeight="false" outlineLevel="0" collapsed="false">
      <c r="A1489" s="8"/>
      <c r="B1489" s="17"/>
      <c r="C1489" s="19"/>
      <c r="D1489" s="8"/>
      <c r="E1489" s="18"/>
      <c r="F1489" s="18"/>
      <c r="G1489" s="8"/>
      <c r="H1489" s="8"/>
      <c r="I1489" s="8"/>
      <c r="J1489" s="8"/>
      <c r="K1489" s="10" t="str">
        <f aca="false">IF(A1489="","",IF(ABS(SUMIFS($E$9:$E$2008,$A$9:$A$2008,A1489)-SUMIFS($F$9:$F$2008,$A$9:$A$2008,A1489))&lt;0.5,"Yes","No"))</f>
        <v/>
      </c>
      <c r="L1489" s="10" t="str">
        <f aca="false">IF(A1489="","",IF(IF(K1489="No","Does not balance | ","")&amp;IF(I1489="","Not approved | ",IF(UPPER(TRIM(H1489))=UPPER(TRIM(I1489)),"Self-approved | ",""))&amp;IF(J1489="","No support | ","")&amp;IF(WEEKDAY(B1489,2)&gt;5,"Weekend posting | ","")&amp;IF(COUNTIF(Settings!$A$14:$A$43,B1489)&gt;0,"Holiday posting | ","")&amp;IF(B1489&gt;Settings!$C$8,"Posted after close | ","")&amp;IF(OR(B1489&lt;Settings!$C$6,B1489&gt;Settings!$C$7),"Outside period | ","")&amp;IF(COUNTIF(Settings!$E$14:$E$43,C1489&amp;"")&gt;0,"Sensitive account | ","")&amp;IF(AND(MAX(N(E1489),N(F1489))&gt;=Settings!$C$9,MOD(MAX(N(E1489),N(F1489)),Settings!$C$10)=0),"Round amount | ","")="","",LEFT(IF(K1489="No","Does not balance | ","")&amp;IF(I1489="","Not approved | ",IF(UPPER(TRIM(H1489))=UPPER(TRIM(I1489)),"Self-approved | ",""))&amp;IF(J1489="","No support | ","")&amp;IF(WEEKDAY(B1489,2)&gt;5,"Weekend posting | ","")&amp;IF(COUNTIF(Settings!$A$14:$A$43,B1489)&gt;0,"Holiday posting | ","")&amp;IF(B1489&gt;Settings!$C$8,"Posted after close | ","")&amp;IF(OR(B1489&lt;Settings!$C$6,B1489&gt;Settings!$C$7),"Outside period | ","")&amp;IF(COUNTIF(Settings!$E$14:$E$43,C1489&amp;"")&gt;0,"Sensitive account | ","")&amp;IF(AND(MAX(N(E1489),N(F1489))&gt;=Settings!$C$9,MOD(MAX(N(E1489),N(F1489)),Settings!$C$10)=0),"Round amount | ",""),LEN(IF(K1489="No","Does not balance | ","")&amp;IF(I1489="","Not approved | ",IF(UPPER(TRIM(H1489))=UPPER(TRIM(I1489)),"Self-approved | ",""))&amp;IF(J1489="","No support | ","")&amp;IF(WEEKDAY(B1489,2)&gt;5,"Weekend posting | ","")&amp;IF(COUNTIF(Settings!$A$14:$A$43,B1489)&gt;0,"Holiday posting | ","")&amp;IF(B1489&gt;Settings!$C$8,"Posted after close | ","")&amp;IF(OR(B1489&lt;Settings!$C$6,B1489&gt;Settings!$C$7),"Outside period | ","")&amp;IF(COUNTIF(Settings!$E$14:$E$43,C1489&amp;"")&gt;0,"Sensitive account | ","")&amp;IF(AND(MAX(N(E1489),N(F1489))&gt;=Settings!$C$9,MOD(MAX(N(E1489),N(F1489)),Settings!$C$10)=0),"Round amount | ",""))-3)))</f>
        <v/>
      </c>
      <c r="M1489" s="21" t="str">
        <f aca="false">IF(A1489="","",IF(COUNTIF($A$9:A1489,A1489)=1,MAX($M$8:M1488)+1,""))</f>
        <v/>
      </c>
    </row>
    <row r="1490" customFormat="false" ht="15" hidden="false" customHeight="false" outlineLevel="0" collapsed="false">
      <c r="A1490" s="8"/>
      <c r="B1490" s="17"/>
      <c r="C1490" s="19"/>
      <c r="D1490" s="8"/>
      <c r="E1490" s="18"/>
      <c r="F1490" s="18"/>
      <c r="G1490" s="8"/>
      <c r="H1490" s="8"/>
      <c r="I1490" s="8"/>
      <c r="J1490" s="8"/>
      <c r="K1490" s="10" t="str">
        <f aca="false">IF(A1490="","",IF(ABS(SUMIFS($E$9:$E$2008,$A$9:$A$2008,A1490)-SUMIFS($F$9:$F$2008,$A$9:$A$2008,A1490))&lt;0.5,"Yes","No"))</f>
        <v/>
      </c>
      <c r="L1490" s="10" t="str">
        <f aca="false">IF(A1490="","",IF(IF(K1490="No","Does not balance | ","")&amp;IF(I1490="","Not approved | ",IF(UPPER(TRIM(H1490))=UPPER(TRIM(I1490)),"Self-approved | ",""))&amp;IF(J1490="","No support | ","")&amp;IF(WEEKDAY(B1490,2)&gt;5,"Weekend posting | ","")&amp;IF(COUNTIF(Settings!$A$14:$A$43,B1490)&gt;0,"Holiday posting | ","")&amp;IF(B1490&gt;Settings!$C$8,"Posted after close | ","")&amp;IF(OR(B1490&lt;Settings!$C$6,B1490&gt;Settings!$C$7),"Outside period | ","")&amp;IF(COUNTIF(Settings!$E$14:$E$43,C1490&amp;"")&gt;0,"Sensitive account | ","")&amp;IF(AND(MAX(N(E1490),N(F1490))&gt;=Settings!$C$9,MOD(MAX(N(E1490),N(F1490)),Settings!$C$10)=0),"Round amount | ","")="","",LEFT(IF(K1490="No","Does not balance | ","")&amp;IF(I1490="","Not approved | ",IF(UPPER(TRIM(H1490))=UPPER(TRIM(I1490)),"Self-approved | ",""))&amp;IF(J1490="","No support | ","")&amp;IF(WEEKDAY(B1490,2)&gt;5,"Weekend posting | ","")&amp;IF(COUNTIF(Settings!$A$14:$A$43,B1490)&gt;0,"Holiday posting | ","")&amp;IF(B1490&gt;Settings!$C$8,"Posted after close | ","")&amp;IF(OR(B1490&lt;Settings!$C$6,B1490&gt;Settings!$C$7),"Outside period | ","")&amp;IF(COUNTIF(Settings!$E$14:$E$43,C1490&amp;"")&gt;0,"Sensitive account | ","")&amp;IF(AND(MAX(N(E1490),N(F1490))&gt;=Settings!$C$9,MOD(MAX(N(E1490),N(F1490)),Settings!$C$10)=0),"Round amount | ",""),LEN(IF(K1490="No","Does not balance | ","")&amp;IF(I1490="","Not approved | ",IF(UPPER(TRIM(H1490))=UPPER(TRIM(I1490)),"Self-approved | ",""))&amp;IF(J1490="","No support | ","")&amp;IF(WEEKDAY(B1490,2)&gt;5,"Weekend posting | ","")&amp;IF(COUNTIF(Settings!$A$14:$A$43,B1490)&gt;0,"Holiday posting | ","")&amp;IF(B1490&gt;Settings!$C$8,"Posted after close | ","")&amp;IF(OR(B1490&lt;Settings!$C$6,B1490&gt;Settings!$C$7),"Outside period | ","")&amp;IF(COUNTIF(Settings!$E$14:$E$43,C1490&amp;"")&gt;0,"Sensitive account | ","")&amp;IF(AND(MAX(N(E1490),N(F1490))&gt;=Settings!$C$9,MOD(MAX(N(E1490),N(F1490)),Settings!$C$10)=0),"Round amount | ",""))-3)))</f>
        <v/>
      </c>
      <c r="M1490" s="21" t="str">
        <f aca="false">IF(A1490="","",IF(COUNTIF($A$9:A1490,A1490)=1,MAX($M$8:M1489)+1,""))</f>
        <v/>
      </c>
    </row>
    <row r="1491" customFormat="false" ht="15" hidden="false" customHeight="false" outlineLevel="0" collapsed="false">
      <c r="A1491" s="8"/>
      <c r="B1491" s="17"/>
      <c r="C1491" s="19"/>
      <c r="D1491" s="8"/>
      <c r="E1491" s="18"/>
      <c r="F1491" s="18"/>
      <c r="G1491" s="8"/>
      <c r="H1491" s="8"/>
      <c r="I1491" s="8"/>
      <c r="J1491" s="8"/>
      <c r="K1491" s="10" t="str">
        <f aca="false">IF(A1491="","",IF(ABS(SUMIFS($E$9:$E$2008,$A$9:$A$2008,A1491)-SUMIFS($F$9:$F$2008,$A$9:$A$2008,A1491))&lt;0.5,"Yes","No"))</f>
        <v/>
      </c>
      <c r="L1491" s="10" t="str">
        <f aca="false">IF(A1491="","",IF(IF(K1491="No","Does not balance | ","")&amp;IF(I1491="","Not approved | ",IF(UPPER(TRIM(H1491))=UPPER(TRIM(I1491)),"Self-approved | ",""))&amp;IF(J1491="","No support | ","")&amp;IF(WEEKDAY(B1491,2)&gt;5,"Weekend posting | ","")&amp;IF(COUNTIF(Settings!$A$14:$A$43,B1491)&gt;0,"Holiday posting | ","")&amp;IF(B1491&gt;Settings!$C$8,"Posted after close | ","")&amp;IF(OR(B1491&lt;Settings!$C$6,B1491&gt;Settings!$C$7),"Outside period | ","")&amp;IF(COUNTIF(Settings!$E$14:$E$43,C1491&amp;"")&gt;0,"Sensitive account | ","")&amp;IF(AND(MAX(N(E1491),N(F1491))&gt;=Settings!$C$9,MOD(MAX(N(E1491),N(F1491)),Settings!$C$10)=0),"Round amount | ","")="","",LEFT(IF(K1491="No","Does not balance | ","")&amp;IF(I1491="","Not approved | ",IF(UPPER(TRIM(H1491))=UPPER(TRIM(I1491)),"Self-approved | ",""))&amp;IF(J1491="","No support | ","")&amp;IF(WEEKDAY(B1491,2)&gt;5,"Weekend posting | ","")&amp;IF(COUNTIF(Settings!$A$14:$A$43,B1491)&gt;0,"Holiday posting | ","")&amp;IF(B1491&gt;Settings!$C$8,"Posted after close | ","")&amp;IF(OR(B1491&lt;Settings!$C$6,B1491&gt;Settings!$C$7),"Outside period | ","")&amp;IF(COUNTIF(Settings!$E$14:$E$43,C1491&amp;"")&gt;0,"Sensitive account | ","")&amp;IF(AND(MAX(N(E1491),N(F1491))&gt;=Settings!$C$9,MOD(MAX(N(E1491),N(F1491)),Settings!$C$10)=0),"Round amount | ",""),LEN(IF(K1491="No","Does not balance | ","")&amp;IF(I1491="","Not approved | ",IF(UPPER(TRIM(H1491))=UPPER(TRIM(I1491)),"Self-approved | ",""))&amp;IF(J1491="","No support | ","")&amp;IF(WEEKDAY(B1491,2)&gt;5,"Weekend posting | ","")&amp;IF(COUNTIF(Settings!$A$14:$A$43,B1491)&gt;0,"Holiday posting | ","")&amp;IF(B1491&gt;Settings!$C$8,"Posted after close | ","")&amp;IF(OR(B1491&lt;Settings!$C$6,B1491&gt;Settings!$C$7),"Outside period | ","")&amp;IF(COUNTIF(Settings!$E$14:$E$43,C1491&amp;"")&gt;0,"Sensitive account | ","")&amp;IF(AND(MAX(N(E1491),N(F1491))&gt;=Settings!$C$9,MOD(MAX(N(E1491),N(F1491)),Settings!$C$10)=0),"Round amount | ",""))-3)))</f>
        <v/>
      </c>
      <c r="M1491" s="21" t="str">
        <f aca="false">IF(A1491="","",IF(COUNTIF($A$9:A1491,A1491)=1,MAX($M$8:M1490)+1,""))</f>
        <v/>
      </c>
    </row>
    <row r="1492" customFormat="false" ht="15" hidden="false" customHeight="false" outlineLevel="0" collapsed="false">
      <c r="A1492" s="8"/>
      <c r="B1492" s="17"/>
      <c r="C1492" s="19"/>
      <c r="D1492" s="8"/>
      <c r="E1492" s="18"/>
      <c r="F1492" s="18"/>
      <c r="G1492" s="8"/>
      <c r="H1492" s="8"/>
      <c r="I1492" s="8"/>
      <c r="J1492" s="8"/>
      <c r="K1492" s="10" t="str">
        <f aca="false">IF(A1492="","",IF(ABS(SUMIFS($E$9:$E$2008,$A$9:$A$2008,A1492)-SUMIFS($F$9:$F$2008,$A$9:$A$2008,A1492))&lt;0.5,"Yes","No"))</f>
        <v/>
      </c>
      <c r="L1492" s="10" t="str">
        <f aca="false">IF(A1492="","",IF(IF(K1492="No","Does not balance | ","")&amp;IF(I1492="","Not approved | ",IF(UPPER(TRIM(H1492))=UPPER(TRIM(I1492)),"Self-approved | ",""))&amp;IF(J1492="","No support | ","")&amp;IF(WEEKDAY(B1492,2)&gt;5,"Weekend posting | ","")&amp;IF(COUNTIF(Settings!$A$14:$A$43,B1492)&gt;0,"Holiday posting | ","")&amp;IF(B1492&gt;Settings!$C$8,"Posted after close | ","")&amp;IF(OR(B1492&lt;Settings!$C$6,B1492&gt;Settings!$C$7),"Outside period | ","")&amp;IF(COUNTIF(Settings!$E$14:$E$43,C1492&amp;"")&gt;0,"Sensitive account | ","")&amp;IF(AND(MAX(N(E1492),N(F1492))&gt;=Settings!$C$9,MOD(MAX(N(E1492),N(F1492)),Settings!$C$10)=0),"Round amount | ","")="","",LEFT(IF(K1492="No","Does not balance | ","")&amp;IF(I1492="","Not approved | ",IF(UPPER(TRIM(H1492))=UPPER(TRIM(I1492)),"Self-approved | ",""))&amp;IF(J1492="","No support | ","")&amp;IF(WEEKDAY(B1492,2)&gt;5,"Weekend posting | ","")&amp;IF(COUNTIF(Settings!$A$14:$A$43,B1492)&gt;0,"Holiday posting | ","")&amp;IF(B1492&gt;Settings!$C$8,"Posted after close | ","")&amp;IF(OR(B1492&lt;Settings!$C$6,B1492&gt;Settings!$C$7),"Outside period | ","")&amp;IF(COUNTIF(Settings!$E$14:$E$43,C1492&amp;"")&gt;0,"Sensitive account | ","")&amp;IF(AND(MAX(N(E1492),N(F1492))&gt;=Settings!$C$9,MOD(MAX(N(E1492),N(F1492)),Settings!$C$10)=0),"Round amount | ",""),LEN(IF(K1492="No","Does not balance | ","")&amp;IF(I1492="","Not approved | ",IF(UPPER(TRIM(H1492))=UPPER(TRIM(I1492)),"Self-approved | ",""))&amp;IF(J1492="","No support | ","")&amp;IF(WEEKDAY(B1492,2)&gt;5,"Weekend posting | ","")&amp;IF(COUNTIF(Settings!$A$14:$A$43,B1492)&gt;0,"Holiday posting | ","")&amp;IF(B1492&gt;Settings!$C$8,"Posted after close | ","")&amp;IF(OR(B1492&lt;Settings!$C$6,B1492&gt;Settings!$C$7),"Outside period | ","")&amp;IF(COUNTIF(Settings!$E$14:$E$43,C1492&amp;"")&gt;0,"Sensitive account | ","")&amp;IF(AND(MAX(N(E1492),N(F1492))&gt;=Settings!$C$9,MOD(MAX(N(E1492),N(F1492)),Settings!$C$10)=0),"Round amount | ",""))-3)))</f>
        <v/>
      </c>
      <c r="M1492" s="21" t="str">
        <f aca="false">IF(A1492="","",IF(COUNTIF($A$9:A1492,A1492)=1,MAX($M$8:M1491)+1,""))</f>
        <v/>
      </c>
    </row>
    <row r="1493" customFormat="false" ht="15" hidden="false" customHeight="false" outlineLevel="0" collapsed="false">
      <c r="A1493" s="8"/>
      <c r="B1493" s="17"/>
      <c r="C1493" s="19"/>
      <c r="D1493" s="8"/>
      <c r="E1493" s="18"/>
      <c r="F1493" s="18"/>
      <c r="G1493" s="8"/>
      <c r="H1493" s="8"/>
      <c r="I1493" s="8"/>
      <c r="J1493" s="8"/>
      <c r="K1493" s="10" t="str">
        <f aca="false">IF(A1493="","",IF(ABS(SUMIFS($E$9:$E$2008,$A$9:$A$2008,A1493)-SUMIFS($F$9:$F$2008,$A$9:$A$2008,A1493))&lt;0.5,"Yes","No"))</f>
        <v/>
      </c>
      <c r="L1493" s="10" t="str">
        <f aca="false">IF(A1493="","",IF(IF(K1493="No","Does not balance | ","")&amp;IF(I1493="","Not approved | ",IF(UPPER(TRIM(H1493))=UPPER(TRIM(I1493)),"Self-approved | ",""))&amp;IF(J1493="","No support | ","")&amp;IF(WEEKDAY(B1493,2)&gt;5,"Weekend posting | ","")&amp;IF(COUNTIF(Settings!$A$14:$A$43,B1493)&gt;0,"Holiday posting | ","")&amp;IF(B1493&gt;Settings!$C$8,"Posted after close | ","")&amp;IF(OR(B1493&lt;Settings!$C$6,B1493&gt;Settings!$C$7),"Outside period | ","")&amp;IF(COUNTIF(Settings!$E$14:$E$43,C1493&amp;"")&gt;0,"Sensitive account | ","")&amp;IF(AND(MAX(N(E1493),N(F1493))&gt;=Settings!$C$9,MOD(MAX(N(E1493),N(F1493)),Settings!$C$10)=0),"Round amount | ","")="","",LEFT(IF(K1493="No","Does not balance | ","")&amp;IF(I1493="","Not approved | ",IF(UPPER(TRIM(H1493))=UPPER(TRIM(I1493)),"Self-approved | ",""))&amp;IF(J1493="","No support | ","")&amp;IF(WEEKDAY(B1493,2)&gt;5,"Weekend posting | ","")&amp;IF(COUNTIF(Settings!$A$14:$A$43,B1493)&gt;0,"Holiday posting | ","")&amp;IF(B1493&gt;Settings!$C$8,"Posted after close | ","")&amp;IF(OR(B1493&lt;Settings!$C$6,B1493&gt;Settings!$C$7),"Outside period | ","")&amp;IF(COUNTIF(Settings!$E$14:$E$43,C1493&amp;"")&gt;0,"Sensitive account | ","")&amp;IF(AND(MAX(N(E1493),N(F1493))&gt;=Settings!$C$9,MOD(MAX(N(E1493),N(F1493)),Settings!$C$10)=0),"Round amount | ",""),LEN(IF(K1493="No","Does not balance | ","")&amp;IF(I1493="","Not approved | ",IF(UPPER(TRIM(H1493))=UPPER(TRIM(I1493)),"Self-approved | ",""))&amp;IF(J1493="","No support | ","")&amp;IF(WEEKDAY(B1493,2)&gt;5,"Weekend posting | ","")&amp;IF(COUNTIF(Settings!$A$14:$A$43,B1493)&gt;0,"Holiday posting | ","")&amp;IF(B1493&gt;Settings!$C$8,"Posted after close | ","")&amp;IF(OR(B1493&lt;Settings!$C$6,B1493&gt;Settings!$C$7),"Outside period | ","")&amp;IF(COUNTIF(Settings!$E$14:$E$43,C1493&amp;"")&gt;0,"Sensitive account | ","")&amp;IF(AND(MAX(N(E1493),N(F1493))&gt;=Settings!$C$9,MOD(MAX(N(E1493),N(F1493)),Settings!$C$10)=0),"Round amount | ",""))-3)))</f>
        <v/>
      </c>
      <c r="M1493" s="21" t="str">
        <f aca="false">IF(A1493="","",IF(COUNTIF($A$9:A1493,A1493)=1,MAX($M$8:M1492)+1,""))</f>
        <v/>
      </c>
    </row>
    <row r="1494" customFormat="false" ht="15" hidden="false" customHeight="false" outlineLevel="0" collapsed="false">
      <c r="A1494" s="8"/>
      <c r="B1494" s="17"/>
      <c r="C1494" s="19"/>
      <c r="D1494" s="8"/>
      <c r="E1494" s="18"/>
      <c r="F1494" s="18"/>
      <c r="G1494" s="8"/>
      <c r="H1494" s="8"/>
      <c r="I1494" s="8"/>
      <c r="J1494" s="8"/>
      <c r="K1494" s="10" t="str">
        <f aca="false">IF(A1494="","",IF(ABS(SUMIFS($E$9:$E$2008,$A$9:$A$2008,A1494)-SUMIFS($F$9:$F$2008,$A$9:$A$2008,A1494))&lt;0.5,"Yes","No"))</f>
        <v/>
      </c>
      <c r="L1494" s="10" t="str">
        <f aca="false">IF(A1494="","",IF(IF(K1494="No","Does not balance | ","")&amp;IF(I1494="","Not approved | ",IF(UPPER(TRIM(H1494))=UPPER(TRIM(I1494)),"Self-approved | ",""))&amp;IF(J1494="","No support | ","")&amp;IF(WEEKDAY(B1494,2)&gt;5,"Weekend posting | ","")&amp;IF(COUNTIF(Settings!$A$14:$A$43,B1494)&gt;0,"Holiday posting | ","")&amp;IF(B1494&gt;Settings!$C$8,"Posted after close | ","")&amp;IF(OR(B1494&lt;Settings!$C$6,B1494&gt;Settings!$C$7),"Outside period | ","")&amp;IF(COUNTIF(Settings!$E$14:$E$43,C1494&amp;"")&gt;0,"Sensitive account | ","")&amp;IF(AND(MAX(N(E1494),N(F1494))&gt;=Settings!$C$9,MOD(MAX(N(E1494),N(F1494)),Settings!$C$10)=0),"Round amount | ","")="","",LEFT(IF(K1494="No","Does not balance | ","")&amp;IF(I1494="","Not approved | ",IF(UPPER(TRIM(H1494))=UPPER(TRIM(I1494)),"Self-approved | ",""))&amp;IF(J1494="","No support | ","")&amp;IF(WEEKDAY(B1494,2)&gt;5,"Weekend posting | ","")&amp;IF(COUNTIF(Settings!$A$14:$A$43,B1494)&gt;0,"Holiday posting | ","")&amp;IF(B1494&gt;Settings!$C$8,"Posted after close | ","")&amp;IF(OR(B1494&lt;Settings!$C$6,B1494&gt;Settings!$C$7),"Outside period | ","")&amp;IF(COUNTIF(Settings!$E$14:$E$43,C1494&amp;"")&gt;0,"Sensitive account | ","")&amp;IF(AND(MAX(N(E1494),N(F1494))&gt;=Settings!$C$9,MOD(MAX(N(E1494),N(F1494)),Settings!$C$10)=0),"Round amount | ",""),LEN(IF(K1494="No","Does not balance | ","")&amp;IF(I1494="","Not approved | ",IF(UPPER(TRIM(H1494))=UPPER(TRIM(I1494)),"Self-approved | ",""))&amp;IF(J1494="","No support | ","")&amp;IF(WEEKDAY(B1494,2)&gt;5,"Weekend posting | ","")&amp;IF(COUNTIF(Settings!$A$14:$A$43,B1494)&gt;0,"Holiday posting | ","")&amp;IF(B1494&gt;Settings!$C$8,"Posted after close | ","")&amp;IF(OR(B1494&lt;Settings!$C$6,B1494&gt;Settings!$C$7),"Outside period | ","")&amp;IF(COUNTIF(Settings!$E$14:$E$43,C1494&amp;"")&gt;0,"Sensitive account | ","")&amp;IF(AND(MAX(N(E1494),N(F1494))&gt;=Settings!$C$9,MOD(MAX(N(E1494),N(F1494)),Settings!$C$10)=0),"Round amount | ",""))-3)))</f>
        <v/>
      </c>
      <c r="M1494" s="21" t="str">
        <f aca="false">IF(A1494="","",IF(COUNTIF($A$9:A1494,A1494)=1,MAX($M$8:M1493)+1,""))</f>
        <v/>
      </c>
    </row>
    <row r="1495" customFormat="false" ht="15" hidden="false" customHeight="false" outlineLevel="0" collapsed="false">
      <c r="A1495" s="8"/>
      <c r="B1495" s="17"/>
      <c r="C1495" s="19"/>
      <c r="D1495" s="8"/>
      <c r="E1495" s="18"/>
      <c r="F1495" s="18"/>
      <c r="G1495" s="8"/>
      <c r="H1495" s="8"/>
      <c r="I1495" s="8"/>
      <c r="J1495" s="8"/>
      <c r="K1495" s="10" t="str">
        <f aca="false">IF(A1495="","",IF(ABS(SUMIFS($E$9:$E$2008,$A$9:$A$2008,A1495)-SUMIFS($F$9:$F$2008,$A$9:$A$2008,A1495))&lt;0.5,"Yes","No"))</f>
        <v/>
      </c>
      <c r="L1495" s="10" t="str">
        <f aca="false">IF(A1495="","",IF(IF(K1495="No","Does not balance | ","")&amp;IF(I1495="","Not approved | ",IF(UPPER(TRIM(H1495))=UPPER(TRIM(I1495)),"Self-approved | ",""))&amp;IF(J1495="","No support | ","")&amp;IF(WEEKDAY(B1495,2)&gt;5,"Weekend posting | ","")&amp;IF(COUNTIF(Settings!$A$14:$A$43,B1495)&gt;0,"Holiday posting | ","")&amp;IF(B1495&gt;Settings!$C$8,"Posted after close | ","")&amp;IF(OR(B1495&lt;Settings!$C$6,B1495&gt;Settings!$C$7),"Outside period | ","")&amp;IF(COUNTIF(Settings!$E$14:$E$43,C1495&amp;"")&gt;0,"Sensitive account | ","")&amp;IF(AND(MAX(N(E1495),N(F1495))&gt;=Settings!$C$9,MOD(MAX(N(E1495),N(F1495)),Settings!$C$10)=0),"Round amount | ","")="","",LEFT(IF(K1495="No","Does not balance | ","")&amp;IF(I1495="","Not approved | ",IF(UPPER(TRIM(H1495))=UPPER(TRIM(I1495)),"Self-approved | ",""))&amp;IF(J1495="","No support | ","")&amp;IF(WEEKDAY(B1495,2)&gt;5,"Weekend posting | ","")&amp;IF(COUNTIF(Settings!$A$14:$A$43,B1495)&gt;0,"Holiday posting | ","")&amp;IF(B1495&gt;Settings!$C$8,"Posted after close | ","")&amp;IF(OR(B1495&lt;Settings!$C$6,B1495&gt;Settings!$C$7),"Outside period | ","")&amp;IF(COUNTIF(Settings!$E$14:$E$43,C1495&amp;"")&gt;0,"Sensitive account | ","")&amp;IF(AND(MAX(N(E1495),N(F1495))&gt;=Settings!$C$9,MOD(MAX(N(E1495),N(F1495)),Settings!$C$10)=0),"Round amount | ",""),LEN(IF(K1495="No","Does not balance | ","")&amp;IF(I1495="","Not approved | ",IF(UPPER(TRIM(H1495))=UPPER(TRIM(I1495)),"Self-approved | ",""))&amp;IF(J1495="","No support | ","")&amp;IF(WEEKDAY(B1495,2)&gt;5,"Weekend posting | ","")&amp;IF(COUNTIF(Settings!$A$14:$A$43,B1495)&gt;0,"Holiday posting | ","")&amp;IF(B1495&gt;Settings!$C$8,"Posted after close | ","")&amp;IF(OR(B1495&lt;Settings!$C$6,B1495&gt;Settings!$C$7),"Outside period | ","")&amp;IF(COUNTIF(Settings!$E$14:$E$43,C1495&amp;"")&gt;0,"Sensitive account | ","")&amp;IF(AND(MAX(N(E1495),N(F1495))&gt;=Settings!$C$9,MOD(MAX(N(E1495),N(F1495)),Settings!$C$10)=0),"Round amount | ",""))-3)))</f>
        <v/>
      </c>
      <c r="M1495" s="21" t="str">
        <f aca="false">IF(A1495="","",IF(COUNTIF($A$9:A1495,A1495)=1,MAX($M$8:M1494)+1,""))</f>
        <v/>
      </c>
    </row>
    <row r="1496" customFormat="false" ht="15" hidden="false" customHeight="false" outlineLevel="0" collapsed="false">
      <c r="A1496" s="8"/>
      <c r="B1496" s="17"/>
      <c r="C1496" s="19"/>
      <c r="D1496" s="8"/>
      <c r="E1496" s="18"/>
      <c r="F1496" s="18"/>
      <c r="G1496" s="8"/>
      <c r="H1496" s="8"/>
      <c r="I1496" s="8"/>
      <c r="J1496" s="8"/>
      <c r="K1496" s="10" t="str">
        <f aca="false">IF(A1496="","",IF(ABS(SUMIFS($E$9:$E$2008,$A$9:$A$2008,A1496)-SUMIFS($F$9:$F$2008,$A$9:$A$2008,A1496))&lt;0.5,"Yes","No"))</f>
        <v/>
      </c>
      <c r="L1496" s="10" t="str">
        <f aca="false">IF(A1496="","",IF(IF(K1496="No","Does not balance | ","")&amp;IF(I1496="","Not approved | ",IF(UPPER(TRIM(H1496))=UPPER(TRIM(I1496)),"Self-approved | ",""))&amp;IF(J1496="","No support | ","")&amp;IF(WEEKDAY(B1496,2)&gt;5,"Weekend posting | ","")&amp;IF(COUNTIF(Settings!$A$14:$A$43,B1496)&gt;0,"Holiday posting | ","")&amp;IF(B1496&gt;Settings!$C$8,"Posted after close | ","")&amp;IF(OR(B1496&lt;Settings!$C$6,B1496&gt;Settings!$C$7),"Outside period | ","")&amp;IF(COUNTIF(Settings!$E$14:$E$43,C1496&amp;"")&gt;0,"Sensitive account | ","")&amp;IF(AND(MAX(N(E1496),N(F1496))&gt;=Settings!$C$9,MOD(MAX(N(E1496),N(F1496)),Settings!$C$10)=0),"Round amount | ","")="","",LEFT(IF(K1496="No","Does not balance | ","")&amp;IF(I1496="","Not approved | ",IF(UPPER(TRIM(H1496))=UPPER(TRIM(I1496)),"Self-approved | ",""))&amp;IF(J1496="","No support | ","")&amp;IF(WEEKDAY(B1496,2)&gt;5,"Weekend posting | ","")&amp;IF(COUNTIF(Settings!$A$14:$A$43,B1496)&gt;0,"Holiday posting | ","")&amp;IF(B1496&gt;Settings!$C$8,"Posted after close | ","")&amp;IF(OR(B1496&lt;Settings!$C$6,B1496&gt;Settings!$C$7),"Outside period | ","")&amp;IF(COUNTIF(Settings!$E$14:$E$43,C1496&amp;"")&gt;0,"Sensitive account | ","")&amp;IF(AND(MAX(N(E1496),N(F1496))&gt;=Settings!$C$9,MOD(MAX(N(E1496),N(F1496)),Settings!$C$10)=0),"Round amount | ",""),LEN(IF(K1496="No","Does not balance | ","")&amp;IF(I1496="","Not approved | ",IF(UPPER(TRIM(H1496))=UPPER(TRIM(I1496)),"Self-approved | ",""))&amp;IF(J1496="","No support | ","")&amp;IF(WEEKDAY(B1496,2)&gt;5,"Weekend posting | ","")&amp;IF(COUNTIF(Settings!$A$14:$A$43,B1496)&gt;0,"Holiday posting | ","")&amp;IF(B1496&gt;Settings!$C$8,"Posted after close | ","")&amp;IF(OR(B1496&lt;Settings!$C$6,B1496&gt;Settings!$C$7),"Outside period | ","")&amp;IF(COUNTIF(Settings!$E$14:$E$43,C1496&amp;"")&gt;0,"Sensitive account | ","")&amp;IF(AND(MAX(N(E1496),N(F1496))&gt;=Settings!$C$9,MOD(MAX(N(E1496),N(F1496)),Settings!$C$10)=0),"Round amount | ",""))-3)))</f>
        <v/>
      </c>
      <c r="M1496" s="21" t="str">
        <f aca="false">IF(A1496="","",IF(COUNTIF($A$9:A1496,A1496)=1,MAX($M$8:M1495)+1,""))</f>
        <v/>
      </c>
    </row>
    <row r="1497" customFormat="false" ht="15" hidden="false" customHeight="false" outlineLevel="0" collapsed="false">
      <c r="A1497" s="8"/>
      <c r="B1497" s="17"/>
      <c r="C1497" s="19"/>
      <c r="D1497" s="8"/>
      <c r="E1497" s="18"/>
      <c r="F1497" s="18"/>
      <c r="G1497" s="8"/>
      <c r="H1497" s="8"/>
      <c r="I1497" s="8"/>
      <c r="J1497" s="8"/>
      <c r="K1497" s="10" t="str">
        <f aca="false">IF(A1497="","",IF(ABS(SUMIFS($E$9:$E$2008,$A$9:$A$2008,A1497)-SUMIFS($F$9:$F$2008,$A$9:$A$2008,A1497))&lt;0.5,"Yes","No"))</f>
        <v/>
      </c>
      <c r="L1497" s="10" t="str">
        <f aca="false">IF(A1497="","",IF(IF(K1497="No","Does not balance | ","")&amp;IF(I1497="","Not approved | ",IF(UPPER(TRIM(H1497))=UPPER(TRIM(I1497)),"Self-approved | ",""))&amp;IF(J1497="","No support | ","")&amp;IF(WEEKDAY(B1497,2)&gt;5,"Weekend posting | ","")&amp;IF(COUNTIF(Settings!$A$14:$A$43,B1497)&gt;0,"Holiday posting | ","")&amp;IF(B1497&gt;Settings!$C$8,"Posted after close | ","")&amp;IF(OR(B1497&lt;Settings!$C$6,B1497&gt;Settings!$C$7),"Outside period | ","")&amp;IF(COUNTIF(Settings!$E$14:$E$43,C1497&amp;"")&gt;0,"Sensitive account | ","")&amp;IF(AND(MAX(N(E1497),N(F1497))&gt;=Settings!$C$9,MOD(MAX(N(E1497),N(F1497)),Settings!$C$10)=0),"Round amount | ","")="","",LEFT(IF(K1497="No","Does not balance | ","")&amp;IF(I1497="","Not approved | ",IF(UPPER(TRIM(H1497))=UPPER(TRIM(I1497)),"Self-approved | ",""))&amp;IF(J1497="","No support | ","")&amp;IF(WEEKDAY(B1497,2)&gt;5,"Weekend posting | ","")&amp;IF(COUNTIF(Settings!$A$14:$A$43,B1497)&gt;0,"Holiday posting | ","")&amp;IF(B1497&gt;Settings!$C$8,"Posted after close | ","")&amp;IF(OR(B1497&lt;Settings!$C$6,B1497&gt;Settings!$C$7),"Outside period | ","")&amp;IF(COUNTIF(Settings!$E$14:$E$43,C1497&amp;"")&gt;0,"Sensitive account | ","")&amp;IF(AND(MAX(N(E1497),N(F1497))&gt;=Settings!$C$9,MOD(MAX(N(E1497),N(F1497)),Settings!$C$10)=0),"Round amount | ",""),LEN(IF(K1497="No","Does not balance | ","")&amp;IF(I1497="","Not approved | ",IF(UPPER(TRIM(H1497))=UPPER(TRIM(I1497)),"Self-approved | ",""))&amp;IF(J1497="","No support | ","")&amp;IF(WEEKDAY(B1497,2)&gt;5,"Weekend posting | ","")&amp;IF(COUNTIF(Settings!$A$14:$A$43,B1497)&gt;0,"Holiday posting | ","")&amp;IF(B1497&gt;Settings!$C$8,"Posted after close | ","")&amp;IF(OR(B1497&lt;Settings!$C$6,B1497&gt;Settings!$C$7),"Outside period | ","")&amp;IF(COUNTIF(Settings!$E$14:$E$43,C1497&amp;"")&gt;0,"Sensitive account | ","")&amp;IF(AND(MAX(N(E1497),N(F1497))&gt;=Settings!$C$9,MOD(MAX(N(E1497),N(F1497)),Settings!$C$10)=0),"Round amount | ",""))-3)))</f>
        <v/>
      </c>
      <c r="M1497" s="21" t="str">
        <f aca="false">IF(A1497="","",IF(COUNTIF($A$9:A1497,A1497)=1,MAX($M$8:M1496)+1,""))</f>
        <v/>
      </c>
    </row>
    <row r="1498" customFormat="false" ht="15" hidden="false" customHeight="false" outlineLevel="0" collapsed="false">
      <c r="A1498" s="8"/>
      <c r="B1498" s="17"/>
      <c r="C1498" s="19"/>
      <c r="D1498" s="8"/>
      <c r="E1498" s="18"/>
      <c r="F1498" s="18"/>
      <c r="G1498" s="8"/>
      <c r="H1498" s="8"/>
      <c r="I1498" s="8"/>
      <c r="J1498" s="8"/>
      <c r="K1498" s="10" t="str">
        <f aca="false">IF(A1498="","",IF(ABS(SUMIFS($E$9:$E$2008,$A$9:$A$2008,A1498)-SUMIFS($F$9:$F$2008,$A$9:$A$2008,A1498))&lt;0.5,"Yes","No"))</f>
        <v/>
      </c>
      <c r="L1498" s="10" t="str">
        <f aca="false">IF(A1498="","",IF(IF(K1498="No","Does not balance | ","")&amp;IF(I1498="","Not approved | ",IF(UPPER(TRIM(H1498))=UPPER(TRIM(I1498)),"Self-approved | ",""))&amp;IF(J1498="","No support | ","")&amp;IF(WEEKDAY(B1498,2)&gt;5,"Weekend posting | ","")&amp;IF(COUNTIF(Settings!$A$14:$A$43,B1498)&gt;0,"Holiday posting | ","")&amp;IF(B1498&gt;Settings!$C$8,"Posted after close | ","")&amp;IF(OR(B1498&lt;Settings!$C$6,B1498&gt;Settings!$C$7),"Outside period | ","")&amp;IF(COUNTIF(Settings!$E$14:$E$43,C1498&amp;"")&gt;0,"Sensitive account | ","")&amp;IF(AND(MAX(N(E1498),N(F1498))&gt;=Settings!$C$9,MOD(MAX(N(E1498),N(F1498)),Settings!$C$10)=0),"Round amount | ","")="","",LEFT(IF(K1498="No","Does not balance | ","")&amp;IF(I1498="","Not approved | ",IF(UPPER(TRIM(H1498))=UPPER(TRIM(I1498)),"Self-approved | ",""))&amp;IF(J1498="","No support | ","")&amp;IF(WEEKDAY(B1498,2)&gt;5,"Weekend posting | ","")&amp;IF(COUNTIF(Settings!$A$14:$A$43,B1498)&gt;0,"Holiday posting | ","")&amp;IF(B1498&gt;Settings!$C$8,"Posted after close | ","")&amp;IF(OR(B1498&lt;Settings!$C$6,B1498&gt;Settings!$C$7),"Outside period | ","")&amp;IF(COUNTIF(Settings!$E$14:$E$43,C1498&amp;"")&gt;0,"Sensitive account | ","")&amp;IF(AND(MAX(N(E1498),N(F1498))&gt;=Settings!$C$9,MOD(MAX(N(E1498),N(F1498)),Settings!$C$10)=0),"Round amount | ",""),LEN(IF(K1498="No","Does not balance | ","")&amp;IF(I1498="","Not approved | ",IF(UPPER(TRIM(H1498))=UPPER(TRIM(I1498)),"Self-approved | ",""))&amp;IF(J1498="","No support | ","")&amp;IF(WEEKDAY(B1498,2)&gt;5,"Weekend posting | ","")&amp;IF(COUNTIF(Settings!$A$14:$A$43,B1498)&gt;0,"Holiday posting | ","")&amp;IF(B1498&gt;Settings!$C$8,"Posted after close | ","")&amp;IF(OR(B1498&lt;Settings!$C$6,B1498&gt;Settings!$C$7),"Outside period | ","")&amp;IF(COUNTIF(Settings!$E$14:$E$43,C1498&amp;"")&gt;0,"Sensitive account | ","")&amp;IF(AND(MAX(N(E1498),N(F1498))&gt;=Settings!$C$9,MOD(MAX(N(E1498),N(F1498)),Settings!$C$10)=0),"Round amount | ",""))-3)))</f>
        <v/>
      </c>
      <c r="M1498" s="21" t="str">
        <f aca="false">IF(A1498="","",IF(COUNTIF($A$9:A1498,A1498)=1,MAX($M$8:M1497)+1,""))</f>
        <v/>
      </c>
    </row>
    <row r="1499" customFormat="false" ht="15" hidden="false" customHeight="false" outlineLevel="0" collapsed="false">
      <c r="A1499" s="8"/>
      <c r="B1499" s="17"/>
      <c r="C1499" s="19"/>
      <c r="D1499" s="8"/>
      <c r="E1499" s="18"/>
      <c r="F1499" s="18"/>
      <c r="G1499" s="8"/>
      <c r="H1499" s="8"/>
      <c r="I1499" s="8"/>
      <c r="J1499" s="8"/>
      <c r="K1499" s="10" t="str">
        <f aca="false">IF(A1499="","",IF(ABS(SUMIFS($E$9:$E$2008,$A$9:$A$2008,A1499)-SUMIFS($F$9:$F$2008,$A$9:$A$2008,A1499))&lt;0.5,"Yes","No"))</f>
        <v/>
      </c>
      <c r="L1499" s="10" t="str">
        <f aca="false">IF(A1499="","",IF(IF(K1499="No","Does not balance | ","")&amp;IF(I1499="","Not approved | ",IF(UPPER(TRIM(H1499))=UPPER(TRIM(I1499)),"Self-approved | ",""))&amp;IF(J1499="","No support | ","")&amp;IF(WEEKDAY(B1499,2)&gt;5,"Weekend posting | ","")&amp;IF(COUNTIF(Settings!$A$14:$A$43,B1499)&gt;0,"Holiday posting | ","")&amp;IF(B1499&gt;Settings!$C$8,"Posted after close | ","")&amp;IF(OR(B1499&lt;Settings!$C$6,B1499&gt;Settings!$C$7),"Outside period | ","")&amp;IF(COUNTIF(Settings!$E$14:$E$43,C1499&amp;"")&gt;0,"Sensitive account | ","")&amp;IF(AND(MAX(N(E1499),N(F1499))&gt;=Settings!$C$9,MOD(MAX(N(E1499),N(F1499)),Settings!$C$10)=0),"Round amount | ","")="","",LEFT(IF(K1499="No","Does not balance | ","")&amp;IF(I1499="","Not approved | ",IF(UPPER(TRIM(H1499))=UPPER(TRIM(I1499)),"Self-approved | ",""))&amp;IF(J1499="","No support | ","")&amp;IF(WEEKDAY(B1499,2)&gt;5,"Weekend posting | ","")&amp;IF(COUNTIF(Settings!$A$14:$A$43,B1499)&gt;0,"Holiday posting | ","")&amp;IF(B1499&gt;Settings!$C$8,"Posted after close | ","")&amp;IF(OR(B1499&lt;Settings!$C$6,B1499&gt;Settings!$C$7),"Outside period | ","")&amp;IF(COUNTIF(Settings!$E$14:$E$43,C1499&amp;"")&gt;0,"Sensitive account | ","")&amp;IF(AND(MAX(N(E1499),N(F1499))&gt;=Settings!$C$9,MOD(MAX(N(E1499),N(F1499)),Settings!$C$10)=0),"Round amount | ",""),LEN(IF(K1499="No","Does not balance | ","")&amp;IF(I1499="","Not approved | ",IF(UPPER(TRIM(H1499))=UPPER(TRIM(I1499)),"Self-approved | ",""))&amp;IF(J1499="","No support | ","")&amp;IF(WEEKDAY(B1499,2)&gt;5,"Weekend posting | ","")&amp;IF(COUNTIF(Settings!$A$14:$A$43,B1499)&gt;0,"Holiday posting | ","")&amp;IF(B1499&gt;Settings!$C$8,"Posted after close | ","")&amp;IF(OR(B1499&lt;Settings!$C$6,B1499&gt;Settings!$C$7),"Outside period | ","")&amp;IF(COUNTIF(Settings!$E$14:$E$43,C1499&amp;"")&gt;0,"Sensitive account | ","")&amp;IF(AND(MAX(N(E1499),N(F1499))&gt;=Settings!$C$9,MOD(MAX(N(E1499),N(F1499)),Settings!$C$10)=0),"Round amount | ",""))-3)))</f>
        <v/>
      </c>
      <c r="M1499" s="21" t="str">
        <f aca="false">IF(A1499="","",IF(COUNTIF($A$9:A1499,A1499)=1,MAX($M$8:M1498)+1,""))</f>
        <v/>
      </c>
    </row>
    <row r="1500" customFormat="false" ht="15" hidden="false" customHeight="false" outlineLevel="0" collapsed="false">
      <c r="A1500" s="8"/>
      <c r="B1500" s="17"/>
      <c r="C1500" s="19"/>
      <c r="D1500" s="8"/>
      <c r="E1500" s="18"/>
      <c r="F1500" s="18"/>
      <c r="G1500" s="8"/>
      <c r="H1500" s="8"/>
      <c r="I1500" s="8"/>
      <c r="J1500" s="8"/>
      <c r="K1500" s="10" t="str">
        <f aca="false">IF(A1500="","",IF(ABS(SUMIFS($E$9:$E$2008,$A$9:$A$2008,A1500)-SUMIFS($F$9:$F$2008,$A$9:$A$2008,A1500))&lt;0.5,"Yes","No"))</f>
        <v/>
      </c>
      <c r="L1500" s="10" t="str">
        <f aca="false">IF(A1500="","",IF(IF(K1500="No","Does not balance | ","")&amp;IF(I1500="","Not approved | ",IF(UPPER(TRIM(H1500))=UPPER(TRIM(I1500)),"Self-approved | ",""))&amp;IF(J1500="","No support | ","")&amp;IF(WEEKDAY(B1500,2)&gt;5,"Weekend posting | ","")&amp;IF(COUNTIF(Settings!$A$14:$A$43,B1500)&gt;0,"Holiday posting | ","")&amp;IF(B1500&gt;Settings!$C$8,"Posted after close | ","")&amp;IF(OR(B1500&lt;Settings!$C$6,B1500&gt;Settings!$C$7),"Outside period | ","")&amp;IF(COUNTIF(Settings!$E$14:$E$43,C1500&amp;"")&gt;0,"Sensitive account | ","")&amp;IF(AND(MAX(N(E1500),N(F1500))&gt;=Settings!$C$9,MOD(MAX(N(E1500),N(F1500)),Settings!$C$10)=0),"Round amount | ","")="","",LEFT(IF(K1500="No","Does not balance | ","")&amp;IF(I1500="","Not approved | ",IF(UPPER(TRIM(H1500))=UPPER(TRIM(I1500)),"Self-approved | ",""))&amp;IF(J1500="","No support | ","")&amp;IF(WEEKDAY(B1500,2)&gt;5,"Weekend posting | ","")&amp;IF(COUNTIF(Settings!$A$14:$A$43,B1500)&gt;0,"Holiday posting | ","")&amp;IF(B1500&gt;Settings!$C$8,"Posted after close | ","")&amp;IF(OR(B1500&lt;Settings!$C$6,B1500&gt;Settings!$C$7),"Outside period | ","")&amp;IF(COUNTIF(Settings!$E$14:$E$43,C1500&amp;"")&gt;0,"Sensitive account | ","")&amp;IF(AND(MAX(N(E1500),N(F1500))&gt;=Settings!$C$9,MOD(MAX(N(E1500),N(F1500)),Settings!$C$10)=0),"Round amount | ",""),LEN(IF(K1500="No","Does not balance | ","")&amp;IF(I1500="","Not approved | ",IF(UPPER(TRIM(H1500))=UPPER(TRIM(I1500)),"Self-approved | ",""))&amp;IF(J1500="","No support | ","")&amp;IF(WEEKDAY(B1500,2)&gt;5,"Weekend posting | ","")&amp;IF(COUNTIF(Settings!$A$14:$A$43,B1500)&gt;0,"Holiday posting | ","")&amp;IF(B1500&gt;Settings!$C$8,"Posted after close | ","")&amp;IF(OR(B1500&lt;Settings!$C$6,B1500&gt;Settings!$C$7),"Outside period | ","")&amp;IF(COUNTIF(Settings!$E$14:$E$43,C1500&amp;"")&gt;0,"Sensitive account | ","")&amp;IF(AND(MAX(N(E1500),N(F1500))&gt;=Settings!$C$9,MOD(MAX(N(E1500),N(F1500)),Settings!$C$10)=0),"Round amount | ",""))-3)))</f>
        <v/>
      </c>
      <c r="M1500" s="21" t="str">
        <f aca="false">IF(A1500="","",IF(COUNTIF($A$9:A1500,A1500)=1,MAX($M$8:M1499)+1,""))</f>
        <v/>
      </c>
    </row>
    <row r="1501" customFormat="false" ht="15" hidden="false" customHeight="false" outlineLevel="0" collapsed="false">
      <c r="A1501" s="8"/>
      <c r="B1501" s="17"/>
      <c r="C1501" s="19"/>
      <c r="D1501" s="8"/>
      <c r="E1501" s="18"/>
      <c r="F1501" s="18"/>
      <c r="G1501" s="8"/>
      <c r="H1501" s="8"/>
      <c r="I1501" s="8"/>
      <c r="J1501" s="8"/>
      <c r="K1501" s="10" t="str">
        <f aca="false">IF(A1501="","",IF(ABS(SUMIFS($E$9:$E$2008,$A$9:$A$2008,A1501)-SUMIFS($F$9:$F$2008,$A$9:$A$2008,A1501))&lt;0.5,"Yes","No"))</f>
        <v/>
      </c>
      <c r="L1501" s="10" t="str">
        <f aca="false">IF(A1501="","",IF(IF(K1501="No","Does not balance | ","")&amp;IF(I1501="","Not approved | ",IF(UPPER(TRIM(H1501))=UPPER(TRIM(I1501)),"Self-approved | ",""))&amp;IF(J1501="","No support | ","")&amp;IF(WEEKDAY(B1501,2)&gt;5,"Weekend posting | ","")&amp;IF(COUNTIF(Settings!$A$14:$A$43,B1501)&gt;0,"Holiday posting | ","")&amp;IF(B1501&gt;Settings!$C$8,"Posted after close | ","")&amp;IF(OR(B1501&lt;Settings!$C$6,B1501&gt;Settings!$C$7),"Outside period | ","")&amp;IF(COUNTIF(Settings!$E$14:$E$43,C1501&amp;"")&gt;0,"Sensitive account | ","")&amp;IF(AND(MAX(N(E1501),N(F1501))&gt;=Settings!$C$9,MOD(MAX(N(E1501),N(F1501)),Settings!$C$10)=0),"Round amount | ","")="","",LEFT(IF(K1501="No","Does not balance | ","")&amp;IF(I1501="","Not approved | ",IF(UPPER(TRIM(H1501))=UPPER(TRIM(I1501)),"Self-approved | ",""))&amp;IF(J1501="","No support | ","")&amp;IF(WEEKDAY(B1501,2)&gt;5,"Weekend posting | ","")&amp;IF(COUNTIF(Settings!$A$14:$A$43,B1501)&gt;0,"Holiday posting | ","")&amp;IF(B1501&gt;Settings!$C$8,"Posted after close | ","")&amp;IF(OR(B1501&lt;Settings!$C$6,B1501&gt;Settings!$C$7),"Outside period | ","")&amp;IF(COUNTIF(Settings!$E$14:$E$43,C1501&amp;"")&gt;0,"Sensitive account | ","")&amp;IF(AND(MAX(N(E1501),N(F1501))&gt;=Settings!$C$9,MOD(MAX(N(E1501),N(F1501)),Settings!$C$10)=0),"Round amount | ",""),LEN(IF(K1501="No","Does not balance | ","")&amp;IF(I1501="","Not approved | ",IF(UPPER(TRIM(H1501))=UPPER(TRIM(I1501)),"Self-approved | ",""))&amp;IF(J1501="","No support | ","")&amp;IF(WEEKDAY(B1501,2)&gt;5,"Weekend posting | ","")&amp;IF(COUNTIF(Settings!$A$14:$A$43,B1501)&gt;0,"Holiday posting | ","")&amp;IF(B1501&gt;Settings!$C$8,"Posted after close | ","")&amp;IF(OR(B1501&lt;Settings!$C$6,B1501&gt;Settings!$C$7),"Outside period | ","")&amp;IF(COUNTIF(Settings!$E$14:$E$43,C1501&amp;"")&gt;0,"Sensitive account | ","")&amp;IF(AND(MAX(N(E1501),N(F1501))&gt;=Settings!$C$9,MOD(MAX(N(E1501),N(F1501)),Settings!$C$10)=0),"Round amount | ",""))-3)))</f>
        <v/>
      </c>
      <c r="M1501" s="21" t="str">
        <f aca="false">IF(A1501="","",IF(COUNTIF($A$9:A1501,A1501)=1,MAX($M$8:M1500)+1,""))</f>
        <v/>
      </c>
    </row>
    <row r="1502" customFormat="false" ht="15" hidden="false" customHeight="false" outlineLevel="0" collapsed="false">
      <c r="A1502" s="8"/>
      <c r="B1502" s="17"/>
      <c r="C1502" s="19"/>
      <c r="D1502" s="8"/>
      <c r="E1502" s="18"/>
      <c r="F1502" s="18"/>
      <c r="G1502" s="8"/>
      <c r="H1502" s="8"/>
      <c r="I1502" s="8"/>
      <c r="J1502" s="8"/>
      <c r="K1502" s="10" t="str">
        <f aca="false">IF(A1502="","",IF(ABS(SUMIFS($E$9:$E$2008,$A$9:$A$2008,A1502)-SUMIFS($F$9:$F$2008,$A$9:$A$2008,A1502))&lt;0.5,"Yes","No"))</f>
        <v/>
      </c>
      <c r="L1502" s="10" t="str">
        <f aca="false">IF(A1502="","",IF(IF(K1502="No","Does not balance | ","")&amp;IF(I1502="","Not approved | ",IF(UPPER(TRIM(H1502))=UPPER(TRIM(I1502)),"Self-approved | ",""))&amp;IF(J1502="","No support | ","")&amp;IF(WEEKDAY(B1502,2)&gt;5,"Weekend posting | ","")&amp;IF(COUNTIF(Settings!$A$14:$A$43,B1502)&gt;0,"Holiday posting | ","")&amp;IF(B1502&gt;Settings!$C$8,"Posted after close | ","")&amp;IF(OR(B1502&lt;Settings!$C$6,B1502&gt;Settings!$C$7),"Outside period | ","")&amp;IF(COUNTIF(Settings!$E$14:$E$43,C1502&amp;"")&gt;0,"Sensitive account | ","")&amp;IF(AND(MAX(N(E1502),N(F1502))&gt;=Settings!$C$9,MOD(MAX(N(E1502),N(F1502)),Settings!$C$10)=0),"Round amount | ","")="","",LEFT(IF(K1502="No","Does not balance | ","")&amp;IF(I1502="","Not approved | ",IF(UPPER(TRIM(H1502))=UPPER(TRIM(I1502)),"Self-approved | ",""))&amp;IF(J1502="","No support | ","")&amp;IF(WEEKDAY(B1502,2)&gt;5,"Weekend posting | ","")&amp;IF(COUNTIF(Settings!$A$14:$A$43,B1502)&gt;0,"Holiday posting | ","")&amp;IF(B1502&gt;Settings!$C$8,"Posted after close | ","")&amp;IF(OR(B1502&lt;Settings!$C$6,B1502&gt;Settings!$C$7),"Outside period | ","")&amp;IF(COUNTIF(Settings!$E$14:$E$43,C1502&amp;"")&gt;0,"Sensitive account | ","")&amp;IF(AND(MAX(N(E1502),N(F1502))&gt;=Settings!$C$9,MOD(MAX(N(E1502),N(F1502)),Settings!$C$10)=0),"Round amount | ",""),LEN(IF(K1502="No","Does not balance | ","")&amp;IF(I1502="","Not approved | ",IF(UPPER(TRIM(H1502))=UPPER(TRIM(I1502)),"Self-approved | ",""))&amp;IF(J1502="","No support | ","")&amp;IF(WEEKDAY(B1502,2)&gt;5,"Weekend posting | ","")&amp;IF(COUNTIF(Settings!$A$14:$A$43,B1502)&gt;0,"Holiday posting | ","")&amp;IF(B1502&gt;Settings!$C$8,"Posted after close | ","")&amp;IF(OR(B1502&lt;Settings!$C$6,B1502&gt;Settings!$C$7),"Outside period | ","")&amp;IF(COUNTIF(Settings!$E$14:$E$43,C1502&amp;"")&gt;0,"Sensitive account | ","")&amp;IF(AND(MAX(N(E1502),N(F1502))&gt;=Settings!$C$9,MOD(MAX(N(E1502),N(F1502)),Settings!$C$10)=0),"Round amount | ",""))-3)))</f>
        <v/>
      </c>
      <c r="M1502" s="21" t="str">
        <f aca="false">IF(A1502="","",IF(COUNTIF($A$9:A1502,A1502)=1,MAX($M$8:M1501)+1,""))</f>
        <v/>
      </c>
    </row>
    <row r="1503" customFormat="false" ht="15" hidden="false" customHeight="false" outlineLevel="0" collapsed="false">
      <c r="A1503" s="8"/>
      <c r="B1503" s="17"/>
      <c r="C1503" s="19"/>
      <c r="D1503" s="8"/>
      <c r="E1503" s="18"/>
      <c r="F1503" s="18"/>
      <c r="G1503" s="8"/>
      <c r="H1503" s="8"/>
      <c r="I1503" s="8"/>
      <c r="J1503" s="8"/>
      <c r="K1503" s="10" t="str">
        <f aca="false">IF(A1503="","",IF(ABS(SUMIFS($E$9:$E$2008,$A$9:$A$2008,A1503)-SUMIFS($F$9:$F$2008,$A$9:$A$2008,A1503))&lt;0.5,"Yes","No"))</f>
        <v/>
      </c>
      <c r="L1503" s="10" t="str">
        <f aca="false">IF(A1503="","",IF(IF(K1503="No","Does not balance | ","")&amp;IF(I1503="","Not approved | ",IF(UPPER(TRIM(H1503))=UPPER(TRIM(I1503)),"Self-approved | ",""))&amp;IF(J1503="","No support | ","")&amp;IF(WEEKDAY(B1503,2)&gt;5,"Weekend posting | ","")&amp;IF(COUNTIF(Settings!$A$14:$A$43,B1503)&gt;0,"Holiday posting | ","")&amp;IF(B1503&gt;Settings!$C$8,"Posted after close | ","")&amp;IF(OR(B1503&lt;Settings!$C$6,B1503&gt;Settings!$C$7),"Outside period | ","")&amp;IF(COUNTIF(Settings!$E$14:$E$43,C1503&amp;"")&gt;0,"Sensitive account | ","")&amp;IF(AND(MAX(N(E1503),N(F1503))&gt;=Settings!$C$9,MOD(MAX(N(E1503),N(F1503)),Settings!$C$10)=0),"Round amount | ","")="","",LEFT(IF(K1503="No","Does not balance | ","")&amp;IF(I1503="","Not approved | ",IF(UPPER(TRIM(H1503))=UPPER(TRIM(I1503)),"Self-approved | ",""))&amp;IF(J1503="","No support | ","")&amp;IF(WEEKDAY(B1503,2)&gt;5,"Weekend posting | ","")&amp;IF(COUNTIF(Settings!$A$14:$A$43,B1503)&gt;0,"Holiday posting | ","")&amp;IF(B1503&gt;Settings!$C$8,"Posted after close | ","")&amp;IF(OR(B1503&lt;Settings!$C$6,B1503&gt;Settings!$C$7),"Outside period | ","")&amp;IF(COUNTIF(Settings!$E$14:$E$43,C1503&amp;"")&gt;0,"Sensitive account | ","")&amp;IF(AND(MAX(N(E1503),N(F1503))&gt;=Settings!$C$9,MOD(MAX(N(E1503),N(F1503)),Settings!$C$10)=0),"Round amount | ",""),LEN(IF(K1503="No","Does not balance | ","")&amp;IF(I1503="","Not approved | ",IF(UPPER(TRIM(H1503))=UPPER(TRIM(I1503)),"Self-approved | ",""))&amp;IF(J1503="","No support | ","")&amp;IF(WEEKDAY(B1503,2)&gt;5,"Weekend posting | ","")&amp;IF(COUNTIF(Settings!$A$14:$A$43,B1503)&gt;0,"Holiday posting | ","")&amp;IF(B1503&gt;Settings!$C$8,"Posted after close | ","")&amp;IF(OR(B1503&lt;Settings!$C$6,B1503&gt;Settings!$C$7),"Outside period | ","")&amp;IF(COUNTIF(Settings!$E$14:$E$43,C1503&amp;"")&gt;0,"Sensitive account | ","")&amp;IF(AND(MAX(N(E1503),N(F1503))&gt;=Settings!$C$9,MOD(MAX(N(E1503),N(F1503)),Settings!$C$10)=0),"Round amount | ",""))-3)))</f>
        <v/>
      </c>
      <c r="M1503" s="21" t="str">
        <f aca="false">IF(A1503="","",IF(COUNTIF($A$9:A1503,A1503)=1,MAX($M$8:M1502)+1,""))</f>
        <v/>
      </c>
    </row>
    <row r="1504" customFormat="false" ht="15" hidden="false" customHeight="false" outlineLevel="0" collapsed="false">
      <c r="A1504" s="8"/>
      <c r="B1504" s="17"/>
      <c r="C1504" s="19"/>
      <c r="D1504" s="8"/>
      <c r="E1504" s="18"/>
      <c r="F1504" s="18"/>
      <c r="G1504" s="8"/>
      <c r="H1504" s="8"/>
      <c r="I1504" s="8"/>
      <c r="J1504" s="8"/>
      <c r="K1504" s="10" t="str">
        <f aca="false">IF(A1504="","",IF(ABS(SUMIFS($E$9:$E$2008,$A$9:$A$2008,A1504)-SUMIFS($F$9:$F$2008,$A$9:$A$2008,A1504))&lt;0.5,"Yes","No"))</f>
        <v/>
      </c>
      <c r="L1504" s="10" t="str">
        <f aca="false">IF(A1504="","",IF(IF(K1504="No","Does not balance | ","")&amp;IF(I1504="","Not approved | ",IF(UPPER(TRIM(H1504))=UPPER(TRIM(I1504)),"Self-approved | ",""))&amp;IF(J1504="","No support | ","")&amp;IF(WEEKDAY(B1504,2)&gt;5,"Weekend posting | ","")&amp;IF(COUNTIF(Settings!$A$14:$A$43,B1504)&gt;0,"Holiday posting | ","")&amp;IF(B1504&gt;Settings!$C$8,"Posted after close | ","")&amp;IF(OR(B1504&lt;Settings!$C$6,B1504&gt;Settings!$C$7),"Outside period | ","")&amp;IF(COUNTIF(Settings!$E$14:$E$43,C1504&amp;"")&gt;0,"Sensitive account | ","")&amp;IF(AND(MAX(N(E1504),N(F1504))&gt;=Settings!$C$9,MOD(MAX(N(E1504),N(F1504)),Settings!$C$10)=0),"Round amount | ","")="","",LEFT(IF(K1504="No","Does not balance | ","")&amp;IF(I1504="","Not approved | ",IF(UPPER(TRIM(H1504))=UPPER(TRIM(I1504)),"Self-approved | ",""))&amp;IF(J1504="","No support | ","")&amp;IF(WEEKDAY(B1504,2)&gt;5,"Weekend posting | ","")&amp;IF(COUNTIF(Settings!$A$14:$A$43,B1504)&gt;0,"Holiday posting | ","")&amp;IF(B1504&gt;Settings!$C$8,"Posted after close | ","")&amp;IF(OR(B1504&lt;Settings!$C$6,B1504&gt;Settings!$C$7),"Outside period | ","")&amp;IF(COUNTIF(Settings!$E$14:$E$43,C1504&amp;"")&gt;0,"Sensitive account | ","")&amp;IF(AND(MAX(N(E1504),N(F1504))&gt;=Settings!$C$9,MOD(MAX(N(E1504),N(F1504)),Settings!$C$10)=0),"Round amount | ",""),LEN(IF(K1504="No","Does not balance | ","")&amp;IF(I1504="","Not approved | ",IF(UPPER(TRIM(H1504))=UPPER(TRIM(I1504)),"Self-approved | ",""))&amp;IF(J1504="","No support | ","")&amp;IF(WEEKDAY(B1504,2)&gt;5,"Weekend posting | ","")&amp;IF(COUNTIF(Settings!$A$14:$A$43,B1504)&gt;0,"Holiday posting | ","")&amp;IF(B1504&gt;Settings!$C$8,"Posted after close | ","")&amp;IF(OR(B1504&lt;Settings!$C$6,B1504&gt;Settings!$C$7),"Outside period | ","")&amp;IF(COUNTIF(Settings!$E$14:$E$43,C1504&amp;"")&gt;0,"Sensitive account | ","")&amp;IF(AND(MAX(N(E1504),N(F1504))&gt;=Settings!$C$9,MOD(MAX(N(E1504),N(F1504)),Settings!$C$10)=0),"Round amount | ",""))-3)))</f>
        <v/>
      </c>
      <c r="M1504" s="21" t="str">
        <f aca="false">IF(A1504="","",IF(COUNTIF($A$9:A1504,A1504)=1,MAX($M$8:M1503)+1,""))</f>
        <v/>
      </c>
    </row>
    <row r="1505" customFormat="false" ht="15" hidden="false" customHeight="false" outlineLevel="0" collapsed="false">
      <c r="A1505" s="8"/>
      <c r="B1505" s="17"/>
      <c r="C1505" s="19"/>
      <c r="D1505" s="8"/>
      <c r="E1505" s="18"/>
      <c r="F1505" s="18"/>
      <c r="G1505" s="8"/>
      <c r="H1505" s="8"/>
      <c r="I1505" s="8"/>
      <c r="J1505" s="8"/>
      <c r="K1505" s="10" t="str">
        <f aca="false">IF(A1505="","",IF(ABS(SUMIFS($E$9:$E$2008,$A$9:$A$2008,A1505)-SUMIFS($F$9:$F$2008,$A$9:$A$2008,A1505))&lt;0.5,"Yes","No"))</f>
        <v/>
      </c>
      <c r="L1505" s="10" t="str">
        <f aca="false">IF(A1505="","",IF(IF(K1505="No","Does not balance | ","")&amp;IF(I1505="","Not approved | ",IF(UPPER(TRIM(H1505))=UPPER(TRIM(I1505)),"Self-approved | ",""))&amp;IF(J1505="","No support | ","")&amp;IF(WEEKDAY(B1505,2)&gt;5,"Weekend posting | ","")&amp;IF(COUNTIF(Settings!$A$14:$A$43,B1505)&gt;0,"Holiday posting | ","")&amp;IF(B1505&gt;Settings!$C$8,"Posted after close | ","")&amp;IF(OR(B1505&lt;Settings!$C$6,B1505&gt;Settings!$C$7),"Outside period | ","")&amp;IF(COUNTIF(Settings!$E$14:$E$43,C1505&amp;"")&gt;0,"Sensitive account | ","")&amp;IF(AND(MAX(N(E1505),N(F1505))&gt;=Settings!$C$9,MOD(MAX(N(E1505),N(F1505)),Settings!$C$10)=0),"Round amount | ","")="","",LEFT(IF(K1505="No","Does not balance | ","")&amp;IF(I1505="","Not approved | ",IF(UPPER(TRIM(H1505))=UPPER(TRIM(I1505)),"Self-approved | ",""))&amp;IF(J1505="","No support | ","")&amp;IF(WEEKDAY(B1505,2)&gt;5,"Weekend posting | ","")&amp;IF(COUNTIF(Settings!$A$14:$A$43,B1505)&gt;0,"Holiday posting | ","")&amp;IF(B1505&gt;Settings!$C$8,"Posted after close | ","")&amp;IF(OR(B1505&lt;Settings!$C$6,B1505&gt;Settings!$C$7),"Outside period | ","")&amp;IF(COUNTIF(Settings!$E$14:$E$43,C1505&amp;"")&gt;0,"Sensitive account | ","")&amp;IF(AND(MAX(N(E1505),N(F1505))&gt;=Settings!$C$9,MOD(MAX(N(E1505),N(F1505)),Settings!$C$10)=0),"Round amount | ",""),LEN(IF(K1505="No","Does not balance | ","")&amp;IF(I1505="","Not approved | ",IF(UPPER(TRIM(H1505))=UPPER(TRIM(I1505)),"Self-approved | ",""))&amp;IF(J1505="","No support | ","")&amp;IF(WEEKDAY(B1505,2)&gt;5,"Weekend posting | ","")&amp;IF(COUNTIF(Settings!$A$14:$A$43,B1505)&gt;0,"Holiday posting | ","")&amp;IF(B1505&gt;Settings!$C$8,"Posted after close | ","")&amp;IF(OR(B1505&lt;Settings!$C$6,B1505&gt;Settings!$C$7),"Outside period | ","")&amp;IF(COUNTIF(Settings!$E$14:$E$43,C1505&amp;"")&gt;0,"Sensitive account | ","")&amp;IF(AND(MAX(N(E1505),N(F1505))&gt;=Settings!$C$9,MOD(MAX(N(E1505),N(F1505)),Settings!$C$10)=0),"Round amount | ",""))-3)))</f>
        <v/>
      </c>
      <c r="M1505" s="21" t="str">
        <f aca="false">IF(A1505="","",IF(COUNTIF($A$9:A1505,A1505)=1,MAX($M$8:M1504)+1,""))</f>
        <v/>
      </c>
    </row>
    <row r="1506" customFormat="false" ht="15" hidden="false" customHeight="false" outlineLevel="0" collapsed="false">
      <c r="A1506" s="8"/>
      <c r="B1506" s="17"/>
      <c r="C1506" s="19"/>
      <c r="D1506" s="8"/>
      <c r="E1506" s="18"/>
      <c r="F1506" s="18"/>
      <c r="G1506" s="8"/>
      <c r="H1506" s="8"/>
      <c r="I1506" s="8"/>
      <c r="J1506" s="8"/>
      <c r="K1506" s="10" t="str">
        <f aca="false">IF(A1506="","",IF(ABS(SUMIFS($E$9:$E$2008,$A$9:$A$2008,A1506)-SUMIFS($F$9:$F$2008,$A$9:$A$2008,A1506))&lt;0.5,"Yes","No"))</f>
        <v/>
      </c>
      <c r="L1506" s="10" t="str">
        <f aca="false">IF(A1506="","",IF(IF(K1506="No","Does not balance | ","")&amp;IF(I1506="","Not approved | ",IF(UPPER(TRIM(H1506))=UPPER(TRIM(I1506)),"Self-approved | ",""))&amp;IF(J1506="","No support | ","")&amp;IF(WEEKDAY(B1506,2)&gt;5,"Weekend posting | ","")&amp;IF(COUNTIF(Settings!$A$14:$A$43,B1506)&gt;0,"Holiday posting | ","")&amp;IF(B1506&gt;Settings!$C$8,"Posted after close | ","")&amp;IF(OR(B1506&lt;Settings!$C$6,B1506&gt;Settings!$C$7),"Outside period | ","")&amp;IF(COUNTIF(Settings!$E$14:$E$43,C1506&amp;"")&gt;0,"Sensitive account | ","")&amp;IF(AND(MAX(N(E1506),N(F1506))&gt;=Settings!$C$9,MOD(MAX(N(E1506),N(F1506)),Settings!$C$10)=0),"Round amount | ","")="","",LEFT(IF(K1506="No","Does not balance | ","")&amp;IF(I1506="","Not approved | ",IF(UPPER(TRIM(H1506))=UPPER(TRIM(I1506)),"Self-approved | ",""))&amp;IF(J1506="","No support | ","")&amp;IF(WEEKDAY(B1506,2)&gt;5,"Weekend posting | ","")&amp;IF(COUNTIF(Settings!$A$14:$A$43,B1506)&gt;0,"Holiday posting | ","")&amp;IF(B1506&gt;Settings!$C$8,"Posted after close | ","")&amp;IF(OR(B1506&lt;Settings!$C$6,B1506&gt;Settings!$C$7),"Outside period | ","")&amp;IF(COUNTIF(Settings!$E$14:$E$43,C1506&amp;"")&gt;0,"Sensitive account | ","")&amp;IF(AND(MAX(N(E1506),N(F1506))&gt;=Settings!$C$9,MOD(MAX(N(E1506),N(F1506)),Settings!$C$10)=0),"Round amount | ",""),LEN(IF(K1506="No","Does not balance | ","")&amp;IF(I1506="","Not approved | ",IF(UPPER(TRIM(H1506))=UPPER(TRIM(I1506)),"Self-approved | ",""))&amp;IF(J1506="","No support | ","")&amp;IF(WEEKDAY(B1506,2)&gt;5,"Weekend posting | ","")&amp;IF(COUNTIF(Settings!$A$14:$A$43,B1506)&gt;0,"Holiday posting | ","")&amp;IF(B1506&gt;Settings!$C$8,"Posted after close | ","")&amp;IF(OR(B1506&lt;Settings!$C$6,B1506&gt;Settings!$C$7),"Outside period | ","")&amp;IF(COUNTIF(Settings!$E$14:$E$43,C1506&amp;"")&gt;0,"Sensitive account | ","")&amp;IF(AND(MAX(N(E1506),N(F1506))&gt;=Settings!$C$9,MOD(MAX(N(E1506),N(F1506)),Settings!$C$10)=0),"Round amount | ",""))-3)))</f>
        <v/>
      </c>
      <c r="M1506" s="21" t="str">
        <f aca="false">IF(A1506="","",IF(COUNTIF($A$9:A1506,A1506)=1,MAX($M$8:M1505)+1,""))</f>
        <v/>
      </c>
    </row>
    <row r="1507" customFormat="false" ht="15" hidden="false" customHeight="false" outlineLevel="0" collapsed="false">
      <c r="A1507" s="8"/>
      <c r="B1507" s="17"/>
      <c r="C1507" s="19"/>
      <c r="D1507" s="8"/>
      <c r="E1507" s="18"/>
      <c r="F1507" s="18"/>
      <c r="G1507" s="8"/>
      <c r="H1507" s="8"/>
      <c r="I1507" s="8"/>
      <c r="J1507" s="8"/>
      <c r="K1507" s="10" t="str">
        <f aca="false">IF(A1507="","",IF(ABS(SUMIFS($E$9:$E$2008,$A$9:$A$2008,A1507)-SUMIFS($F$9:$F$2008,$A$9:$A$2008,A1507))&lt;0.5,"Yes","No"))</f>
        <v/>
      </c>
      <c r="L1507" s="10" t="str">
        <f aca="false">IF(A1507="","",IF(IF(K1507="No","Does not balance | ","")&amp;IF(I1507="","Not approved | ",IF(UPPER(TRIM(H1507))=UPPER(TRIM(I1507)),"Self-approved | ",""))&amp;IF(J1507="","No support | ","")&amp;IF(WEEKDAY(B1507,2)&gt;5,"Weekend posting | ","")&amp;IF(COUNTIF(Settings!$A$14:$A$43,B1507)&gt;0,"Holiday posting | ","")&amp;IF(B1507&gt;Settings!$C$8,"Posted after close | ","")&amp;IF(OR(B1507&lt;Settings!$C$6,B1507&gt;Settings!$C$7),"Outside period | ","")&amp;IF(COUNTIF(Settings!$E$14:$E$43,C1507&amp;"")&gt;0,"Sensitive account | ","")&amp;IF(AND(MAX(N(E1507),N(F1507))&gt;=Settings!$C$9,MOD(MAX(N(E1507),N(F1507)),Settings!$C$10)=0),"Round amount | ","")="","",LEFT(IF(K1507="No","Does not balance | ","")&amp;IF(I1507="","Not approved | ",IF(UPPER(TRIM(H1507))=UPPER(TRIM(I1507)),"Self-approved | ",""))&amp;IF(J1507="","No support | ","")&amp;IF(WEEKDAY(B1507,2)&gt;5,"Weekend posting | ","")&amp;IF(COUNTIF(Settings!$A$14:$A$43,B1507)&gt;0,"Holiday posting | ","")&amp;IF(B1507&gt;Settings!$C$8,"Posted after close | ","")&amp;IF(OR(B1507&lt;Settings!$C$6,B1507&gt;Settings!$C$7),"Outside period | ","")&amp;IF(COUNTIF(Settings!$E$14:$E$43,C1507&amp;"")&gt;0,"Sensitive account | ","")&amp;IF(AND(MAX(N(E1507),N(F1507))&gt;=Settings!$C$9,MOD(MAX(N(E1507),N(F1507)),Settings!$C$10)=0),"Round amount | ",""),LEN(IF(K1507="No","Does not balance | ","")&amp;IF(I1507="","Not approved | ",IF(UPPER(TRIM(H1507))=UPPER(TRIM(I1507)),"Self-approved | ",""))&amp;IF(J1507="","No support | ","")&amp;IF(WEEKDAY(B1507,2)&gt;5,"Weekend posting | ","")&amp;IF(COUNTIF(Settings!$A$14:$A$43,B1507)&gt;0,"Holiday posting | ","")&amp;IF(B1507&gt;Settings!$C$8,"Posted after close | ","")&amp;IF(OR(B1507&lt;Settings!$C$6,B1507&gt;Settings!$C$7),"Outside period | ","")&amp;IF(COUNTIF(Settings!$E$14:$E$43,C1507&amp;"")&gt;0,"Sensitive account | ","")&amp;IF(AND(MAX(N(E1507),N(F1507))&gt;=Settings!$C$9,MOD(MAX(N(E1507),N(F1507)),Settings!$C$10)=0),"Round amount | ",""))-3)))</f>
        <v/>
      </c>
      <c r="M1507" s="21" t="str">
        <f aca="false">IF(A1507="","",IF(COUNTIF($A$9:A1507,A1507)=1,MAX($M$8:M1506)+1,""))</f>
        <v/>
      </c>
    </row>
    <row r="1508" customFormat="false" ht="15" hidden="false" customHeight="false" outlineLevel="0" collapsed="false">
      <c r="A1508" s="8"/>
      <c r="B1508" s="17"/>
      <c r="C1508" s="19"/>
      <c r="D1508" s="8"/>
      <c r="E1508" s="18"/>
      <c r="F1508" s="18"/>
      <c r="G1508" s="8"/>
      <c r="H1508" s="8"/>
      <c r="I1508" s="8"/>
      <c r="J1508" s="8"/>
      <c r="K1508" s="10" t="str">
        <f aca="false">IF(A1508="","",IF(ABS(SUMIFS($E$9:$E$2008,$A$9:$A$2008,A1508)-SUMIFS($F$9:$F$2008,$A$9:$A$2008,A1508))&lt;0.5,"Yes","No"))</f>
        <v/>
      </c>
      <c r="L1508" s="10" t="str">
        <f aca="false">IF(A1508="","",IF(IF(K1508="No","Does not balance | ","")&amp;IF(I1508="","Not approved | ",IF(UPPER(TRIM(H1508))=UPPER(TRIM(I1508)),"Self-approved | ",""))&amp;IF(J1508="","No support | ","")&amp;IF(WEEKDAY(B1508,2)&gt;5,"Weekend posting | ","")&amp;IF(COUNTIF(Settings!$A$14:$A$43,B1508)&gt;0,"Holiday posting | ","")&amp;IF(B1508&gt;Settings!$C$8,"Posted after close | ","")&amp;IF(OR(B1508&lt;Settings!$C$6,B1508&gt;Settings!$C$7),"Outside period | ","")&amp;IF(COUNTIF(Settings!$E$14:$E$43,C1508&amp;"")&gt;0,"Sensitive account | ","")&amp;IF(AND(MAX(N(E1508),N(F1508))&gt;=Settings!$C$9,MOD(MAX(N(E1508),N(F1508)),Settings!$C$10)=0),"Round amount | ","")="","",LEFT(IF(K1508="No","Does not balance | ","")&amp;IF(I1508="","Not approved | ",IF(UPPER(TRIM(H1508))=UPPER(TRIM(I1508)),"Self-approved | ",""))&amp;IF(J1508="","No support | ","")&amp;IF(WEEKDAY(B1508,2)&gt;5,"Weekend posting | ","")&amp;IF(COUNTIF(Settings!$A$14:$A$43,B1508)&gt;0,"Holiday posting | ","")&amp;IF(B1508&gt;Settings!$C$8,"Posted after close | ","")&amp;IF(OR(B1508&lt;Settings!$C$6,B1508&gt;Settings!$C$7),"Outside period | ","")&amp;IF(COUNTIF(Settings!$E$14:$E$43,C1508&amp;"")&gt;0,"Sensitive account | ","")&amp;IF(AND(MAX(N(E1508),N(F1508))&gt;=Settings!$C$9,MOD(MAX(N(E1508),N(F1508)),Settings!$C$10)=0),"Round amount | ",""),LEN(IF(K1508="No","Does not balance | ","")&amp;IF(I1508="","Not approved | ",IF(UPPER(TRIM(H1508))=UPPER(TRIM(I1508)),"Self-approved | ",""))&amp;IF(J1508="","No support | ","")&amp;IF(WEEKDAY(B1508,2)&gt;5,"Weekend posting | ","")&amp;IF(COUNTIF(Settings!$A$14:$A$43,B1508)&gt;0,"Holiday posting | ","")&amp;IF(B1508&gt;Settings!$C$8,"Posted after close | ","")&amp;IF(OR(B1508&lt;Settings!$C$6,B1508&gt;Settings!$C$7),"Outside period | ","")&amp;IF(COUNTIF(Settings!$E$14:$E$43,C1508&amp;"")&gt;0,"Sensitive account | ","")&amp;IF(AND(MAX(N(E1508),N(F1508))&gt;=Settings!$C$9,MOD(MAX(N(E1508),N(F1508)),Settings!$C$10)=0),"Round amount | ",""))-3)))</f>
        <v/>
      </c>
      <c r="M1508" s="21" t="str">
        <f aca="false">IF(A1508="","",IF(COUNTIF($A$9:A1508,A1508)=1,MAX($M$8:M1507)+1,""))</f>
        <v/>
      </c>
    </row>
    <row r="1509" customFormat="false" ht="15" hidden="false" customHeight="false" outlineLevel="0" collapsed="false">
      <c r="A1509" s="8"/>
      <c r="B1509" s="17"/>
      <c r="C1509" s="19"/>
      <c r="D1509" s="8"/>
      <c r="E1509" s="18"/>
      <c r="F1509" s="18"/>
      <c r="G1509" s="8"/>
      <c r="H1509" s="8"/>
      <c r="I1509" s="8"/>
      <c r="J1509" s="8"/>
      <c r="K1509" s="10" t="str">
        <f aca="false">IF(A1509="","",IF(ABS(SUMIFS($E$9:$E$2008,$A$9:$A$2008,A1509)-SUMIFS($F$9:$F$2008,$A$9:$A$2008,A1509))&lt;0.5,"Yes","No"))</f>
        <v/>
      </c>
      <c r="L1509" s="10" t="str">
        <f aca="false">IF(A1509="","",IF(IF(K1509="No","Does not balance | ","")&amp;IF(I1509="","Not approved | ",IF(UPPER(TRIM(H1509))=UPPER(TRIM(I1509)),"Self-approved | ",""))&amp;IF(J1509="","No support | ","")&amp;IF(WEEKDAY(B1509,2)&gt;5,"Weekend posting | ","")&amp;IF(COUNTIF(Settings!$A$14:$A$43,B1509)&gt;0,"Holiday posting | ","")&amp;IF(B1509&gt;Settings!$C$8,"Posted after close | ","")&amp;IF(OR(B1509&lt;Settings!$C$6,B1509&gt;Settings!$C$7),"Outside period | ","")&amp;IF(COUNTIF(Settings!$E$14:$E$43,C1509&amp;"")&gt;0,"Sensitive account | ","")&amp;IF(AND(MAX(N(E1509),N(F1509))&gt;=Settings!$C$9,MOD(MAX(N(E1509),N(F1509)),Settings!$C$10)=0),"Round amount | ","")="","",LEFT(IF(K1509="No","Does not balance | ","")&amp;IF(I1509="","Not approved | ",IF(UPPER(TRIM(H1509))=UPPER(TRIM(I1509)),"Self-approved | ",""))&amp;IF(J1509="","No support | ","")&amp;IF(WEEKDAY(B1509,2)&gt;5,"Weekend posting | ","")&amp;IF(COUNTIF(Settings!$A$14:$A$43,B1509)&gt;0,"Holiday posting | ","")&amp;IF(B1509&gt;Settings!$C$8,"Posted after close | ","")&amp;IF(OR(B1509&lt;Settings!$C$6,B1509&gt;Settings!$C$7),"Outside period | ","")&amp;IF(COUNTIF(Settings!$E$14:$E$43,C1509&amp;"")&gt;0,"Sensitive account | ","")&amp;IF(AND(MAX(N(E1509),N(F1509))&gt;=Settings!$C$9,MOD(MAX(N(E1509),N(F1509)),Settings!$C$10)=0),"Round amount | ",""),LEN(IF(K1509="No","Does not balance | ","")&amp;IF(I1509="","Not approved | ",IF(UPPER(TRIM(H1509))=UPPER(TRIM(I1509)),"Self-approved | ",""))&amp;IF(J1509="","No support | ","")&amp;IF(WEEKDAY(B1509,2)&gt;5,"Weekend posting | ","")&amp;IF(COUNTIF(Settings!$A$14:$A$43,B1509)&gt;0,"Holiday posting | ","")&amp;IF(B1509&gt;Settings!$C$8,"Posted after close | ","")&amp;IF(OR(B1509&lt;Settings!$C$6,B1509&gt;Settings!$C$7),"Outside period | ","")&amp;IF(COUNTIF(Settings!$E$14:$E$43,C1509&amp;"")&gt;0,"Sensitive account | ","")&amp;IF(AND(MAX(N(E1509),N(F1509))&gt;=Settings!$C$9,MOD(MAX(N(E1509),N(F1509)),Settings!$C$10)=0),"Round amount | ",""))-3)))</f>
        <v/>
      </c>
      <c r="M1509" s="21" t="str">
        <f aca="false">IF(A1509="","",IF(COUNTIF($A$9:A1509,A1509)=1,MAX($M$8:M1508)+1,""))</f>
        <v/>
      </c>
    </row>
    <row r="1510" customFormat="false" ht="15" hidden="false" customHeight="false" outlineLevel="0" collapsed="false">
      <c r="A1510" s="8"/>
      <c r="B1510" s="17"/>
      <c r="C1510" s="19"/>
      <c r="D1510" s="8"/>
      <c r="E1510" s="18"/>
      <c r="F1510" s="18"/>
      <c r="G1510" s="8"/>
      <c r="H1510" s="8"/>
      <c r="I1510" s="8"/>
      <c r="J1510" s="8"/>
      <c r="K1510" s="10" t="str">
        <f aca="false">IF(A1510="","",IF(ABS(SUMIFS($E$9:$E$2008,$A$9:$A$2008,A1510)-SUMIFS($F$9:$F$2008,$A$9:$A$2008,A1510))&lt;0.5,"Yes","No"))</f>
        <v/>
      </c>
      <c r="L1510" s="10" t="str">
        <f aca="false">IF(A1510="","",IF(IF(K1510="No","Does not balance | ","")&amp;IF(I1510="","Not approved | ",IF(UPPER(TRIM(H1510))=UPPER(TRIM(I1510)),"Self-approved | ",""))&amp;IF(J1510="","No support | ","")&amp;IF(WEEKDAY(B1510,2)&gt;5,"Weekend posting | ","")&amp;IF(COUNTIF(Settings!$A$14:$A$43,B1510)&gt;0,"Holiday posting | ","")&amp;IF(B1510&gt;Settings!$C$8,"Posted after close | ","")&amp;IF(OR(B1510&lt;Settings!$C$6,B1510&gt;Settings!$C$7),"Outside period | ","")&amp;IF(COUNTIF(Settings!$E$14:$E$43,C1510&amp;"")&gt;0,"Sensitive account | ","")&amp;IF(AND(MAX(N(E1510),N(F1510))&gt;=Settings!$C$9,MOD(MAX(N(E1510),N(F1510)),Settings!$C$10)=0),"Round amount | ","")="","",LEFT(IF(K1510="No","Does not balance | ","")&amp;IF(I1510="","Not approved | ",IF(UPPER(TRIM(H1510))=UPPER(TRIM(I1510)),"Self-approved | ",""))&amp;IF(J1510="","No support | ","")&amp;IF(WEEKDAY(B1510,2)&gt;5,"Weekend posting | ","")&amp;IF(COUNTIF(Settings!$A$14:$A$43,B1510)&gt;0,"Holiday posting | ","")&amp;IF(B1510&gt;Settings!$C$8,"Posted after close | ","")&amp;IF(OR(B1510&lt;Settings!$C$6,B1510&gt;Settings!$C$7),"Outside period | ","")&amp;IF(COUNTIF(Settings!$E$14:$E$43,C1510&amp;"")&gt;0,"Sensitive account | ","")&amp;IF(AND(MAX(N(E1510),N(F1510))&gt;=Settings!$C$9,MOD(MAX(N(E1510),N(F1510)),Settings!$C$10)=0),"Round amount | ",""),LEN(IF(K1510="No","Does not balance | ","")&amp;IF(I1510="","Not approved | ",IF(UPPER(TRIM(H1510))=UPPER(TRIM(I1510)),"Self-approved | ",""))&amp;IF(J1510="","No support | ","")&amp;IF(WEEKDAY(B1510,2)&gt;5,"Weekend posting | ","")&amp;IF(COUNTIF(Settings!$A$14:$A$43,B1510)&gt;0,"Holiday posting | ","")&amp;IF(B1510&gt;Settings!$C$8,"Posted after close | ","")&amp;IF(OR(B1510&lt;Settings!$C$6,B1510&gt;Settings!$C$7),"Outside period | ","")&amp;IF(COUNTIF(Settings!$E$14:$E$43,C1510&amp;"")&gt;0,"Sensitive account | ","")&amp;IF(AND(MAX(N(E1510),N(F1510))&gt;=Settings!$C$9,MOD(MAX(N(E1510),N(F1510)),Settings!$C$10)=0),"Round amount | ",""))-3)))</f>
        <v/>
      </c>
      <c r="M1510" s="21" t="str">
        <f aca="false">IF(A1510="","",IF(COUNTIF($A$9:A1510,A1510)=1,MAX($M$8:M1509)+1,""))</f>
        <v/>
      </c>
    </row>
    <row r="1511" customFormat="false" ht="15" hidden="false" customHeight="false" outlineLevel="0" collapsed="false">
      <c r="A1511" s="8"/>
      <c r="B1511" s="17"/>
      <c r="C1511" s="19"/>
      <c r="D1511" s="8"/>
      <c r="E1511" s="18"/>
      <c r="F1511" s="18"/>
      <c r="G1511" s="8"/>
      <c r="H1511" s="8"/>
      <c r="I1511" s="8"/>
      <c r="J1511" s="8"/>
      <c r="K1511" s="10" t="str">
        <f aca="false">IF(A1511="","",IF(ABS(SUMIFS($E$9:$E$2008,$A$9:$A$2008,A1511)-SUMIFS($F$9:$F$2008,$A$9:$A$2008,A1511))&lt;0.5,"Yes","No"))</f>
        <v/>
      </c>
      <c r="L1511" s="10" t="str">
        <f aca="false">IF(A1511="","",IF(IF(K1511="No","Does not balance | ","")&amp;IF(I1511="","Not approved | ",IF(UPPER(TRIM(H1511))=UPPER(TRIM(I1511)),"Self-approved | ",""))&amp;IF(J1511="","No support | ","")&amp;IF(WEEKDAY(B1511,2)&gt;5,"Weekend posting | ","")&amp;IF(COUNTIF(Settings!$A$14:$A$43,B1511)&gt;0,"Holiday posting | ","")&amp;IF(B1511&gt;Settings!$C$8,"Posted after close | ","")&amp;IF(OR(B1511&lt;Settings!$C$6,B1511&gt;Settings!$C$7),"Outside period | ","")&amp;IF(COUNTIF(Settings!$E$14:$E$43,C1511&amp;"")&gt;0,"Sensitive account | ","")&amp;IF(AND(MAX(N(E1511),N(F1511))&gt;=Settings!$C$9,MOD(MAX(N(E1511),N(F1511)),Settings!$C$10)=0),"Round amount | ","")="","",LEFT(IF(K1511="No","Does not balance | ","")&amp;IF(I1511="","Not approved | ",IF(UPPER(TRIM(H1511))=UPPER(TRIM(I1511)),"Self-approved | ",""))&amp;IF(J1511="","No support | ","")&amp;IF(WEEKDAY(B1511,2)&gt;5,"Weekend posting | ","")&amp;IF(COUNTIF(Settings!$A$14:$A$43,B1511)&gt;0,"Holiday posting | ","")&amp;IF(B1511&gt;Settings!$C$8,"Posted after close | ","")&amp;IF(OR(B1511&lt;Settings!$C$6,B1511&gt;Settings!$C$7),"Outside period | ","")&amp;IF(COUNTIF(Settings!$E$14:$E$43,C1511&amp;"")&gt;0,"Sensitive account | ","")&amp;IF(AND(MAX(N(E1511),N(F1511))&gt;=Settings!$C$9,MOD(MAX(N(E1511),N(F1511)),Settings!$C$10)=0),"Round amount | ",""),LEN(IF(K1511="No","Does not balance | ","")&amp;IF(I1511="","Not approved | ",IF(UPPER(TRIM(H1511))=UPPER(TRIM(I1511)),"Self-approved | ",""))&amp;IF(J1511="","No support | ","")&amp;IF(WEEKDAY(B1511,2)&gt;5,"Weekend posting | ","")&amp;IF(COUNTIF(Settings!$A$14:$A$43,B1511)&gt;0,"Holiday posting | ","")&amp;IF(B1511&gt;Settings!$C$8,"Posted after close | ","")&amp;IF(OR(B1511&lt;Settings!$C$6,B1511&gt;Settings!$C$7),"Outside period | ","")&amp;IF(COUNTIF(Settings!$E$14:$E$43,C1511&amp;"")&gt;0,"Sensitive account | ","")&amp;IF(AND(MAX(N(E1511),N(F1511))&gt;=Settings!$C$9,MOD(MAX(N(E1511),N(F1511)),Settings!$C$10)=0),"Round amount | ",""))-3)))</f>
        <v/>
      </c>
      <c r="M1511" s="21" t="str">
        <f aca="false">IF(A1511="","",IF(COUNTIF($A$9:A1511,A1511)=1,MAX($M$8:M1510)+1,""))</f>
        <v/>
      </c>
    </row>
    <row r="1512" customFormat="false" ht="15" hidden="false" customHeight="false" outlineLevel="0" collapsed="false">
      <c r="A1512" s="8"/>
      <c r="B1512" s="17"/>
      <c r="C1512" s="19"/>
      <c r="D1512" s="8"/>
      <c r="E1512" s="18"/>
      <c r="F1512" s="18"/>
      <c r="G1512" s="8"/>
      <c r="H1512" s="8"/>
      <c r="I1512" s="8"/>
      <c r="J1512" s="8"/>
      <c r="K1512" s="10" t="str">
        <f aca="false">IF(A1512="","",IF(ABS(SUMIFS($E$9:$E$2008,$A$9:$A$2008,A1512)-SUMIFS($F$9:$F$2008,$A$9:$A$2008,A1512))&lt;0.5,"Yes","No"))</f>
        <v/>
      </c>
      <c r="L1512" s="10" t="str">
        <f aca="false">IF(A1512="","",IF(IF(K1512="No","Does not balance | ","")&amp;IF(I1512="","Not approved | ",IF(UPPER(TRIM(H1512))=UPPER(TRIM(I1512)),"Self-approved | ",""))&amp;IF(J1512="","No support | ","")&amp;IF(WEEKDAY(B1512,2)&gt;5,"Weekend posting | ","")&amp;IF(COUNTIF(Settings!$A$14:$A$43,B1512)&gt;0,"Holiday posting | ","")&amp;IF(B1512&gt;Settings!$C$8,"Posted after close | ","")&amp;IF(OR(B1512&lt;Settings!$C$6,B1512&gt;Settings!$C$7),"Outside period | ","")&amp;IF(COUNTIF(Settings!$E$14:$E$43,C1512&amp;"")&gt;0,"Sensitive account | ","")&amp;IF(AND(MAX(N(E1512),N(F1512))&gt;=Settings!$C$9,MOD(MAX(N(E1512),N(F1512)),Settings!$C$10)=0),"Round amount | ","")="","",LEFT(IF(K1512="No","Does not balance | ","")&amp;IF(I1512="","Not approved | ",IF(UPPER(TRIM(H1512))=UPPER(TRIM(I1512)),"Self-approved | ",""))&amp;IF(J1512="","No support | ","")&amp;IF(WEEKDAY(B1512,2)&gt;5,"Weekend posting | ","")&amp;IF(COUNTIF(Settings!$A$14:$A$43,B1512)&gt;0,"Holiday posting | ","")&amp;IF(B1512&gt;Settings!$C$8,"Posted after close | ","")&amp;IF(OR(B1512&lt;Settings!$C$6,B1512&gt;Settings!$C$7),"Outside period | ","")&amp;IF(COUNTIF(Settings!$E$14:$E$43,C1512&amp;"")&gt;0,"Sensitive account | ","")&amp;IF(AND(MAX(N(E1512),N(F1512))&gt;=Settings!$C$9,MOD(MAX(N(E1512),N(F1512)),Settings!$C$10)=0),"Round amount | ",""),LEN(IF(K1512="No","Does not balance | ","")&amp;IF(I1512="","Not approved | ",IF(UPPER(TRIM(H1512))=UPPER(TRIM(I1512)),"Self-approved | ",""))&amp;IF(J1512="","No support | ","")&amp;IF(WEEKDAY(B1512,2)&gt;5,"Weekend posting | ","")&amp;IF(COUNTIF(Settings!$A$14:$A$43,B1512)&gt;0,"Holiday posting | ","")&amp;IF(B1512&gt;Settings!$C$8,"Posted after close | ","")&amp;IF(OR(B1512&lt;Settings!$C$6,B1512&gt;Settings!$C$7),"Outside period | ","")&amp;IF(COUNTIF(Settings!$E$14:$E$43,C1512&amp;"")&gt;0,"Sensitive account | ","")&amp;IF(AND(MAX(N(E1512),N(F1512))&gt;=Settings!$C$9,MOD(MAX(N(E1512),N(F1512)),Settings!$C$10)=0),"Round amount | ",""))-3)))</f>
        <v/>
      </c>
      <c r="M1512" s="21" t="str">
        <f aca="false">IF(A1512="","",IF(COUNTIF($A$9:A1512,A1512)=1,MAX($M$8:M1511)+1,""))</f>
        <v/>
      </c>
    </row>
    <row r="1513" customFormat="false" ht="15" hidden="false" customHeight="false" outlineLevel="0" collapsed="false">
      <c r="A1513" s="8"/>
      <c r="B1513" s="17"/>
      <c r="C1513" s="19"/>
      <c r="D1513" s="8"/>
      <c r="E1513" s="18"/>
      <c r="F1513" s="18"/>
      <c r="G1513" s="8"/>
      <c r="H1513" s="8"/>
      <c r="I1513" s="8"/>
      <c r="J1513" s="8"/>
      <c r="K1513" s="10" t="str">
        <f aca="false">IF(A1513="","",IF(ABS(SUMIFS($E$9:$E$2008,$A$9:$A$2008,A1513)-SUMIFS($F$9:$F$2008,$A$9:$A$2008,A1513))&lt;0.5,"Yes","No"))</f>
        <v/>
      </c>
      <c r="L1513" s="10" t="str">
        <f aca="false">IF(A1513="","",IF(IF(K1513="No","Does not balance | ","")&amp;IF(I1513="","Not approved | ",IF(UPPER(TRIM(H1513))=UPPER(TRIM(I1513)),"Self-approved | ",""))&amp;IF(J1513="","No support | ","")&amp;IF(WEEKDAY(B1513,2)&gt;5,"Weekend posting | ","")&amp;IF(COUNTIF(Settings!$A$14:$A$43,B1513)&gt;0,"Holiday posting | ","")&amp;IF(B1513&gt;Settings!$C$8,"Posted after close | ","")&amp;IF(OR(B1513&lt;Settings!$C$6,B1513&gt;Settings!$C$7),"Outside period | ","")&amp;IF(COUNTIF(Settings!$E$14:$E$43,C1513&amp;"")&gt;0,"Sensitive account | ","")&amp;IF(AND(MAX(N(E1513),N(F1513))&gt;=Settings!$C$9,MOD(MAX(N(E1513),N(F1513)),Settings!$C$10)=0),"Round amount | ","")="","",LEFT(IF(K1513="No","Does not balance | ","")&amp;IF(I1513="","Not approved | ",IF(UPPER(TRIM(H1513))=UPPER(TRIM(I1513)),"Self-approved | ",""))&amp;IF(J1513="","No support | ","")&amp;IF(WEEKDAY(B1513,2)&gt;5,"Weekend posting | ","")&amp;IF(COUNTIF(Settings!$A$14:$A$43,B1513)&gt;0,"Holiday posting | ","")&amp;IF(B1513&gt;Settings!$C$8,"Posted after close | ","")&amp;IF(OR(B1513&lt;Settings!$C$6,B1513&gt;Settings!$C$7),"Outside period | ","")&amp;IF(COUNTIF(Settings!$E$14:$E$43,C1513&amp;"")&gt;0,"Sensitive account | ","")&amp;IF(AND(MAX(N(E1513),N(F1513))&gt;=Settings!$C$9,MOD(MAX(N(E1513),N(F1513)),Settings!$C$10)=0),"Round amount | ",""),LEN(IF(K1513="No","Does not balance | ","")&amp;IF(I1513="","Not approved | ",IF(UPPER(TRIM(H1513))=UPPER(TRIM(I1513)),"Self-approved | ",""))&amp;IF(J1513="","No support | ","")&amp;IF(WEEKDAY(B1513,2)&gt;5,"Weekend posting | ","")&amp;IF(COUNTIF(Settings!$A$14:$A$43,B1513)&gt;0,"Holiday posting | ","")&amp;IF(B1513&gt;Settings!$C$8,"Posted after close | ","")&amp;IF(OR(B1513&lt;Settings!$C$6,B1513&gt;Settings!$C$7),"Outside period | ","")&amp;IF(COUNTIF(Settings!$E$14:$E$43,C1513&amp;"")&gt;0,"Sensitive account | ","")&amp;IF(AND(MAX(N(E1513),N(F1513))&gt;=Settings!$C$9,MOD(MAX(N(E1513),N(F1513)),Settings!$C$10)=0),"Round amount | ",""))-3)))</f>
        <v/>
      </c>
      <c r="M1513" s="21" t="str">
        <f aca="false">IF(A1513="","",IF(COUNTIF($A$9:A1513,A1513)=1,MAX($M$8:M1512)+1,""))</f>
        <v/>
      </c>
    </row>
    <row r="1514" customFormat="false" ht="15" hidden="false" customHeight="false" outlineLevel="0" collapsed="false">
      <c r="A1514" s="8"/>
      <c r="B1514" s="17"/>
      <c r="C1514" s="19"/>
      <c r="D1514" s="8"/>
      <c r="E1514" s="18"/>
      <c r="F1514" s="18"/>
      <c r="G1514" s="8"/>
      <c r="H1514" s="8"/>
      <c r="I1514" s="8"/>
      <c r="J1514" s="8"/>
      <c r="K1514" s="10" t="str">
        <f aca="false">IF(A1514="","",IF(ABS(SUMIFS($E$9:$E$2008,$A$9:$A$2008,A1514)-SUMIFS($F$9:$F$2008,$A$9:$A$2008,A1514))&lt;0.5,"Yes","No"))</f>
        <v/>
      </c>
      <c r="L1514" s="10" t="str">
        <f aca="false">IF(A1514="","",IF(IF(K1514="No","Does not balance | ","")&amp;IF(I1514="","Not approved | ",IF(UPPER(TRIM(H1514))=UPPER(TRIM(I1514)),"Self-approved | ",""))&amp;IF(J1514="","No support | ","")&amp;IF(WEEKDAY(B1514,2)&gt;5,"Weekend posting | ","")&amp;IF(COUNTIF(Settings!$A$14:$A$43,B1514)&gt;0,"Holiday posting | ","")&amp;IF(B1514&gt;Settings!$C$8,"Posted after close | ","")&amp;IF(OR(B1514&lt;Settings!$C$6,B1514&gt;Settings!$C$7),"Outside period | ","")&amp;IF(COUNTIF(Settings!$E$14:$E$43,C1514&amp;"")&gt;0,"Sensitive account | ","")&amp;IF(AND(MAX(N(E1514),N(F1514))&gt;=Settings!$C$9,MOD(MAX(N(E1514),N(F1514)),Settings!$C$10)=0),"Round amount | ","")="","",LEFT(IF(K1514="No","Does not balance | ","")&amp;IF(I1514="","Not approved | ",IF(UPPER(TRIM(H1514))=UPPER(TRIM(I1514)),"Self-approved | ",""))&amp;IF(J1514="","No support | ","")&amp;IF(WEEKDAY(B1514,2)&gt;5,"Weekend posting | ","")&amp;IF(COUNTIF(Settings!$A$14:$A$43,B1514)&gt;0,"Holiday posting | ","")&amp;IF(B1514&gt;Settings!$C$8,"Posted after close | ","")&amp;IF(OR(B1514&lt;Settings!$C$6,B1514&gt;Settings!$C$7),"Outside period | ","")&amp;IF(COUNTIF(Settings!$E$14:$E$43,C1514&amp;"")&gt;0,"Sensitive account | ","")&amp;IF(AND(MAX(N(E1514),N(F1514))&gt;=Settings!$C$9,MOD(MAX(N(E1514),N(F1514)),Settings!$C$10)=0),"Round amount | ",""),LEN(IF(K1514="No","Does not balance | ","")&amp;IF(I1514="","Not approved | ",IF(UPPER(TRIM(H1514))=UPPER(TRIM(I1514)),"Self-approved | ",""))&amp;IF(J1514="","No support | ","")&amp;IF(WEEKDAY(B1514,2)&gt;5,"Weekend posting | ","")&amp;IF(COUNTIF(Settings!$A$14:$A$43,B1514)&gt;0,"Holiday posting | ","")&amp;IF(B1514&gt;Settings!$C$8,"Posted after close | ","")&amp;IF(OR(B1514&lt;Settings!$C$6,B1514&gt;Settings!$C$7),"Outside period | ","")&amp;IF(COUNTIF(Settings!$E$14:$E$43,C1514&amp;"")&gt;0,"Sensitive account | ","")&amp;IF(AND(MAX(N(E1514),N(F1514))&gt;=Settings!$C$9,MOD(MAX(N(E1514),N(F1514)),Settings!$C$10)=0),"Round amount | ",""))-3)))</f>
        <v/>
      </c>
      <c r="M1514" s="21" t="str">
        <f aca="false">IF(A1514="","",IF(COUNTIF($A$9:A1514,A1514)=1,MAX($M$8:M1513)+1,""))</f>
        <v/>
      </c>
    </row>
    <row r="1515" customFormat="false" ht="15" hidden="false" customHeight="false" outlineLevel="0" collapsed="false">
      <c r="A1515" s="8"/>
      <c r="B1515" s="17"/>
      <c r="C1515" s="19"/>
      <c r="D1515" s="8"/>
      <c r="E1515" s="18"/>
      <c r="F1515" s="18"/>
      <c r="G1515" s="8"/>
      <c r="H1515" s="8"/>
      <c r="I1515" s="8"/>
      <c r="J1515" s="8"/>
      <c r="K1515" s="10" t="str">
        <f aca="false">IF(A1515="","",IF(ABS(SUMIFS($E$9:$E$2008,$A$9:$A$2008,A1515)-SUMIFS($F$9:$F$2008,$A$9:$A$2008,A1515))&lt;0.5,"Yes","No"))</f>
        <v/>
      </c>
      <c r="L1515" s="10" t="str">
        <f aca="false">IF(A1515="","",IF(IF(K1515="No","Does not balance | ","")&amp;IF(I1515="","Not approved | ",IF(UPPER(TRIM(H1515))=UPPER(TRIM(I1515)),"Self-approved | ",""))&amp;IF(J1515="","No support | ","")&amp;IF(WEEKDAY(B1515,2)&gt;5,"Weekend posting | ","")&amp;IF(COUNTIF(Settings!$A$14:$A$43,B1515)&gt;0,"Holiday posting | ","")&amp;IF(B1515&gt;Settings!$C$8,"Posted after close | ","")&amp;IF(OR(B1515&lt;Settings!$C$6,B1515&gt;Settings!$C$7),"Outside period | ","")&amp;IF(COUNTIF(Settings!$E$14:$E$43,C1515&amp;"")&gt;0,"Sensitive account | ","")&amp;IF(AND(MAX(N(E1515),N(F1515))&gt;=Settings!$C$9,MOD(MAX(N(E1515),N(F1515)),Settings!$C$10)=0),"Round amount | ","")="","",LEFT(IF(K1515="No","Does not balance | ","")&amp;IF(I1515="","Not approved | ",IF(UPPER(TRIM(H1515))=UPPER(TRIM(I1515)),"Self-approved | ",""))&amp;IF(J1515="","No support | ","")&amp;IF(WEEKDAY(B1515,2)&gt;5,"Weekend posting | ","")&amp;IF(COUNTIF(Settings!$A$14:$A$43,B1515)&gt;0,"Holiday posting | ","")&amp;IF(B1515&gt;Settings!$C$8,"Posted after close | ","")&amp;IF(OR(B1515&lt;Settings!$C$6,B1515&gt;Settings!$C$7),"Outside period | ","")&amp;IF(COUNTIF(Settings!$E$14:$E$43,C1515&amp;"")&gt;0,"Sensitive account | ","")&amp;IF(AND(MAX(N(E1515),N(F1515))&gt;=Settings!$C$9,MOD(MAX(N(E1515),N(F1515)),Settings!$C$10)=0),"Round amount | ",""),LEN(IF(K1515="No","Does not balance | ","")&amp;IF(I1515="","Not approved | ",IF(UPPER(TRIM(H1515))=UPPER(TRIM(I1515)),"Self-approved | ",""))&amp;IF(J1515="","No support | ","")&amp;IF(WEEKDAY(B1515,2)&gt;5,"Weekend posting | ","")&amp;IF(COUNTIF(Settings!$A$14:$A$43,B1515)&gt;0,"Holiday posting | ","")&amp;IF(B1515&gt;Settings!$C$8,"Posted after close | ","")&amp;IF(OR(B1515&lt;Settings!$C$6,B1515&gt;Settings!$C$7),"Outside period | ","")&amp;IF(COUNTIF(Settings!$E$14:$E$43,C1515&amp;"")&gt;0,"Sensitive account | ","")&amp;IF(AND(MAX(N(E1515),N(F1515))&gt;=Settings!$C$9,MOD(MAX(N(E1515),N(F1515)),Settings!$C$10)=0),"Round amount | ",""))-3)))</f>
        <v/>
      </c>
      <c r="M1515" s="21" t="str">
        <f aca="false">IF(A1515="","",IF(COUNTIF($A$9:A1515,A1515)=1,MAX($M$8:M1514)+1,""))</f>
        <v/>
      </c>
    </row>
    <row r="1516" customFormat="false" ht="15" hidden="false" customHeight="false" outlineLevel="0" collapsed="false">
      <c r="A1516" s="8"/>
      <c r="B1516" s="17"/>
      <c r="C1516" s="19"/>
      <c r="D1516" s="8"/>
      <c r="E1516" s="18"/>
      <c r="F1516" s="18"/>
      <c r="G1516" s="8"/>
      <c r="H1516" s="8"/>
      <c r="I1516" s="8"/>
      <c r="J1516" s="8"/>
      <c r="K1516" s="10" t="str">
        <f aca="false">IF(A1516="","",IF(ABS(SUMIFS($E$9:$E$2008,$A$9:$A$2008,A1516)-SUMIFS($F$9:$F$2008,$A$9:$A$2008,A1516))&lt;0.5,"Yes","No"))</f>
        <v/>
      </c>
      <c r="L1516" s="10" t="str">
        <f aca="false">IF(A1516="","",IF(IF(K1516="No","Does not balance | ","")&amp;IF(I1516="","Not approved | ",IF(UPPER(TRIM(H1516))=UPPER(TRIM(I1516)),"Self-approved | ",""))&amp;IF(J1516="","No support | ","")&amp;IF(WEEKDAY(B1516,2)&gt;5,"Weekend posting | ","")&amp;IF(COUNTIF(Settings!$A$14:$A$43,B1516)&gt;0,"Holiday posting | ","")&amp;IF(B1516&gt;Settings!$C$8,"Posted after close | ","")&amp;IF(OR(B1516&lt;Settings!$C$6,B1516&gt;Settings!$C$7),"Outside period | ","")&amp;IF(COUNTIF(Settings!$E$14:$E$43,C1516&amp;"")&gt;0,"Sensitive account | ","")&amp;IF(AND(MAX(N(E1516),N(F1516))&gt;=Settings!$C$9,MOD(MAX(N(E1516),N(F1516)),Settings!$C$10)=0),"Round amount | ","")="","",LEFT(IF(K1516="No","Does not balance | ","")&amp;IF(I1516="","Not approved | ",IF(UPPER(TRIM(H1516))=UPPER(TRIM(I1516)),"Self-approved | ",""))&amp;IF(J1516="","No support | ","")&amp;IF(WEEKDAY(B1516,2)&gt;5,"Weekend posting | ","")&amp;IF(COUNTIF(Settings!$A$14:$A$43,B1516)&gt;0,"Holiday posting | ","")&amp;IF(B1516&gt;Settings!$C$8,"Posted after close | ","")&amp;IF(OR(B1516&lt;Settings!$C$6,B1516&gt;Settings!$C$7),"Outside period | ","")&amp;IF(COUNTIF(Settings!$E$14:$E$43,C1516&amp;"")&gt;0,"Sensitive account | ","")&amp;IF(AND(MAX(N(E1516),N(F1516))&gt;=Settings!$C$9,MOD(MAX(N(E1516),N(F1516)),Settings!$C$10)=0),"Round amount | ",""),LEN(IF(K1516="No","Does not balance | ","")&amp;IF(I1516="","Not approved | ",IF(UPPER(TRIM(H1516))=UPPER(TRIM(I1516)),"Self-approved | ",""))&amp;IF(J1516="","No support | ","")&amp;IF(WEEKDAY(B1516,2)&gt;5,"Weekend posting | ","")&amp;IF(COUNTIF(Settings!$A$14:$A$43,B1516)&gt;0,"Holiday posting | ","")&amp;IF(B1516&gt;Settings!$C$8,"Posted after close | ","")&amp;IF(OR(B1516&lt;Settings!$C$6,B1516&gt;Settings!$C$7),"Outside period | ","")&amp;IF(COUNTIF(Settings!$E$14:$E$43,C1516&amp;"")&gt;0,"Sensitive account | ","")&amp;IF(AND(MAX(N(E1516),N(F1516))&gt;=Settings!$C$9,MOD(MAX(N(E1516),N(F1516)),Settings!$C$10)=0),"Round amount | ",""))-3)))</f>
        <v/>
      </c>
      <c r="M1516" s="21" t="str">
        <f aca="false">IF(A1516="","",IF(COUNTIF($A$9:A1516,A1516)=1,MAX($M$8:M1515)+1,""))</f>
        <v/>
      </c>
    </row>
    <row r="1517" customFormat="false" ht="15" hidden="false" customHeight="false" outlineLevel="0" collapsed="false">
      <c r="A1517" s="8"/>
      <c r="B1517" s="17"/>
      <c r="C1517" s="19"/>
      <c r="D1517" s="8"/>
      <c r="E1517" s="18"/>
      <c r="F1517" s="18"/>
      <c r="G1517" s="8"/>
      <c r="H1517" s="8"/>
      <c r="I1517" s="8"/>
      <c r="J1517" s="8"/>
      <c r="K1517" s="10" t="str">
        <f aca="false">IF(A1517="","",IF(ABS(SUMIFS($E$9:$E$2008,$A$9:$A$2008,A1517)-SUMIFS($F$9:$F$2008,$A$9:$A$2008,A1517))&lt;0.5,"Yes","No"))</f>
        <v/>
      </c>
      <c r="L1517" s="10" t="str">
        <f aca="false">IF(A1517="","",IF(IF(K1517="No","Does not balance | ","")&amp;IF(I1517="","Not approved | ",IF(UPPER(TRIM(H1517))=UPPER(TRIM(I1517)),"Self-approved | ",""))&amp;IF(J1517="","No support | ","")&amp;IF(WEEKDAY(B1517,2)&gt;5,"Weekend posting | ","")&amp;IF(COUNTIF(Settings!$A$14:$A$43,B1517)&gt;0,"Holiday posting | ","")&amp;IF(B1517&gt;Settings!$C$8,"Posted after close | ","")&amp;IF(OR(B1517&lt;Settings!$C$6,B1517&gt;Settings!$C$7),"Outside period | ","")&amp;IF(COUNTIF(Settings!$E$14:$E$43,C1517&amp;"")&gt;0,"Sensitive account | ","")&amp;IF(AND(MAX(N(E1517),N(F1517))&gt;=Settings!$C$9,MOD(MAX(N(E1517),N(F1517)),Settings!$C$10)=0),"Round amount | ","")="","",LEFT(IF(K1517="No","Does not balance | ","")&amp;IF(I1517="","Not approved | ",IF(UPPER(TRIM(H1517))=UPPER(TRIM(I1517)),"Self-approved | ",""))&amp;IF(J1517="","No support | ","")&amp;IF(WEEKDAY(B1517,2)&gt;5,"Weekend posting | ","")&amp;IF(COUNTIF(Settings!$A$14:$A$43,B1517)&gt;0,"Holiday posting | ","")&amp;IF(B1517&gt;Settings!$C$8,"Posted after close | ","")&amp;IF(OR(B1517&lt;Settings!$C$6,B1517&gt;Settings!$C$7),"Outside period | ","")&amp;IF(COUNTIF(Settings!$E$14:$E$43,C1517&amp;"")&gt;0,"Sensitive account | ","")&amp;IF(AND(MAX(N(E1517),N(F1517))&gt;=Settings!$C$9,MOD(MAX(N(E1517),N(F1517)),Settings!$C$10)=0),"Round amount | ",""),LEN(IF(K1517="No","Does not balance | ","")&amp;IF(I1517="","Not approved | ",IF(UPPER(TRIM(H1517))=UPPER(TRIM(I1517)),"Self-approved | ",""))&amp;IF(J1517="","No support | ","")&amp;IF(WEEKDAY(B1517,2)&gt;5,"Weekend posting | ","")&amp;IF(COUNTIF(Settings!$A$14:$A$43,B1517)&gt;0,"Holiday posting | ","")&amp;IF(B1517&gt;Settings!$C$8,"Posted after close | ","")&amp;IF(OR(B1517&lt;Settings!$C$6,B1517&gt;Settings!$C$7),"Outside period | ","")&amp;IF(COUNTIF(Settings!$E$14:$E$43,C1517&amp;"")&gt;0,"Sensitive account | ","")&amp;IF(AND(MAX(N(E1517),N(F1517))&gt;=Settings!$C$9,MOD(MAX(N(E1517),N(F1517)),Settings!$C$10)=0),"Round amount | ",""))-3)))</f>
        <v/>
      </c>
      <c r="M1517" s="21" t="str">
        <f aca="false">IF(A1517="","",IF(COUNTIF($A$9:A1517,A1517)=1,MAX($M$8:M1516)+1,""))</f>
        <v/>
      </c>
    </row>
    <row r="1518" customFormat="false" ht="15" hidden="false" customHeight="false" outlineLevel="0" collapsed="false">
      <c r="A1518" s="8"/>
      <c r="B1518" s="17"/>
      <c r="C1518" s="19"/>
      <c r="D1518" s="8"/>
      <c r="E1518" s="18"/>
      <c r="F1518" s="18"/>
      <c r="G1518" s="8"/>
      <c r="H1518" s="8"/>
      <c r="I1518" s="8"/>
      <c r="J1518" s="8"/>
      <c r="K1518" s="10" t="str">
        <f aca="false">IF(A1518="","",IF(ABS(SUMIFS($E$9:$E$2008,$A$9:$A$2008,A1518)-SUMIFS($F$9:$F$2008,$A$9:$A$2008,A1518))&lt;0.5,"Yes","No"))</f>
        <v/>
      </c>
      <c r="L1518" s="10" t="str">
        <f aca="false">IF(A1518="","",IF(IF(K1518="No","Does not balance | ","")&amp;IF(I1518="","Not approved | ",IF(UPPER(TRIM(H1518))=UPPER(TRIM(I1518)),"Self-approved | ",""))&amp;IF(J1518="","No support | ","")&amp;IF(WEEKDAY(B1518,2)&gt;5,"Weekend posting | ","")&amp;IF(COUNTIF(Settings!$A$14:$A$43,B1518)&gt;0,"Holiday posting | ","")&amp;IF(B1518&gt;Settings!$C$8,"Posted after close | ","")&amp;IF(OR(B1518&lt;Settings!$C$6,B1518&gt;Settings!$C$7),"Outside period | ","")&amp;IF(COUNTIF(Settings!$E$14:$E$43,C1518&amp;"")&gt;0,"Sensitive account | ","")&amp;IF(AND(MAX(N(E1518),N(F1518))&gt;=Settings!$C$9,MOD(MAX(N(E1518),N(F1518)),Settings!$C$10)=0),"Round amount | ","")="","",LEFT(IF(K1518="No","Does not balance | ","")&amp;IF(I1518="","Not approved | ",IF(UPPER(TRIM(H1518))=UPPER(TRIM(I1518)),"Self-approved | ",""))&amp;IF(J1518="","No support | ","")&amp;IF(WEEKDAY(B1518,2)&gt;5,"Weekend posting | ","")&amp;IF(COUNTIF(Settings!$A$14:$A$43,B1518)&gt;0,"Holiday posting | ","")&amp;IF(B1518&gt;Settings!$C$8,"Posted after close | ","")&amp;IF(OR(B1518&lt;Settings!$C$6,B1518&gt;Settings!$C$7),"Outside period | ","")&amp;IF(COUNTIF(Settings!$E$14:$E$43,C1518&amp;"")&gt;0,"Sensitive account | ","")&amp;IF(AND(MAX(N(E1518),N(F1518))&gt;=Settings!$C$9,MOD(MAX(N(E1518),N(F1518)),Settings!$C$10)=0),"Round amount | ",""),LEN(IF(K1518="No","Does not balance | ","")&amp;IF(I1518="","Not approved | ",IF(UPPER(TRIM(H1518))=UPPER(TRIM(I1518)),"Self-approved | ",""))&amp;IF(J1518="","No support | ","")&amp;IF(WEEKDAY(B1518,2)&gt;5,"Weekend posting | ","")&amp;IF(COUNTIF(Settings!$A$14:$A$43,B1518)&gt;0,"Holiday posting | ","")&amp;IF(B1518&gt;Settings!$C$8,"Posted after close | ","")&amp;IF(OR(B1518&lt;Settings!$C$6,B1518&gt;Settings!$C$7),"Outside period | ","")&amp;IF(COUNTIF(Settings!$E$14:$E$43,C1518&amp;"")&gt;0,"Sensitive account | ","")&amp;IF(AND(MAX(N(E1518),N(F1518))&gt;=Settings!$C$9,MOD(MAX(N(E1518),N(F1518)),Settings!$C$10)=0),"Round amount | ",""))-3)))</f>
        <v/>
      </c>
      <c r="M1518" s="21" t="str">
        <f aca="false">IF(A1518="","",IF(COUNTIF($A$9:A1518,A1518)=1,MAX($M$8:M1517)+1,""))</f>
        <v/>
      </c>
    </row>
    <row r="1519" customFormat="false" ht="15" hidden="false" customHeight="false" outlineLevel="0" collapsed="false">
      <c r="A1519" s="8"/>
      <c r="B1519" s="17"/>
      <c r="C1519" s="19"/>
      <c r="D1519" s="8"/>
      <c r="E1519" s="18"/>
      <c r="F1519" s="18"/>
      <c r="G1519" s="8"/>
      <c r="H1519" s="8"/>
      <c r="I1519" s="8"/>
      <c r="J1519" s="8"/>
      <c r="K1519" s="10" t="str">
        <f aca="false">IF(A1519="","",IF(ABS(SUMIFS($E$9:$E$2008,$A$9:$A$2008,A1519)-SUMIFS($F$9:$F$2008,$A$9:$A$2008,A1519))&lt;0.5,"Yes","No"))</f>
        <v/>
      </c>
      <c r="L1519" s="10" t="str">
        <f aca="false">IF(A1519="","",IF(IF(K1519="No","Does not balance | ","")&amp;IF(I1519="","Not approved | ",IF(UPPER(TRIM(H1519))=UPPER(TRIM(I1519)),"Self-approved | ",""))&amp;IF(J1519="","No support | ","")&amp;IF(WEEKDAY(B1519,2)&gt;5,"Weekend posting | ","")&amp;IF(COUNTIF(Settings!$A$14:$A$43,B1519)&gt;0,"Holiday posting | ","")&amp;IF(B1519&gt;Settings!$C$8,"Posted after close | ","")&amp;IF(OR(B1519&lt;Settings!$C$6,B1519&gt;Settings!$C$7),"Outside period | ","")&amp;IF(COUNTIF(Settings!$E$14:$E$43,C1519&amp;"")&gt;0,"Sensitive account | ","")&amp;IF(AND(MAX(N(E1519),N(F1519))&gt;=Settings!$C$9,MOD(MAX(N(E1519),N(F1519)),Settings!$C$10)=0),"Round amount | ","")="","",LEFT(IF(K1519="No","Does not balance | ","")&amp;IF(I1519="","Not approved | ",IF(UPPER(TRIM(H1519))=UPPER(TRIM(I1519)),"Self-approved | ",""))&amp;IF(J1519="","No support | ","")&amp;IF(WEEKDAY(B1519,2)&gt;5,"Weekend posting | ","")&amp;IF(COUNTIF(Settings!$A$14:$A$43,B1519)&gt;0,"Holiday posting | ","")&amp;IF(B1519&gt;Settings!$C$8,"Posted after close | ","")&amp;IF(OR(B1519&lt;Settings!$C$6,B1519&gt;Settings!$C$7),"Outside period | ","")&amp;IF(COUNTIF(Settings!$E$14:$E$43,C1519&amp;"")&gt;0,"Sensitive account | ","")&amp;IF(AND(MAX(N(E1519),N(F1519))&gt;=Settings!$C$9,MOD(MAX(N(E1519),N(F1519)),Settings!$C$10)=0),"Round amount | ",""),LEN(IF(K1519="No","Does not balance | ","")&amp;IF(I1519="","Not approved | ",IF(UPPER(TRIM(H1519))=UPPER(TRIM(I1519)),"Self-approved | ",""))&amp;IF(J1519="","No support | ","")&amp;IF(WEEKDAY(B1519,2)&gt;5,"Weekend posting | ","")&amp;IF(COUNTIF(Settings!$A$14:$A$43,B1519)&gt;0,"Holiday posting | ","")&amp;IF(B1519&gt;Settings!$C$8,"Posted after close | ","")&amp;IF(OR(B1519&lt;Settings!$C$6,B1519&gt;Settings!$C$7),"Outside period | ","")&amp;IF(COUNTIF(Settings!$E$14:$E$43,C1519&amp;"")&gt;0,"Sensitive account | ","")&amp;IF(AND(MAX(N(E1519),N(F1519))&gt;=Settings!$C$9,MOD(MAX(N(E1519),N(F1519)),Settings!$C$10)=0),"Round amount | ",""))-3)))</f>
        <v/>
      </c>
      <c r="M1519" s="21" t="str">
        <f aca="false">IF(A1519="","",IF(COUNTIF($A$9:A1519,A1519)=1,MAX($M$8:M1518)+1,""))</f>
        <v/>
      </c>
    </row>
    <row r="1520" customFormat="false" ht="15" hidden="false" customHeight="false" outlineLevel="0" collapsed="false">
      <c r="A1520" s="8"/>
      <c r="B1520" s="17"/>
      <c r="C1520" s="19"/>
      <c r="D1520" s="8"/>
      <c r="E1520" s="18"/>
      <c r="F1520" s="18"/>
      <c r="G1520" s="8"/>
      <c r="H1520" s="8"/>
      <c r="I1520" s="8"/>
      <c r="J1520" s="8"/>
      <c r="K1520" s="10" t="str">
        <f aca="false">IF(A1520="","",IF(ABS(SUMIFS($E$9:$E$2008,$A$9:$A$2008,A1520)-SUMIFS($F$9:$F$2008,$A$9:$A$2008,A1520))&lt;0.5,"Yes","No"))</f>
        <v/>
      </c>
      <c r="L1520" s="10" t="str">
        <f aca="false">IF(A1520="","",IF(IF(K1520="No","Does not balance | ","")&amp;IF(I1520="","Not approved | ",IF(UPPER(TRIM(H1520))=UPPER(TRIM(I1520)),"Self-approved | ",""))&amp;IF(J1520="","No support | ","")&amp;IF(WEEKDAY(B1520,2)&gt;5,"Weekend posting | ","")&amp;IF(COUNTIF(Settings!$A$14:$A$43,B1520)&gt;0,"Holiday posting | ","")&amp;IF(B1520&gt;Settings!$C$8,"Posted after close | ","")&amp;IF(OR(B1520&lt;Settings!$C$6,B1520&gt;Settings!$C$7),"Outside period | ","")&amp;IF(COUNTIF(Settings!$E$14:$E$43,C1520&amp;"")&gt;0,"Sensitive account | ","")&amp;IF(AND(MAX(N(E1520),N(F1520))&gt;=Settings!$C$9,MOD(MAX(N(E1520),N(F1520)),Settings!$C$10)=0),"Round amount | ","")="","",LEFT(IF(K1520="No","Does not balance | ","")&amp;IF(I1520="","Not approved | ",IF(UPPER(TRIM(H1520))=UPPER(TRIM(I1520)),"Self-approved | ",""))&amp;IF(J1520="","No support | ","")&amp;IF(WEEKDAY(B1520,2)&gt;5,"Weekend posting | ","")&amp;IF(COUNTIF(Settings!$A$14:$A$43,B1520)&gt;0,"Holiday posting | ","")&amp;IF(B1520&gt;Settings!$C$8,"Posted after close | ","")&amp;IF(OR(B1520&lt;Settings!$C$6,B1520&gt;Settings!$C$7),"Outside period | ","")&amp;IF(COUNTIF(Settings!$E$14:$E$43,C1520&amp;"")&gt;0,"Sensitive account | ","")&amp;IF(AND(MAX(N(E1520),N(F1520))&gt;=Settings!$C$9,MOD(MAX(N(E1520),N(F1520)),Settings!$C$10)=0),"Round amount | ",""),LEN(IF(K1520="No","Does not balance | ","")&amp;IF(I1520="","Not approved | ",IF(UPPER(TRIM(H1520))=UPPER(TRIM(I1520)),"Self-approved | ",""))&amp;IF(J1520="","No support | ","")&amp;IF(WEEKDAY(B1520,2)&gt;5,"Weekend posting | ","")&amp;IF(COUNTIF(Settings!$A$14:$A$43,B1520)&gt;0,"Holiday posting | ","")&amp;IF(B1520&gt;Settings!$C$8,"Posted after close | ","")&amp;IF(OR(B1520&lt;Settings!$C$6,B1520&gt;Settings!$C$7),"Outside period | ","")&amp;IF(COUNTIF(Settings!$E$14:$E$43,C1520&amp;"")&gt;0,"Sensitive account | ","")&amp;IF(AND(MAX(N(E1520),N(F1520))&gt;=Settings!$C$9,MOD(MAX(N(E1520),N(F1520)),Settings!$C$10)=0),"Round amount | ",""))-3)))</f>
        <v/>
      </c>
      <c r="M1520" s="21" t="str">
        <f aca="false">IF(A1520="","",IF(COUNTIF($A$9:A1520,A1520)=1,MAX($M$8:M1519)+1,""))</f>
        <v/>
      </c>
    </row>
    <row r="1521" customFormat="false" ht="15" hidden="false" customHeight="false" outlineLevel="0" collapsed="false">
      <c r="A1521" s="8"/>
      <c r="B1521" s="17"/>
      <c r="C1521" s="19"/>
      <c r="D1521" s="8"/>
      <c r="E1521" s="18"/>
      <c r="F1521" s="18"/>
      <c r="G1521" s="8"/>
      <c r="H1521" s="8"/>
      <c r="I1521" s="8"/>
      <c r="J1521" s="8"/>
      <c r="K1521" s="10" t="str">
        <f aca="false">IF(A1521="","",IF(ABS(SUMIFS($E$9:$E$2008,$A$9:$A$2008,A1521)-SUMIFS($F$9:$F$2008,$A$9:$A$2008,A1521))&lt;0.5,"Yes","No"))</f>
        <v/>
      </c>
      <c r="L1521" s="10" t="str">
        <f aca="false">IF(A1521="","",IF(IF(K1521="No","Does not balance | ","")&amp;IF(I1521="","Not approved | ",IF(UPPER(TRIM(H1521))=UPPER(TRIM(I1521)),"Self-approved | ",""))&amp;IF(J1521="","No support | ","")&amp;IF(WEEKDAY(B1521,2)&gt;5,"Weekend posting | ","")&amp;IF(COUNTIF(Settings!$A$14:$A$43,B1521)&gt;0,"Holiday posting | ","")&amp;IF(B1521&gt;Settings!$C$8,"Posted after close | ","")&amp;IF(OR(B1521&lt;Settings!$C$6,B1521&gt;Settings!$C$7),"Outside period | ","")&amp;IF(COUNTIF(Settings!$E$14:$E$43,C1521&amp;"")&gt;0,"Sensitive account | ","")&amp;IF(AND(MAX(N(E1521),N(F1521))&gt;=Settings!$C$9,MOD(MAX(N(E1521),N(F1521)),Settings!$C$10)=0),"Round amount | ","")="","",LEFT(IF(K1521="No","Does not balance | ","")&amp;IF(I1521="","Not approved | ",IF(UPPER(TRIM(H1521))=UPPER(TRIM(I1521)),"Self-approved | ",""))&amp;IF(J1521="","No support | ","")&amp;IF(WEEKDAY(B1521,2)&gt;5,"Weekend posting | ","")&amp;IF(COUNTIF(Settings!$A$14:$A$43,B1521)&gt;0,"Holiday posting | ","")&amp;IF(B1521&gt;Settings!$C$8,"Posted after close | ","")&amp;IF(OR(B1521&lt;Settings!$C$6,B1521&gt;Settings!$C$7),"Outside period | ","")&amp;IF(COUNTIF(Settings!$E$14:$E$43,C1521&amp;"")&gt;0,"Sensitive account | ","")&amp;IF(AND(MAX(N(E1521),N(F1521))&gt;=Settings!$C$9,MOD(MAX(N(E1521),N(F1521)),Settings!$C$10)=0),"Round amount | ",""),LEN(IF(K1521="No","Does not balance | ","")&amp;IF(I1521="","Not approved | ",IF(UPPER(TRIM(H1521))=UPPER(TRIM(I1521)),"Self-approved | ",""))&amp;IF(J1521="","No support | ","")&amp;IF(WEEKDAY(B1521,2)&gt;5,"Weekend posting | ","")&amp;IF(COUNTIF(Settings!$A$14:$A$43,B1521)&gt;0,"Holiday posting | ","")&amp;IF(B1521&gt;Settings!$C$8,"Posted after close | ","")&amp;IF(OR(B1521&lt;Settings!$C$6,B1521&gt;Settings!$C$7),"Outside period | ","")&amp;IF(COUNTIF(Settings!$E$14:$E$43,C1521&amp;"")&gt;0,"Sensitive account | ","")&amp;IF(AND(MAX(N(E1521),N(F1521))&gt;=Settings!$C$9,MOD(MAX(N(E1521),N(F1521)),Settings!$C$10)=0),"Round amount | ",""))-3)))</f>
        <v/>
      </c>
      <c r="M1521" s="21" t="str">
        <f aca="false">IF(A1521="","",IF(COUNTIF($A$9:A1521,A1521)=1,MAX($M$8:M1520)+1,""))</f>
        <v/>
      </c>
    </row>
    <row r="1522" customFormat="false" ht="15" hidden="false" customHeight="false" outlineLevel="0" collapsed="false">
      <c r="A1522" s="8"/>
      <c r="B1522" s="17"/>
      <c r="C1522" s="19"/>
      <c r="D1522" s="8"/>
      <c r="E1522" s="18"/>
      <c r="F1522" s="18"/>
      <c r="G1522" s="8"/>
      <c r="H1522" s="8"/>
      <c r="I1522" s="8"/>
      <c r="J1522" s="8"/>
      <c r="K1522" s="10" t="str">
        <f aca="false">IF(A1522="","",IF(ABS(SUMIFS($E$9:$E$2008,$A$9:$A$2008,A1522)-SUMIFS($F$9:$F$2008,$A$9:$A$2008,A1522))&lt;0.5,"Yes","No"))</f>
        <v/>
      </c>
      <c r="L1522" s="10" t="str">
        <f aca="false">IF(A1522="","",IF(IF(K1522="No","Does not balance | ","")&amp;IF(I1522="","Not approved | ",IF(UPPER(TRIM(H1522))=UPPER(TRIM(I1522)),"Self-approved | ",""))&amp;IF(J1522="","No support | ","")&amp;IF(WEEKDAY(B1522,2)&gt;5,"Weekend posting | ","")&amp;IF(COUNTIF(Settings!$A$14:$A$43,B1522)&gt;0,"Holiday posting | ","")&amp;IF(B1522&gt;Settings!$C$8,"Posted after close | ","")&amp;IF(OR(B1522&lt;Settings!$C$6,B1522&gt;Settings!$C$7),"Outside period | ","")&amp;IF(COUNTIF(Settings!$E$14:$E$43,C1522&amp;"")&gt;0,"Sensitive account | ","")&amp;IF(AND(MAX(N(E1522),N(F1522))&gt;=Settings!$C$9,MOD(MAX(N(E1522),N(F1522)),Settings!$C$10)=0),"Round amount | ","")="","",LEFT(IF(K1522="No","Does not balance | ","")&amp;IF(I1522="","Not approved | ",IF(UPPER(TRIM(H1522))=UPPER(TRIM(I1522)),"Self-approved | ",""))&amp;IF(J1522="","No support | ","")&amp;IF(WEEKDAY(B1522,2)&gt;5,"Weekend posting | ","")&amp;IF(COUNTIF(Settings!$A$14:$A$43,B1522)&gt;0,"Holiday posting | ","")&amp;IF(B1522&gt;Settings!$C$8,"Posted after close | ","")&amp;IF(OR(B1522&lt;Settings!$C$6,B1522&gt;Settings!$C$7),"Outside period | ","")&amp;IF(COUNTIF(Settings!$E$14:$E$43,C1522&amp;"")&gt;0,"Sensitive account | ","")&amp;IF(AND(MAX(N(E1522),N(F1522))&gt;=Settings!$C$9,MOD(MAX(N(E1522),N(F1522)),Settings!$C$10)=0),"Round amount | ",""),LEN(IF(K1522="No","Does not balance | ","")&amp;IF(I1522="","Not approved | ",IF(UPPER(TRIM(H1522))=UPPER(TRIM(I1522)),"Self-approved | ",""))&amp;IF(J1522="","No support | ","")&amp;IF(WEEKDAY(B1522,2)&gt;5,"Weekend posting | ","")&amp;IF(COUNTIF(Settings!$A$14:$A$43,B1522)&gt;0,"Holiday posting | ","")&amp;IF(B1522&gt;Settings!$C$8,"Posted after close | ","")&amp;IF(OR(B1522&lt;Settings!$C$6,B1522&gt;Settings!$C$7),"Outside period | ","")&amp;IF(COUNTIF(Settings!$E$14:$E$43,C1522&amp;"")&gt;0,"Sensitive account | ","")&amp;IF(AND(MAX(N(E1522),N(F1522))&gt;=Settings!$C$9,MOD(MAX(N(E1522),N(F1522)),Settings!$C$10)=0),"Round amount | ",""))-3)))</f>
        <v/>
      </c>
      <c r="M1522" s="21" t="str">
        <f aca="false">IF(A1522="","",IF(COUNTIF($A$9:A1522,A1522)=1,MAX($M$8:M1521)+1,""))</f>
        <v/>
      </c>
    </row>
    <row r="1523" customFormat="false" ht="15" hidden="false" customHeight="false" outlineLevel="0" collapsed="false">
      <c r="A1523" s="8"/>
      <c r="B1523" s="17"/>
      <c r="C1523" s="19"/>
      <c r="D1523" s="8"/>
      <c r="E1523" s="18"/>
      <c r="F1523" s="18"/>
      <c r="G1523" s="8"/>
      <c r="H1523" s="8"/>
      <c r="I1523" s="8"/>
      <c r="J1523" s="8"/>
      <c r="K1523" s="10" t="str">
        <f aca="false">IF(A1523="","",IF(ABS(SUMIFS($E$9:$E$2008,$A$9:$A$2008,A1523)-SUMIFS($F$9:$F$2008,$A$9:$A$2008,A1523))&lt;0.5,"Yes","No"))</f>
        <v/>
      </c>
      <c r="L1523" s="10" t="str">
        <f aca="false">IF(A1523="","",IF(IF(K1523="No","Does not balance | ","")&amp;IF(I1523="","Not approved | ",IF(UPPER(TRIM(H1523))=UPPER(TRIM(I1523)),"Self-approved | ",""))&amp;IF(J1523="","No support | ","")&amp;IF(WEEKDAY(B1523,2)&gt;5,"Weekend posting | ","")&amp;IF(COUNTIF(Settings!$A$14:$A$43,B1523)&gt;0,"Holiday posting | ","")&amp;IF(B1523&gt;Settings!$C$8,"Posted after close | ","")&amp;IF(OR(B1523&lt;Settings!$C$6,B1523&gt;Settings!$C$7),"Outside period | ","")&amp;IF(COUNTIF(Settings!$E$14:$E$43,C1523&amp;"")&gt;0,"Sensitive account | ","")&amp;IF(AND(MAX(N(E1523),N(F1523))&gt;=Settings!$C$9,MOD(MAX(N(E1523),N(F1523)),Settings!$C$10)=0),"Round amount | ","")="","",LEFT(IF(K1523="No","Does not balance | ","")&amp;IF(I1523="","Not approved | ",IF(UPPER(TRIM(H1523))=UPPER(TRIM(I1523)),"Self-approved | ",""))&amp;IF(J1523="","No support | ","")&amp;IF(WEEKDAY(B1523,2)&gt;5,"Weekend posting | ","")&amp;IF(COUNTIF(Settings!$A$14:$A$43,B1523)&gt;0,"Holiday posting | ","")&amp;IF(B1523&gt;Settings!$C$8,"Posted after close | ","")&amp;IF(OR(B1523&lt;Settings!$C$6,B1523&gt;Settings!$C$7),"Outside period | ","")&amp;IF(COUNTIF(Settings!$E$14:$E$43,C1523&amp;"")&gt;0,"Sensitive account | ","")&amp;IF(AND(MAX(N(E1523),N(F1523))&gt;=Settings!$C$9,MOD(MAX(N(E1523),N(F1523)),Settings!$C$10)=0),"Round amount | ",""),LEN(IF(K1523="No","Does not balance | ","")&amp;IF(I1523="","Not approved | ",IF(UPPER(TRIM(H1523))=UPPER(TRIM(I1523)),"Self-approved | ",""))&amp;IF(J1523="","No support | ","")&amp;IF(WEEKDAY(B1523,2)&gt;5,"Weekend posting | ","")&amp;IF(COUNTIF(Settings!$A$14:$A$43,B1523)&gt;0,"Holiday posting | ","")&amp;IF(B1523&gt;Settings!$C$8,"Posted after close | ","")&amp;IF(OR(B1523&lt;Settings!$C$6,B1523&gt;Settings!$C$7),"Outside period | ","")&amp;IF(COUNTIF(Settings!$E$14:$E$43,C1523&amp;"")&gt;0,"Sensitive account | ","")&amp;IF(AND(MAX(N(E1523),N(F1523))&gt;=Settings!$C$9,MOD(MAX(N(E1523),N(F1523)),Settings!$C$10)=0),"Round amount | ",""))-3)))</f>
        <v/>
      </c>
      <c r="M1523" s="21" t="str">
        <f aca="false">IF(A1523="","",IF(COUNTIF($A$9:A1523,A1523)=1,MAX($M$8:M1522)+1,""))</f>
        <v/>
      </c>
    </row>
    <row r="1524" customFormat="false" ht="15" hidden="false" customHeight="false" outlineLevel="0" collapsed="false">
      <c r="A1524" s="8"/>
      <c r="B1524" s="17"/>
      <c r="C1524" s="19"/>
      <c r="D1524" s="8"/>
      <c r="E1524" s="18"/>
      <c r="F1524" s="18"/>
      <c r="G1524" s="8"/>
      <c r="H1524" s="8"/>
      <c r="I1524" s="8"/>
      <c r="J1524" s="8"/>
      <c r="K1524" s="10" t="str">
        <f aca="false">IF(A1524="","",IF(ABS(SUMIFS($E$9:$E$2008,$A$9:$A$2008,A1524)-SUMIFS($F$9:$F$2008,$A$9:$A$2008,A1524))&lt;0.5,"Yes","No"))</f>
        <v/>
      </c>
      <c r="L1524" s="10" t="str">
        <f aca="false">IF(A1524="","",IF(IF(K1524="No","Does not balance | ","")&amp;IF(I1524="","Not approved | ",IF(UPPER(TRIM(H1524))=UPPER(TRIM(I1524)),"Self-approved | ",""))&amp;IF(J1524="","No support | ","")&amp;IF(WEEKDAY(B1524,2)&gt;5,"Weekend posting | ","")&amp;IF(COUNTIF(Settings!$A$14:$A$43,B1524)&gt;0,"Holiday posting | ","")&amp;IF(B1524&gt;Settings!$C$8,"Posted after close | ","")&amp;IF(OR(B1524&lt;Settings!$C$6,B1524&gt;Settings!$C$7),"Outside period | ","")&amp;IF(COUNTIF(Settings!$E$14:$E$43,C1524&amp;"")&gt;0,"Sensitive account | ","")&amp;IF(AND(MAX(N(E1524),N(F1524))&gt;=Settings!$C$9,MOD(MAX(N(E1524),N(F1524)),Settings!$C$10)=0),"Round amount | ","")="","",LEFT(IF(K1524="No","Does not balance | ","")&amp;IF(I1524="","Not approved | ",IF(UPPER(TRIM(H1524))=UPPER(TRIM(I1524)),"Self-approved | ",""))&amp;IF(J1524="","No support | ","")&amp;IF(WEEKDAY(B1524,2)&gt;5,"Weekend posting | ","")&amp;IF(COUNTIF(Settings!$A$14:$A$43,B1524)&gt;0,"Holiday posting | ","")&amp;IF(B1524&gt;Settings!$C$8,"Posted after close | ","")&amp;IF(OR(B1524&lt;Settings!$C$6,B1524&gt;Settings!$C$7),"Outside period | ","")&amp;IF(COUNTIF(Settings!$E$14:$E$43,C1524&amp;"")&gt;0,"Sensitive account | ","")&amp;IF(AND(MAX(N(E1524),N(F1524))&gt;=Settings!$C$9,MOD(MAX(N(E1524),N(F1524)),Settings!$C$10)=0),"Round amount | ",""),LEN(IF(K1524="No","Does not balance | ","")&amp;IF(I1524="","Not approved | ",IF(UPPER(TRIM(H1524))=UPPER(TRIM(I1524)),"Self-approved | ",""))&amp;IF(J1524="","No support | ","")&amp;IF(WEEKDAY(B1524,2)&gt;5,"Weekend posting | ","")&amp;IF(COUNTIF(Settings!$A$14:$A$43,B1524)&gt;0,"Holiday posting | ","")&amp;IF(B1524&gt;Settings!$C$8,"Posted after close | ","")&amp;IF(OR(B1524&lt;Settings!$C$6,B1524&gt;Settings!$C$7),"Outside period | ","")&amp;IF(COUNTIF(Settings!$E$14:$E$43,C1524&amp;"")&gt;0,"Sensitive account | ","")&amp;IF(AND(MAX(N(E1524),N(F1524))&gt;=Settings!$C$9,MOD(MAX(N(E1524),N(F1524)),Settings!$C$10)=0),"Round amount | ",""))-3)))</f>
        <v/>
      </c>
      <c r="M1524" s="21" t="str">
        <f aca="false">IF(A1524="","",IF(COUNTIF($A$9:A1524,A1524)=1,MAX($M$8:M1523)+1,""))</f>
        <v/>
      </c>
    </row>
    <row r="1525" customFormat="false" ht="15" hidden="false" customHeight="false" outlineLevel="0" collapsed="false">
      <c r="A1525" s="8"/>
      <c r="B1525" s="17"/>
      <c r="C1525" s="19"/>
      <c r="D1525" s="8"/>
      <c r="E1525" s="18"/>
      <c r="F1525" s="18"/>
      <c r="G1525" s="8"/>
      <c r="H1525" s="8"/>
      <c r="I1525" s="8"/>
      <c r="J1525" s="8"/>
      <c r="K1525" s="10" t="str">
        <f aca="false">IF(A1525="","",IF(ABS(SUMIFS($E$9:$E$2008,$A$9:$A$2008,A1525)-SUMIFS($F$9:$F$2008,$A$9:$A$2008,A1525))&lt;0.5,"Yes","No"))</f>
        <v/>
      </c>
      <c r="L1525" s="10" t="str">
        <f aca="false">IF(A1525="","",IF(IF(K1525="No","Does not balance | ","")&amp;IF(I1525="","Not approved | ",IF(UPPER(TRIM(H1525))=UPPER(TRIM(I1525)),"Self-approved | ",""))&amp;IF(J1525="","No support | ","")&amp;IF(WEEKDAY(B1525,2)&gt;5,"Weekend posting | ","")&amp;IF(COUNTIF(Settings!$A$14:$A$43,B1525)&gt;0,"Holiday posting | ","")&amp;IF(B1525&gt;Settings!$C$8,"Posted after close | ","")&amp;IF(OR(B1525&lt;Settings!$C$6,B1525&gt;Settings!$C$7),"Outside period | ","")&amp;IF(COUNTIF(Settings!$E$14:$E$43,C1525&amp;"")&gt;0,"Sensitive account | ","")&amp;IF(AND(MAX(N(E1525),N(F1525))&gt;=Settings!$C$9,MOD(MAX(N(E1525),N(F1525)),Settings!$C$10)=0),"Round amount | ","")="","",LEFT(IF(K1525="No","Does not balance | ","")&amp;IF(I1525="","Not approved | ",IF(UPPER(TRIM(H1525))=UPPER(TRIM(I1525)),"Self-approved | ",""))&amp;IF(J1525="","No support | ","")&amp;IF(WEEKDAY(B1525,2)&gt;5,"Weekend posting | ","")&amp;IF(COUNTIF(Settings!$A$14:$A$43,B1525)&gt;0,"Holiday posting | ","")&amp;IF(B1525&gt;Settings!$C$8,"Posted after close | ","")&amp;IF(OR(B1525&lt;Settings!$C$6,B1525&gt;Settings!$C$7),"Outside period | ","")&amp;IF(COUNTIF(Settings!$E$14:$E$43,C1525&amp;"")&gt;0,"Sensitive account | ","")&amp;IF(AND(MAX(N(E1525),N(F1525))&gt;=Settings!$C$9,MOD(MAX(N(E1525),N(F1525)),Settings!$C$10)=0),"Round amount | ",""),LEN(IF(K1525="No","Does not balance | ","")&amp;IF(I1525="","Not approved | ",IF(UPPER(TRIM(H1525))=UPPER(TRIM(I1525)),"Self-approved | ",""))&amp;IF(J1525="","No support | ","")&amp;IF(WEEKDAY(B1525,2)&gt;5,"Weekend posting | ","")&amp;IF(COUNTIF(Settings!$A$14:$A$43,B1525)&gt;0,"Holiday posting | ","")&amp;IF(B1525&gt;Settings!$C$8,"Posted after close | ","")&amp;IF(OR(B1525&lt;Settings!$C$6,B1525&gt;Settings!$C$7),"Outside period | ","")&amp;IF(COUNTIF(Settings!$E$14:$E$43,C1525&amp;"")&gt;0,"Sensitive account | ","")&amp;IF(AND(MAX(N(E1525),N(F1525))&gt;=Settings!$C$9,MOD(MAX(N(E1525),N(F1525)),Settings!$C$10)=0),"Round amount | ",""))-3)))</f>
        <v/>
      </c>
      <c r="M1525" s="21" t="str">
        <f aca="false">IF(A1525="","",IF(COUNTIF($A$9:A1525,A1525)=1,MAX($M$8:M1524)+1,""))</f>
        <v/>
      </c>
    </row>
    <row r="1526" customFormat="false" ht="15" hidden="false" customHeight="false" outlineLevel="0" collapsed="false">
      <c r="A1526" s="8"/>
      <c r="B1526" s="17"/>
      <c r="C1526" s="19"/>
      <c r="D1526" s="8"/>
      <c r="E1526" s="18"/>
      <c r="F1526" s="18"/>
      <c r="G1526" s="8"/>
      <c r="H1526" s="8"/>
      <c r="I1526" s="8"/>
      <c r="J1526" s="8"/>
      <c r="K1526" s="10" t="str">
        <f aca="false">IF(A1526="","",IF(ABS(SUMIFS($E$9:$E$2008,$A$9:$A$2008,A1526)-SUMIFS($F$9:$F$2008,$A$9:$A$2008,A1526))&lt;0.5,"Yes","No"))</f>
        <v/>
      </c>
      <c r="L1526" s="10" t="str">
        <f aca="false">IF(A1526="","",IF(IF(K1526="No","Does not balance | ","")&amp;IF(I1526="","Not approved | ",IF(UPPER(TRIM(H1526))=UPPER(TRIM(I1526)),"Self-approved | ",""))&amp;IF(J1526="","No support | ","")&amp;IF(WEEKDAY(B1526,2)&gt;5,"Weekend posting | ","")&amp;IF(COUNTIF(Settings!$A$14:$A$43,B1526)&gt;0,"Holiday posting | ","")&amp;IF(B1526&gt;Settings!$C$8,"Posted after close | ","")&amp;IF(OR(B1526&lt;Settings!$C$6,B1526&gt;Settings!$C$7),"Outside period | ","")&amp;IF(COUNTIF(Settings!$E$14:$E$43,C1526&amp;"")&gt;0,"Sensitive account | ","")&amp;IF(AND(MAX(N(E1526),N(F1526))&gt;=Settings!$C$9,MOD(MAX(N(E1526),N(F1526)),Settings!$C$10)=0),"Round amount | ","")="","",LEFT(IF(K1526="No","Does not balance | ","")&amp;IF(I1526="","Not approved | ",IF(UPPER(TRIM(H1526))=UPPER(TRIM(I1526)),"Self-approved | ",""))&amp;IF(J1526="","No support | ","")&amp;IF(WEEKDAY(B1526,2)&gt;5,"Weekend posting | ","")&amp;IF(COUNTIF(Settings!$A$14:$A$43,B1526)&gt;0,"Holiday posting | ","")&amp;IF(B1526&gt;Settings!$C$8,"Posted after close | ","")&amp;IF(OR(B1526&lt;Settings!$C$6,B1526&gt;Settings!$C$7),"Outside period | ","")&amp;IF(COUNTIF(Settings!$E$14:$E$43,C1526&amp;"")&gt;0,"Sensitive account | ","")&amp;IF(AND(MAX(N(E1526),N(F1526))&gt;=Settings!$C$9,MOD(MAX(N(E1526),N(F1526)),Settings!$C$10)=0),"Round amount | ",""),LEN(IF(K1526="No","Does not balance | ","")&amp;IF(I1526="","Not approved | ",IF(UPPER(TRIM(H1526))=UPPER(TRIM(I1526)),"Self-approved | ",""))&amp;IF(J1526="","No support | ","")&amp;IF(WEEKDAY(B1526,2)&gt;5,"Weekend posting | ","")&amp;IF(COUNTIF(Settings!$A$14:$A$43,B1526)&gt;0,"Holiday posting | ","")&amp;IF(B1526&gt;Settings!$C$8,"Posted after close | ","")&amp;IF(OR(B1526&lt;Settings!$C$6,B1526&gt;Settings!$C$7),"Outside period | ","")&amp;IF(COUNTIF(Settings!$E$14:$E$43,C1526&amp;"")&gt;0,"Sensitive account | ","")&amp;IF(AND(MAX(N(E1526),N(F1526))&gt;=Settings!$C$9,MOD(MAX(N(E1526),N(F1526)),Settings!$C$10)=0),"Round amount | ",""))-3)))</f>
        <v/>
      </c>
      <c r="M1526" s="21" t="str">
        <f aca="false">IF(A1526="","",IF(COUNTIF($A$9:A1526,A1526)=1,MAX($M$8:M1525)+1,""))</f>
        <v/>
      </c>
    </row>
    <row r="1527" customFormat="false" ht="15" hidden="false" customHeight="false" outlineLevel="0" collapsed="false">
      <c r="A1527" s="8"/>
      <c r="B1527" s="17"/>
      <c r="C1527" s="19"/>
      <c r="D1527" s="8"/>
      <c r="E1527" s="18"/>
      <c r="F1527" s="18"/>
      <c r="G1527" s="8"/>
      <c r="H1527" s="8"/>
      <c r="I1527" s="8"/>
      <c r="J1527" s="8"/>
      <c r="K1527" s="10" t="str">
        <f aca="false">IF(A1527="","",IF(ABS(SUMIFS($E$9:$E$2008,$A$9:$A$2008,A1527)-SUMIFS($F$9:$F$2008,$A$9:$A$2008,A1527))&lt;0.5,"Yes","No"))</f>
        <v/>
      </c>
      <c r="L1527" s="10" t="str">
        <f aca="false">IF(A1527="","",IF(IF(K1527="No","Does not balance | ","")&amp;IF(I1527="","Not approved | ",IF(UPPER(TRIM(H1527))=UPPER(TRIM(I1527)),"Self-approved | ",""))&amp;IF(J1527="","No support | ","")&amp;IF(WEEKDAY(B1527,2)&gt;5,"Weekend posting | ","")&amp;IF(COUNTIF(Settings!$A$14:$A$43,B1527)&gt;0,"Holiday posting | ","")&amp;IF(B1527&gt;Settings!$C$8,"Posted after close | ","")&amp;IF(OR(B1527&lt;Settings!$C$6,B1527&gt;Settings!$C$7),"Outside period | ","")&amp;IF(COUNTIF(Settings!$E$14:$E$43,C1527&amp;"")&gt;0,"Sensitive account | ","")&amp;IF(AND(MAX(N(E1527),N(F1527))&gt;=Settings!$C$9,MOD(MAX(N(E1527),N(F1527)),Settings!$C$10)=0),"Round amount | ","")="","",LEFT(IF(K1527="No","Does not balance | ","")&amp;IF(I1527="","Not approved | ",IF(UPPER(TRIM(H1527))=UPPER(TRIM(I1527)),"Self-approved | ",""))&amp;IF(J1527="","No support | ","")&amp;IF(WEEKDAY(B1527,2)&gt;5,"Weekend posting | ","")&amp;IF(COUNTIF(Settings!$A$14:$A$43,B1527)&gt;0,"Holiday posting | ","")&amp;IF(B1527&gt;Settings!$C$8,"Posted after close | ","")&amp;IF(OR(B1527&lt;Settings!$C$6,B1527&gt;Settings!$C$7),"Outside period | ","")&amp;IF(COUNTIF(Settings!$E$14:$E$43,C1527&amp;"")&gt;0,"Sensitive account | ","")&amp;IF(AND(MAX(N(E1527),N(F1527))&gt;=Settings!$C$9,MOD(MAX(N(E1527),N(F1527)),Settings!$C$10)=0),"Round amount | ",""),LEN(IF(K1527="No","Does not balance | ","")&amp;IF(I1527="","Not approved | ",IF(UPPER(TRIM(H1527))=UPPER(TRIM(I1527)),"Self-approved | ",""))&amp;IF(J1527="","No support | ","")&amp;IF(WEEKDAY(B1527,2)&gt;5,"Weekend posting | ","")&amp;IF(COUNTIF(Settings!$A$14:$A$43,B1527)&gt;0,"Holiday posting | ","")&amp;IF(B1527&gt;Settings!$C$8,"Posted after close | ","")&amp;IF(OR(B1527&lt;Settings!$C$6,B1527&gt;Settings!$C$7),"Outside period | ","")&amp;IF(COUNTIF(Settings!$E$14:$E$43,C1527&amp;"")&gt;0,"Sensitive account | ","")&amp;IF(AND(MAX(N(E1527),N(F1527))&gt;=Settings!$C$9,MOD(MAX(N(E1527),N(F1527)),Settings!$C$10)=0),"Round amount | ",""))-3)))</f>
        <v/>
      </c>
      <c r="M1527" s="21" t="str">
        <f aca="false">IF(A1527="","",IF(COUNTIF($A$9:A1527,A1527)=1,MAX($M$8:M1526)+1,""))</f>
        <v/>
      </c>
    </row>
    <row r="1528" customFormat="false" ht="15" hidden="false" customHeight="false" outlineLevel="0" collapsed="false">
      <c r="A1528" s="8"/>
      <c r="B1528" s="17"/>
      <c r="C1528" s="19"/>
      <c r="D1528" s="8"/>
      <c r="E1528" s="18"/>
      <c r="F1528" s="18"/>
      <c r="G1528" s="8"/>
      <c r="H1528" s="8"/>
      <c r="I1528" s="8"/>
      <c r="J1528" s="8"/>
      <c r="K1528" s="10" t="str">
        <f aca="false">IF(A1528="","",IF(ABS(SUMIFS($E$9:$E$2008,$A$9:$A$2008,A1528)-SUMIFS($F$9:$F$2008,$A$9:$A$2008,A1528))&lt;0.5,"Yes","No"))</f>
        <v/>
      </c>
      <c r="L1528" s="10" t="str">
        <f aca="false">IF(A1528="","",IF(IF(K1528="No","Does not balance | ","")&amp;IF(I1528="","Not approved | ",IF(UPPER(TRIM(H1528))=UPPER(TRIM(I1528)),"Self-approved | ",""))&amp;IF(J1528="","No support | ","")&amp;IF(WEEKDAY(B1528,2)&gt;5,"Weekend posting | ","")&amp;IF(COUNTIF(Settings!$A$14:$A$43,B1528)&gt;0,"Holiday posting | ","")&amp;IF(B1528&gt;Settings!$C$8,"Posted after close | ","")&amp;IF(OR(B1528&lt;Settings!$C$6,B1528&gt;Settings!$C$7),"Outside period | ","")&amp;IF(COUNTIF(Settings!$E$14:$E$43,C1528&amp;"")&gt;0,"Sensitive account | ","")&amp;IF(AND(MAX(N(E1528),N(F1528))&gt;=Settings!$C$9,MOD(MAX(N(E1528),N(F1528)),Settings!$C$10)=0),"Round amount | ","")="","",LEFT(IF(K1528="No","Does not balance | ","")&amp;IF(I1528="","Not approved | ",IF(UPPER(TRIM(H1528))=UPPER(TRIM(I1528)),"Self-approved | ",""))&amp;IF(J1528="","No support | ","")&amp;IF(WEEKDAY(B1528,2)&gt;5,"Weekend posting | ","")&amp;IF(COUNTIF(Settings!$A$14:$A$43,B1528)&gt;0,"Holiday posting | ","")&amp;IF(B1528&gt;Settings!$C$8,"Posted after close | ","")&amp;IF(OR(B1528&lt;Settings!$C$6,B1528&gt;Settings!$C$7),"Outside period | ","")&amp;IF(COUNTIF(Settings!$E$14:$E$43,C1528&amp;"")&gt;0,"Sensitive account | ","")&amp;IF(AND(MAX(N(E1528),N(F1528))&gt;=Settings!$C$9,MOD(MAX(N(E1528),N(F1528)),Settings!$C$10)=0),"Round amount | ",""),LEN(IF(K1528="No","Does not balance | ","")&amp;IF(I1528="","Not approved | ",IF(UPPER(TRIM(H1528))=UPPER(TRIM(I1528)),"Self-approved | ",""))&amp;IF(J1528="","No support | ","")&amp;IF(WEEKDAY(B1528,2)&gt;5,"Weekend posting | ","")&amp;IF(COUNTIF(Settings!$A$14:$A$43,B1528)&gt;0,"Holiday posting | ","")&amp;IF(B1528&gt;Settings!$C$8,"Posted after close | ","")&amp;IF(OR(B1528&lt;Settings!$C$6,B1528&gt;Settings!$C$7),"Outside period | ","")&amp;IF(COUNTIF(Settings!$E$14:$E$43,C1528&amp;"")&gt;0,"Sensitive account | ","")&amp;IF(AND(MAX(N(E1528),N(F1528))&gt;=Settings!$C$9,MOD(MAX(N(E1528),N(F1528)),Settings!$C$10)=0),"Round amount | ",""))-3)))</f>
        <v/>
      </c>
      <c r="M1528" s="21" t="str">
        <f aca="false">IF(A1528="","",IF(COUNTIF($A$9:A1528,A1528)=1,MAX($M$8:M1527)+1,""))</f>
        <v/>
      </c>
    </row>
    <row r="1529" customFormat="false" ht="15" hidden="false" customHeight="false" outlineLevel="0" collapsed="false">
      <c r="A1529" s="8"/>
      <c r="B1529" s="17"/>
      <c r="C1529" s="19"/>
      <c r="D1529" s="8"/>
      <c r="E1529" s="18"/>
      <c r="F1529" s="18"/>
      <c r="G1529" s="8"/>
      <c r="H1529" s="8"/>
      <c r="I1529" s="8"/>
      <c r="J1529" s="8"/>
      <c r="K1529" s="10" t="str">
        <f aca="false">IF(A1529="","",IF(ABS(SUMIFS($E$9:$E$2008,$A$9:$A$2008,A1529)-SUMIFS($F$9:$F$2008,$A$9:$A$2008,A1529))&lt;0.5,"Yes","No"))</f>
        <v/>
      </c>
      <c r="L1529" s="10" t="str">
        <f aca="false">IF(A1529="","",IF(IF(K1529="No","Does not balance | ","")&amp;IF(I1529="","Not approved | ",IF(UPPER(TRIM(H1529))=UPPER(TRIM(I1529)),"Self-approved | ",""))&amp;IF(J1529="","No support | ","")&amp;IF(WEEKDAY(B1529,2)&gt;5,"Weekend posting | ","")&amp;IF(COUNTIF(Settings!$A$14:$A$43,B1529)&gt;0,"Holiday posting | ","")&amp;IF(B1529&gt;Settings!$C$8,"Posted after close | ","")&amp;IF(OR(B1529&lt;Settings!$C$6,B1529&gt;Settings!$C$7),"Outside period | ","")&amp;IF(COUNTIF(Settings!$E$14:$E$43,C1529&amp;"")&gt;0,"Sensitive account | ","")&amp;IF(AND(MAX(N(E1529),N(F1529))&gt;=Settings!$C$9,MOD(MAX(N(E1529),N(F1529)),Settings!$C$10)=0),"Round amount | ","")="","",LEFT(IF(K1529="No","Does not balance | ","")&amp;IF(I1529="","Not approved | ",IF(UPPER(TRIM(H1529))=UPPER(TRIM(I1529)),"Self-approved | ",""))&amp;IF(J1529="","No support | ","")&amp;IF(WEEKDAY(B1529,2)&gt;5,"Weekend posting | ","")&amp;IF(COUNTIF(Settings!$A$14:$A$43,B1529)&gt;0,"Holiday posting | ","")&amp;IF(B1529&gt;Settings!$C$8,"Posted after close | ","")&amp;IF(OR(B1529&lt;Settings!$C$6,B1529&gt;Settings!$C$7),"Outside period | ","")&amp;IF(COUNTIF(Settings!$E$14:$E$43,C1529&amp;"")&gt;0,"Sensitive account | ","")&amp;IF(AND(MAX(N(E1529),N(F1529))&gt;=Settings!$C$9,MOD(MAX(N(E1529),N(F1529)),Settings!$C$10)=0),"Round amount | ",""),LEN(IF(K1529="No","Does not balance | ","")&amp;IF(I1529="","Not approved | ",IF(UPPER(TRIM(H1529))=UPPER(TRIM(I1529)),"Self-approved | ",""))&amp;IF(J1529="","No support | ","")&amp;IF(WEEKDAY(B1529,2)&gt;5,"Weekend posting | ","")&amp;IF(COUNTIF(Settings!$A$14:$A$43,B1529)&gt;0,"Holiday posting | ","")&amp;IF(B1529&gt;Settings!$C$8,"Posted after close | ","")&amp;IF(OR(B1529&lt;Settings!$C$6,B1529&gt;Settings!$C$7),"Outside period | ","")&amp;IF(COUNTIF(Settings!$E$14:$E$43,C1529&amp;"")&gt;0,"Sensitive account | ","")&amp;IF(AND(MAX(N(E1529),N(F1529))&gt;=Settings!$C$9,MOD(MAX(N(E1529),N(F1529)),Settings!$C$10)=0),"Round amount | ",""))-3)))</f>
        <v/>
      </c>
      <c r="M1529" s="21" t="str">
        <f aca="false">IF(A1529="","",IF(COUNTIF($A$9:A1529,A1529)=1,MAX($M$8:M1528)+1,""))</f>
        <v/>
      </c>
    </row>
    <row r="1530" customFormat="false" ht="15" hidden="false" customHeight="false" outlineLevel="0" collapsed="false">
      <c r="A1530" s="8"/>
      <c r="B1530" s="17"/>
      <c r="C1530" s="19"/>
      <c r="D1530" s="8"/>
      <c r="E1530" s="18"/>
      <c r="F1530" s="18"/>
      <c r="G1530" s="8"/>
      <c r="H1530" s="8"/>
      <c r="I1530" s="8"/>
      <c r="J1530" s="8"/>
      <c r="K1530" s="10" t="str">
        <f aca="false">IF(A1530="","",IF(ABS(SUMIFS($E$9:$E$2008,$A$9:$A$2008,A1530)-SUMIFS($F$9:$F$2008,$A$9:$A$2008,A1530))&lt;0.5,"Yes","No"))</f>
        <v/>
      </c>
      <c r="L1530" s="10" t="str">
        <f aca="false">IF(A1530="","",IF(IF(K1530="No","Does not balance | ","")&amp;IF(I1530="","Not approved | ",IF(UPPER(TRIM(H1530))=UPPER(TRIM(I1530)),"Self-approved | ",""))&amp;IF(J1530="","No support | ","")&amp;IF(WEEKDAY(B1530,2)&gt;5,"Weekend posting | ","")&amp;IF(COUNTIF(Settings!$A$14:$A$43,B1530)&gt;0,"Holiday posting | ","")&amp;IF(B1530&gt;Settings!$C$8,"Posted after close | ","")&amp;IF(OR(B1530&lt;Settings!$C$6,B1530&gt;Settings!$C$7),"Outside period | ","")&amp;IF(COUNTIF(Settings!$E$14:$E$43,C1530&amp;"")&gt;0,"Sensitive account | ","")&amp;IF(AND(MAX(N(E1530),N(F1530))&gt;=Settings!$C$9,MOD(MAX(N(E1530),N(F1530)),Settings!$C$10)=0),"Round amount | ","")="","",LEFT(IF(K1530="No","Does not balance | ","")&amp;IF(I1530="","Not approved | ",IF(UPPER(TRIM(H1530))=UPPER(TRIM(I1530)),"Self-approved | ",""))&amp;IF(J1530="","No support | ","")&amp;IF(WEEKDAY(B1530,2)&gt;5,"Weekend posting | ","")&amp;IF(COUNTIF(Settings!$A$14:$A$43,B1530)&gt;0,"Holiday posting | ","")&amp;IF(B1530&gt;Settings!$C$8,"Posted after close | ","")&amp;IF(OR(B1530&lt;Settings!$C$6,B1530&gt;Settings!$C$7),"Outside period | ","")&amp;IF(COUNTIF(Settings!$E$14:$E$43,C1530&amp;"")&gt;0,"Sensitive account | ","")&amp;IF(AND(MAX(N(E1530),N(F1530))&gt;=Settings!$C$9,MOD(MAX(N(E1530),N(F1530)),Settings!$C$10)=0),"Round amount | ",""),LEN(IF(K1530="No","Does not balance | ","")&amp;IF(I1530="","Not approved | ",IF(UPPER(TRIM(H1530))=UPPER(TRIM(I1530)),"Self-approved | ",""))&amp;IF(J1530="","No support | ","")&amp;IF(WEEKDAY(B1530,2)&gt;5,"Weekend posting | ","")&amp;IF(COUNTIF(Settings!$A$14:$A$43,B1530)&gt;0,"Holiday posting | ","")&amp;IF(B1530&gt;Settings!$C$8,"Posted after close | ","")&amp;IF(OR(B1530&lt;Settings!$C$6,B1530&gt;Settings!$C$7),"Outside period | ","")&amp;IF(COUNTIF(Settings!$E$14:$E$43,C1530&amp;"")&gt;0,"Sensitive account | ","")&amp;IF(AND(MAX(N(E1530),N(F1530))&gt;=Settings!$C$9,MOD(MAX(N(E1530),N(F1530)),Settings!$C$10)=0),"Round amount | ",""))-3)))</f>
        <v/>
      </c>
      <c r="M1530" s="21" t="str">
        <f aca="false">IF(A1530="","",IF(COUNTIF($A$9:A1530,A1530)=1,MAX($M$8:M1529)+1,""))</f>
        <v/>
      </c>
    </row>
    <row r="1531" customFormat="false" ht="15" hidden="false" customHeight="false" outlineLevel="0" collapsed="false">
      <c r="A1531" s="8"/>
      <c r="B1531" s="17"/>
      <c r="C1531" s="19"/>
      <c r="D1531" s="8"/>
      <c r="E1531" s="18"/>
      <c r="F1531" s="18"/>
      <c r="G1531" s="8"/>
      <c r="H1531" s="8"/>
      <c r="I1531" s="8"/>
      <c r="J1531" s="8"/>
      <c r="K1531" s="10" t="str">
        <f aca="false">IF(A1531="","",IF(ABS(SUMIFS($E$9:$E$2008,$A$9:$A$2008,A1531)-SUMIFS($F$9:$F$2008,$A$9:$A$2008,A1531))&lt;0.5,"Yes","No"))</f>
        <v/>
      </c>
      <c r="L1531" s="10" t="str">
        <f aca="false">IF(A1531="","",IF(IF(K1531="No","Does not balance | ","")&amp;IF(I1531="","Not approved | ",IF(UPPER(TRIM(H1531))=UPPER(TRIM(I1531)),"Self-approved | ",""))&amp;IF(J1531="","No support | ","")&amp;IF(WEEKDAY(B1531,2)&gt;5,"Weekend posting | ","")&amp;IF(COUNTIF(Settings!$A$14:$A$43,B1531)&gt;0,"Holiday posting | ","")&amp;IF(B1531&gt;Settings!$C$8,"Posted after close | ","")&amp;IF(OR(B1531&lt;Settings!$C$6,B1531&gt;Settings!$C$7),"Outside period | ","")&amp;IF(COUNTIF(Settings!$E$14:$E$43,C1531&amp;"")&gt;0,"Sensitive account | ","")&amp;IF(AND(MAX(N(E1531),N(F1531))&gt;=Settings!$C$9,MOD(MAX(N(E1531),N(F1531)),Settings!$C$10)=0),"Round amount | ","")="","",LEFT(IF(K1531="No","Does not balance | ","")&amp;IF(I1531="","Not approved | ",IF(UPPER(TRIM(H1531))=UPPER(TRIM(I1531)),"Self-approved | ",""))&amp;IF(J1531="","No support | ","")&amp;IF(WEEKDAY(B1531,2)&gt;5,"Weekend posting | ","")&amp;IF(COUNTIF(Settings!$A$14:$A$43,B1531)&gt;0,"Holiday posting | ","")&amp;IF(B1531&gt;Settings!$C$8,"Posted after close | ","")&amp;IF(OR(B1531&lt;Settings!$C$6,B1531&gt;Settings!$C$7),"Outside period | ","")&amp;IF(COUNTIF(Settings!$E$14:$E$43,C1531&amp;"")&gt;0,"Sensitive account | ","")&amp;IF(AND(MAX(N(E1531),N(F1531))&gt;=Settings!$C$9,MOD(MAX(N(E1531),N(F1531)),Settings!$C$10)=0),"Round amount | ",""),LEN(IF(K1531="No","Does not balance | ","")&amp;IF(I1531="","Not approved | ",IF(UPPER(TRIM(H1531))=UPPER(TRIM(I1531)),"Self-approved | ",""))&amp;IF(J1531="","No support | ","")&amp;IF(WEEKDAY(B1531,2)&gt;5,"Weekend posting | ","")&amp;IF(COUNTIF(Settings!$A$14:$A$43,B1531)&gt;0,"Holiday posting | ","")&amp;IF(B1531&gt;Settings!$C$8,"Posted after close | ","")&amp;IF(OR(B1531&lt;Settings!$C$6,B1531&gt;Settings!$C$7),"Outside period | ","")&amp;IF(COUNTIF(Settings!$E$14:$E$43,C1531&amp;"")&gt;0,"Sensitive account | ","")&amp;IF(AND(MAX(N(E1531),N(F1531))&gt;=Settings!$C$9,MOD(MAX(N(E1531),N(F1531)),Settings!$C$10)=0),"Round amount | ",""))-3)))</f>
        <v/>
      </c>
      <c r="M1531" s="21" t="str">
        <f aca="false">IF(A1531="","",IF(COUNTIF($A$9:A1531,A1531)=1,MAX($M$8:M1530)+1,""))</f>
        <v/>
      </c>
    </row>
    <row r="1532" customFormat="false" ht="15" hidden="false" customHeight="false" outlineLevel="0" collapsed="false">
      <c r="A1532" s="8"/>
      <c r="B1532" s="17"/>
      <c r="C1532" s="19"/>
      <c r="D1532" s="8"/>
      <c r="E1532" s="18"/>
      <c r="F1532" s="18"/>
      <c r="G1532" s="8"/>
      <c r="H1532" s="8"/>
      <c r="I1532" s="8"/>
      <c r="J1532" s="8"/>
      <c r="K1532" s="10" t="str">
        <f aca="false">IF(A1532="","",IF(ABS(SUMIFS($E$9:$E$2008,$A$9:$A$2008,A1532)-SUMIFS($F$9:$F$2008,$A$9:$A$2008,A1532))&lt;0.5,"Yes","No"))</f>
        <v/>
      </c>
      <c r="L1532" s="10" t="str">
        <f aca="false">IF(A1532="","",IF(IF(K1532="No","Does not balance | ","")&amp;IF(I1532="","Not approved | ",IF(UPPER(TRIM(H1532))=UPPER(TRIM(I1532)),"Self-approved | ",""))&amp;IF(J1532="","No support | ","")&amp;IF(WEEKDAY(B1532,2)&gt;5,"Weekend posting | ","")&amp;IF(COUNTIF(Settings!$A$14:$A$43,B1532)&gt;0,"Holiday posting | ","")&amp;IF(B1532&gt;Settings!$C$8,"Posted after close | ","")&amp;IF(OR(B1532&lt;Settings!$C$6,B1532&gt;Settings!$C$7),"Outside period | ","")&amp;IF(COUNTIF(Settings!$E$14:$E$43,C1532&amp;"")&gt;0,"Sensitive account | ","")&amp;IF(AND(MAX(N(E1532),N(F1532))&gt;=Settings!$C$9,MOD(MAX(N(E1532),N(F1532)),Settings!$C$10)=0),"Round amount | ","")="","",LEFT(IF(K1532="No","Does not balance | ","")&amp;IF(I1532="","Not approved | ",IF(UPPER(TRIM(H1532))=UPPER(TRIM(I1532)),"Self-approved | ",""))&amp;IF(J1532="","No support | ","")&amp;IF(WEEKDAY(B1532,2)&gt;5,"Weekend posting | ","")&amp;IF(COUNTIF(Settings!$A$14:$A$43,B1532)&gt;0,"Holiday posting | ","")&amp;IF(B1532&gt;Settings!$C$8,"Posted after close | ","")&amp;IF(OR(B1532&lt;Settings!$C$6,B1532&gt;Settings!$C$7),"Outside period | ","")&amp;IF(COUNTIF(Settings!$E$14:$E$43,C1532&amp;"")&gt;0,"Sensitive account | ","")&amp;IF(AND(MAX(N(E1532),N(F1532))&gt;=Settings!$C$9,MOD(MAX(N(E1532),N(F1532)),Settings!$C$10)=0),"Round amount | ",""),LEN(IF(K1532="No","Does not balance | ","")&amp;IF(I1532="","Not approved | ",IF(UPPER(TRIM(H1532))=UPPER(TRIM(I1532)),"Self-approved | ",""))&amp;IF(J1532="","No support | ","")&amp;IF(WEEKDAY(B1532,2)&gt;5,"Weekend posting | ","")&amp;IF(COUNTIF(Settings!$A$14:$A$43,B1532)&gt;0,"Holiday posting | ","")&amp;IF(B1532&gt;Settings!$C$8,"Posted after close | ","")&amp;IF(OR(B1532&lt;Settings!$C$6,B1532&gt;Settings!$C$7),"Outside period | ","")&amp;IF(COUNTIF(Settings!$E$14:$E$43,C1532&amp;"")&gt;0,"Sensitive account | ","")&amp;IF(AND(MAX(N(E1532),N(F1532))&gt;=Settings!$C$9,MOD(MAX(N(E1532),N(F1532)),Settings!$C$10)=0),"Round amount | ",""))-3)))</f>
        <v/>
      </c>
      <c r="M1532" s="21" t="str">
        <f aca="false">IF(A1532="","",IF(COUNTIF($A$9:A1532,A1532)=1,MAX($M$8:M1531)+1,""))</f>
        <v/>
      </c>
    </row>
    <row r="1533" customFormat="false" ht="15" hidden="false" customHeight="false" outlineLevel="0" collapsed="false">
      <c r="A1533" s="8"/>
      <c r="B1533" s="17"/>
      <c r="C1533" s="19"/>
      <c r="D1533" s="8"/>
      <c r="E1533" s="18"/>
      <c r="F1533" s="18"/>
      <c r="G1533" s="8"/>
      <c r="H1533" s="8"/>
      <c r="I1533" s="8"/>
      <c r="J1533" s="8"/>
      <c r="K1533" s="10" t="str">
        <f aca="false">IF(A1533="","",IF(ABS(SUMIFS($E$9:$E$2008,$A$9:$A$2008,A1533)-SUMIFS($F$9:$F$2008,$A$9:$A$2008,A1533))&lt;0.5,"Yes","No"))</f>
        <v/>
      </c>
      <c r="L1533" s="10" t="str">
        <f aca="false">IF(A1533="","",IF(IF(K1533="No","Does not balance | ","")&amp;IF(I1533="","Not approved | ",IF(UPPER(TRIM(H1533))=UPPER(TRIM(I1533)),"Self-approved | ",""))&amp;IF(J1533="","No support | ","")&amp;IF(WEEKDAY(B1533,2)&gt;5,"Weekend posting | ","")&amp;IF(COUNTIF(Settings!$A$14:$A$43,B1533)&gt;0,"Holiday posting | ","")&amp;IF(B1533&gt;Settings!$C$8,"Posted after close | ","")&amp;IF(OR(B1533&lt;Settings!$C$6,B1533&gt;Settings!$C$7),"Outside period | ","")&amp;IF(COUNTIF(Settings!$E$14:$E$43,C1533&amp;"")&gt;0,"Sensitive account | ","")&amp;IF(AND(MAX(N(E1533),N(F1533))&gt;=Settings!$C$9,MOD(MAX(N(E1533),N(F1533)),Settings!$C$10)=0),"Round amount | ","")="","",LEFT(IF(K1533="No","Does not balance | ","")&amp;IF(I1533="","Not approved | ",IF(UPPER(TRIM(H1533))=UPPER(TRIM(I1533)),"Self-approved | ",""))&amp;IF(J1533="","No support | ","")&amp;IF(WEEKDAY(B1533,2)&gt;5,"Weekend posting | ","")&amp;IF(COUNTIF(Settings!$A$14:$A$43,B1533)&gt;0,"Holiday posting | ","")&amp;IF(B1533&gt;Settings!$C$8,"Posted after close | ","")&amp;IF(OR(B1533&lt;Settings!$C$6,B1533&gt;Settings!$C$7),"Outside period | ","")&amp;IF(COUNTIF(Settings!$E$14:$E$43,C1533&amp;"")&gt;0,"Sensitive account | ","")&amp;IF(AND(MAX(N(E1533),N(F1533))&gt;=Settings!$C$9,MOD(MAX(N(E1533),N(F1533)),Settings!$C$10)=0),"Round amount | ",""),LEN(IF(K1533="No","Does not balance | ","")&amp;IF(I1533="","Not approved | ",IF(UPPER(TRIM(H1533))=UPPER(TRIM(I1533)),"Self-approved | ",""))&amp;IF(J1533="","No support | ","")&amp;IF(WEEKDAY(B1533,2)&gt;5,"Weekend posting | ","")&amp;IF(COUNTIF(Settings!$A$14:$A$43,B1533)&gt;0,"Holiday posting | ","")&amp;IF(B1533&gt;Settings!$C$8,"Posted after close | ","")&amp;IF(OR(B1533&lt;Settings!$C$6,B1533&gt;Settings!$C$7),"Outside period | ","")&amp;IF(COUNTIF(Settings!$E$14:$E$43,C1533&amp;"")&gt;0,"Sensitive account | ","")&amp;IF(AND(MAX(N(E1533),N(F1533))&gt;=Settings!$C$9,MOD(MAX(N(E1533),N(F1533)),Settings!$C$10)=0),"Round amount | ",""))-3)))</f>
        <v/>
      </c>
      <c r="M1533" s="21" t="str">
        <f aca="false">IF(A1533="","",IF(COUNTIF($A$9:A1533,A1533)=1,MAX($M$8:M1532)+1,""))</f>
        <v/>
      </c>
    </row>
    <row r="1534" customFormat="false" ht="15" hidden="false" customHeight="false" outlineLevel="0" collapsed="false">
      <c r="A1534" s="8"/>
      <c r="B1534" s="17"/>
      <c r="C1534" s="19"/>
      <c r="D1534" s="8"/>
      <c r="E1534" s="18"/>
      <c r="F1534" s="18"/>
      <c r="G1534" s="8"/>
      <c r="H1534" s="8"/>
      <c r="I1534" s="8"/>
      <c r="J1534" s="8"/>
      <c r="K1534" s="10" t="str">
        <f aca="false">IF(A1534="","",IF(ABS(SUMIFS($E$9:$E$2008,$A$9:$A$2008,A1534)-SUMIFS($F$9:$F$2008,$A$9:$A$2008,A1534))&lt;0.5,"Yes","No"))</f>
        <v/>
      </c>
      <c r="L1534" s="10" t="str">
        <f aca="false">IF(A1534="","",IF(IF(K1534="No","Does not balance | ","")&amp;IF(I1534="","Not approved | ",IF(UPPER(TRIM(H1534))=UPPER(TRIM(I1534)),"Self-approved | ",""))&amp;IF(J1534="","No support | ","")&amp;IF(WEEKDAY(B1534,2)&gt;5,"Weekend posting | ","")&amp;IF(COUNTIF(Settings!$A$14:$A$43,B1534)&gt;0,"Holiday posting | ","")&amp;IF(B1534&gt;Settings!$C$8,"Posted after close | ","")&amp;IF(OR(B1534&lt;Settings!$C$6,B1534&gt;Settings!$C$7),"Outside period | ","")&amp;IF(COUNTIF(Settings!$E$14:$E$43,C1534&amp;"")&gt;0,"Sensitive account | ","")&amp;IF(AND(MAX(N(E1534),N(F1534))&gt;=Settings!$C$9,MOD(MAX(N(E1534),N(F1534)),Settings!$C$10)=0),"Round amount | ","")="","",LEFT(IF(K1534="No","Does not balance | ","")&amp;IF(I1534="","Not approved | ",IF(UPPER(TRIM(H1534))=UPPER(TRIM(I1534)),"Self-approved | ",""))&amp;IF(J1534="","No support | ","")&amp;IF(WEEKDAY(B1534,2)&gt;5,"Weekend posting | ","")&amp;IF(COUNTIF(Settings!$A$14:$A$43,B1534)&gt;0,"Holiday posting | ","")&amp;IF(B1534&gt;Settings!$C$8,"Posted after close | ","")&amp;IF(OR(B1534&lt;Settings!$C$6,B1534&gt;Settings!$C$7),"Outside period | ","")&amp;IF(COUNTIF(Settings!$E$14:$E$43,C1534&amp;"")&gt;0,"Sensitive account | ","")&amp;IF(AND(MAX(N(E1534),N(F1534))&gt;=Settings!$C$9,MOD(MAX(N(E1534),N(F1534)),Settings!$C$10)=0),"Round amount | ",""),LEN(IF(K1534="No","Does not balance | ","")&amp;IF(I1534="","Not approved | ",IF(UPPER(TRIM(H1534))=UPPER(TRIM(I1534)),"Self-approved | ",""))&amp;IF(J1534="","No support | ","")&amp;IF(WEEKDAY(B1534,2)&gt;5,"Weekend posting | ","")&amp;IF(COUNTIF(Settings!$A$14:$A$43,B1534)&gt;0,"Holiday posting | ","")&amp;IF(B1534&gt;Settings!$C$8,"Posted after close | ","")&amp;IF(OR(B1534&lt;Settings!$C$6,B1534&gt;Settings!$C$7),"Outside period | ","")&amp;IF(COUNTIF(Settings!$E$14:$E$43,C1534&amp;"")&gt;0,"Sensitive account | ","")&amp;IF(AND(MAX(N(E1534),N(F1534))&gt;=Settings!$C$9,MOD(MAX(N(E1534),N(F1534)),Settings!$C$10)=0),"Round amount | ",""))-3)))</f>
        <v/>
      </c>
      <c r="M1534" s="21" t="str">
        <f aca="false">IF(A1534="","",IF(COUNTIF($A$9:A1534,A1534)=1,MAX($M$8:M1533)+1,""))</f>
        <v/>
      </c>
    </row>
    <row r="1535" customFormat="false" ht="15" hidden="false" customHeight="false" outlineLevel="0" collapsed="false">
      <c r="A1535" s="8"/>
      <c r="B1535" s="17"/>
      <c r="C1535" s="19"/>
      <c r="D1535" s="8"/>
      <c r="E1535" s="18"/>
      <c r="F1535" s="18"/>
      <c r="G1535" s="8"/>
      <c r="H1535" s="8"/>
      <c r="I1535" s="8"/>
      <c r="J1535" s="8"/>
      <c r="K1535" s="10" t="str">
        <f aca="false">IF(A1535="","",IF(ABS(SUMIFS($E$9:$E$2008,$A$9:$A$2008,A1535)-SUMIFS($F$9:$F$2008,$A$9:$A$2008,A1535))&lt;0.5,"Yes","No"))</f>
        <v/>
      </c>
      <c r="L1535" s="10" t="str">
        <f aca="false">IF(A1535="","",IF(IF(K1535="No","Does not balance | ","")&amp;IF(I1535="","Not approved | ",IF(UPPER(TRIM(H1535))=UPPER(TRIM(I1535)),"Self-approved | ",""))&amp;IF(J1535="","No support | ","")&amp;IF(WEEKDAY(B1535,2)&gt;5,"Weekend posting | ","")&amp;IF(COUNTIF(Settings!$A$14:$A$43,B1535)&gt;0,"Holiday posting | ","")&amp;IF(B1535&gt;Settings!$C$8,"Posted after close | ","")&amp;IF(OR(B1535&lt;Settings!$C$6,B1535&gt;Settings!$C$7),"Outside period | ","")&amp;IF(COUNTIF(Settings!$E$14:$E$43,C1535&amp;"")&gt;0,"Sensitive account | ","")&amp;IF(AND(MAX(N(E1535),N(F1535))&gt;=Settings!$C$9,MOD(MAX(N(E1535),N(F1535)),Settings!$C$10)=0),"Round amount | ","")="","",LEFT(IF(K1535="No","Does not balance | ","")&amp;IF(I1535="","Not approved | ",IF(UPPER(TRIM(H1535))=UPPER(TRIM(I1535)),"Self-approved | ",""))&amp;IF(J1535="","No support | ","")&amp;IF(WEEKDAY(B1535,2)&gt;5,"Weekend posting | ","")&amp;IF(COUNTIF(Settings!$A$14:$A$43,B1535)&gt;0,"Holiday posting | ","")&amp;IF(B1535&gt;Settings!$C$8,"Posted after close | ","")&amp;IF(OR(B1535&lt;Settings!$C$6,B1535&gt;Settings!$C$7),"Outside period | ","")&amp;IF(COUNTIF(Settings!$E$14:$E$43,C1535&amp;"")&gt;0,"Sensitive account | ","")&amp;IF(AND(MAX(N(E1535),N(F1535))&gt;=Settings!$C$9,MOD(MAX(N(E1535),N(F1535)),Settings!$C$10)=0),"Round amount | ",""),LEN(IF(K1535="No","Does not balance | ","")&amp;IF(I1535="","Not approved | ",IF(UPPER(TRIM(H1535))=UPPER(TRIM(I1535)),"Self-approved | ",""))&amp;IF(J1535="","No support | ","")&amp;IF(WEEKDAY(B1535,2)&gt;5,"Weekend posting | ","")&amp;IF(COUNTIF(Settings!$A$14:$A$43,B1535)&gt;0,"Holiday posting | ","")&amp;IF(B1535&gt;Settings!$C$8,"Posted after close | ","")&amp;IF(OR(B1535&lt;Settings!$C$6,B1535&gt;Settings!$C$7),"Outside period | ","")&amp;IF(COUNTIF(Settings!$E$14:$E$43,C1535&amp;"")&gt;0,"Sensitive account | ","")&amp;IF(AND(MAX(N(E1535),N(F1535))&gt;=Settings!$C$9,MOD(MAX(N(E1535),N(F1535)),Settings!$C$10)=0),"Round amount | ",""))-3)))</f>
        <v/>
      </c>
      <c r="M1535" s="21" t="str">
        <f aca="false">IF(A1535="","",IF(COUNTIF($A$9:A1535,A1535)=1,MAX($M$8:M1534)+1,""))</f>
        <v/>
      </c>
    </row>
    <row r="1536" customFormat="false" ht="15" hidden="false" customHeight="false" outlineLevel="0" collapsed="false">
      <c r="A1536" s="8"/>
      <c r="B1536" s="17"/>
      <c r="C1536" s="19"/>
      <c r="D1536" s="8"/>
      <c r="E1536" s="18"/>
      <c r="F1536" s="18"/>
      <c r="G1536" s="8"/>
      <c r="H1536" s="8"/>
      <c r="I1536" s="8"/>
      <c r="J1536" s="8"/>
      <c r="K1536" s="10" t="str">
        <f aca="false">IF(A1536="","",IF(ABS(SUMIFS($E$9:$E$2008,$A$9:$A$2008,A1536)-SUMIFS($F$9:$F$2008,$A$9:$A$2008,A1536))&lt;0.5,"Yes","No"))</f>
        <v/>
      </c>
      <c r="L1536" s="10" t="str">
        <f aca="false">IF(A1536="","",IF(IF(K1536="No","Does not balance | ","")&amp;IF(I1536="","Not approved | ",IF(UPPER(TRIM(H1536))=UPPER(TRIM(I1536)),"Self-approved | ",""))&amp;IF(J1536="","No support | ","")&amp;IF(WEEKDAY(B1536,2)&gt;5,"Weekend posting | ","")&amp;IF(COUNTIF(Settings!$A$14:$A$43,B1536)&gt;0,"Holiday posting | ","")&amp;IF(B1536&gt;Settings!$C$8,"Posted after close | ","")&amp;IF(OR(B1536&lt;Settings!$C$6,B1536&gt;Settings!$C$7),"Outside period | ","")&amp;IF(COUNTIF(Settings!$E$14:$E$43,C1536&amp;"")&gt;0,"Sensitive account | ","")&amp;IF(AND(MAX(N(E1536),N(F1536))&gt;=Settings!$C$9,MOD(MAX(N(E1536),N(F1536)),Settings!$C$10)=0),"Round amount | ","")="","",LEFT(IF(K1536="No","Does not balance | ","")&amp;IF(I1536="","Not approved | ",IF(UPPER(TRIM(H1536))=UPPER(TRIM(I1536)),"Self-approved | ",""))&amp;IF(J1536="","No support | ","")&amp;IF(WEEKDAY(B1536,2)&gt;5,"Weekend posting | ","")&amp;IF(COUNTIF(Settings!$A$14:$A$43,B1536)&gt;0,"Holiday posting | ","")&amp;IF(B1536&gt;Settings!$C$8,"Posted after close | ","")&amp;IF(OR(B1536&lt;Settings!$C$6,B1536&gt;Settings!$C$7),"Outside period | ","")&amp;IF(COUNTIF(Settings!$E$14:$E$43,C1536&amp;"")&gt;0,"Sensitive account | ","")&amp;IF(AND(MAX(N(E1536),N(F1536))&gt;=Settings!$C$9,MOD(MAX(N(E1536),N(F1536)),Settings!$C$10)=0),"Round amount | ",""),LEN(IF(K1536="No","Does not balance | ","")&amp;IF(I1536="","Not approved | ",IF(UPPER(TRIM(H1536))=UPPER(TRIM(I1536)),"Self-approved | ",""))&amp;IF(J1536="","No support | ","")&amp;IF(WEEKDAY(B1536,2)&gt;5,"Weekend posting | ","")&amp;IF(COUNTIF(Settings!$A$14:$A$43,B1536)&gt;0,"Holiday posting | ","")&amp;IF(B1536&gt;Settings!$C$8,"Posted after close | ","")&amp;IF(OR(B1536&lt;Settings!$C$6,B1536&gt;Settings!$C$7),"Outside period | ","")&amp;IF(COUNTIF(Settings!$E$14:$E$43,C1536&amp;"")&gt;0,"Sensitive account | ","")&amp;IF(AND(MAX(N(E1536),N(F1536))&gt;=Settings!$C$9,MOD(MAX(N(E1536),N(F1536)),Settings!$C$10)=0),"Round amount | ",""))-3)))</f>
        <v/>
      </c>
      <c r="M1536" s="21" t="str">
        <f aca="false">IF(A1536="","",IF(COUNTIF($A$9:A1536,A1536)=1,MAX($M$8:M1535)+1,""))</f>
        <v/>
      </c>
    </row>
    <row r="1537" customFormat="false" ht="15" hidden="false" customHeight="false" outlineLevel="0" collapsed="false">
      <c r="A1537" s="8"/>
      <c r="B1537" s="17"/>
      <c r="C1537" s="19"/>
      <c r="D1537" s="8"/>
      <c r="E1537" s="18"/>
      <c r="F1537" s="18"/>
      <c r="G1537" s="8"/>
      <c r="H1537" s="8"/>
      <c r="I1537" s="8"/>
      <c r="J1537" s="8"/>
      <c r="K1537" s="10" t="str">
        <f aca="false">IF(A1537="","",IF(ABS(SUMIFS($E$9:$E$2008,$A$9:$A$2008,A1537)-SUMIFS($F$9:$F$2008,$A$9:$A$2008,A1537))&lt;0.5,"Yes","No"))</f>
        <v/>
      </c>
      <c r="L1537" s="10" t="str">
        <f aca="false">IF(A1537="","",IF(IF(K1537="No","Does not balance | ","")&amp;IF(I1537="","Not approved | ",IF(UPPER(TRIM(H1537))=UPPER(TRIM(I1537)),"Self-approved | ",""))&amp;IF(J1537="","No support | ","")&amp;IF(WEEKDAY(B1537,2)&gt;5,"Weekend posting | ","")&amp;IF(COUNTIF(Settings!$A$14:$A$43,B1537)&gt;0,"Holiday posting | ","")&amp;IF(B1537&gt;Settings!$C$8,"Posted after close | ","")&amp;IF(OR(B1537&lt;Settings!$C$6,B1537&gt;Settings!$C$7),"Outside period | ","")&amp;IF(COUNTIF(Settings!$E$14:$E$43,C1537&amp;"")&gt;0,"Sensitive account | ","")&amp;IF(AND(MAX(N(E1537),N(F1537))&gt;=Settings!$C$9,MOD(MAX(N(E1537),N(F1537)),Settings!$C$10)=0),"Round amount | ","")="","",LEFT(IF(K1537="No","Does not balance | ","")&amp;IF(I1537="","Not approved | ",IF(UPPER(TRIM(H1537))=UPPER(TRIM(I1537)),"Self-approved | ",""))&amp;IF(J1537="","No support | ","")&amp;IF(WEEKDAY(B1537,2)&gt;5,"Weekend posting | ","")&amp;IF(COUNTIF(Settings!$A$14:$A$43,B1537)&gt;0,"Holiday posting | ","")&amp;IF(B1537&gt;Settings!$C$8,"Posted after close | ","")&amp;IF(OR(B1537&lt;Settings!$C$6,B1537&gt;Settings!$C$7),"Outside period | ","")&amp;IF(COUNTIF(Settings!$E$14:$E$43,C1537&amp;"")&gt;0,"Sensitive account | ","")&amp;IF(AND(MAX(N(E1537),N(F1537))&gt;=Settings!$C$9,MOD(MAX(N(E1537),N(F1537)),Settings!$C$10)=0),"Round amount | ",""),LEN(IF(K1537="No","Does not balance | ","")&amp;IF(I1537="","Not approved | ",IF(UPPER(TRIM(H1537))=UPPER(TRIM(I1537)),"Self-approved | ",""))&amp;IF(J1537="","No support | ","")&amp;IF(WEEKDAY(B1537,2)&gt;5,"Weekend posting | ","")&amp;IF(COUNTIF(Settings!$A$14:$A$43,B1537)&gt;0,"Holiday posting | ","")&amp;IF(B1537&gt;Settings!$C$8,"Posted after close | ","")&amp;IF(OR(B1537&lt;Settings!$C$6,B1537&gt;Settings!$C$7),"Outside period | ","")&amp;IF(COUNTIF(Settings!$E$14:$E$43,C1537&amp;"")&gt;0,"Sensitive account | ","")&amp;IF(AND(MAX(N(E1537),N(F1537))&gt;=Settings!$C$9,MOD(MAX(N(E1537),N(F1537)),Settings!$C$10)=0),"Round amount | ",""))-3)))</f>
        <v/>
      </c>
      <c r="M1537" s="21" t="str">
        <f aca="false">IF(A1537="","",IF(COUNTIF($A$9:A1537,A1537)=1,MAX($M$8:M1536)+1,""))</f>
        <v/>
      </c>
    </row>
    <row r="1538" customFormat="false" ht="15" hidden="false" customHeight="false" outlineLevel="0" collapsed="false">
      <c r="A1538" s="8"/>
      <c r="B1538" s="17"/>
      <c r="C1538" s="19"/>
      <c r="D1538" s="8"/>
      <c r="E1538" s="18"/>
      <c r="F1538" s="18"/>
      <c r="G1538" s="8"/>
      <c r="H1538" s="8"/>
      <c r="I1538" s="8"/>
      <c r="J1538" s="8"/>
      <c r="K1538" s="10" t="str">
        <f aca="false">IF(A1538="","",IF(ABS(SUMIFS($E$9:$E$2008,$A$9:$A$2008,A1538)-SUMIFS($F$9:$F$2008,$A$9:$A$2008,A1538))&lt;0.5,"Yes","No"))</f>
        <v/>
      </c>
      <c r="L1538" s="10" t="str">
        <f aca="false">IF(A1538="","",IF(IF(K1538="No","Does not balance | ","")&amp;IF(I1538="","Not approved | ",IF(UPPER(TRIM(H1538))=UPPER(TRIM(I1538)),"Self-approved | ",""))&amp;IF(J1538="","No support | ","")&amp;IF(WEEKDAY(B1538,2)&gt;5,"Weekend posting | ","")&amp;IF(COUNTIF(Settings!$A$14:$A$43,B1538)&gt;0,"Holiday posting | ","")&amp;IF(B1538&gt;Settings!$C$8,"Posted after close | ","")&amp;IF(OR(B1538&lt;Settings!$C$6,B1538&gt;Settings!$C$7),"Outside period | ","")&amp;IF(COUNTIF(Settings!$E$14:$E$43,C1538&amp;"")&gt;0,"Sensitive account | ","")&amp;IF(AND(MAX(N(E1538),N(F1538))&gt;=Settings!$C$9,MOD(MAX(N(E1538),N(F1538)),Settings!$C$10)=0),"Round amount | ","")="","",LEFT(IF(K1538="No","Does not balance | ","")&amp;IF(I1538="","Not approved | ",IF(UPPER(TRIM(H1538))=UPPER(TRIM(I1538)),"Self-approved | ",""))&amp;IF(J1538="","No support | ","")&amp;IF(WEEKDAY(B1538,2)&gt;5,"Weekend posting | ","")&amp;IF(COUNTIF(Settings!$A$14:$A$43,B1538)&gt;0,"Holiday posting | ","")&amp;IF(B1538&gt;Settings!$C$8,"Posted after close | ","")&amp;IF(OR(B1538&lt;Settings!$C$6,B1538&gt;Settings!$C$7),"Outside period | ","")&amp;IF(COUNTIF(Settings!$E$14:$E$43,C1538&amp;"")&gt;0,"Sensitive account | ","")&amp;IF(AND(MAX(N(E1538),N(F1538))&gt;=Settings!$C$9,MOD(MAX(N(E1538),N(F1538)),Settings!$C$10)=0),"Round amount | ",""),LEN(IF(K1538="No","Does not balance | ","")&amp;IF(I1538="","Not approved | ",IF(UPPER(TRIM(H1538))=UPPER(TRIM(I1538)),"Self-approved | ",""))&amp;IF(J1538="","No support | ","")&amp;IF(WEEKDAY(B1538,2)&gt;5,"Weekend posting | ","")&amp;IF(COUNTIF(Settings!$A$14:$A$43,B1538)&gt;0,"Holiday posting | ","")&amp;IF(B1538&gt;Settings!$C$8,"Posted after close | ","")&amp;IF(OR(B1538&lt;Settings!$C$6,B1538&gt;Settings!$C$7),"Outside period | ","")&amp;IF(COUNTIF(Settings!$E$14:$E$43,C1538&amp;"")&gt;0,"Sensitive account | ","")&amp;IF(AND(MAX(N(E1538),N(F1538))&gt;=Settings!$C$9,MOD(MAX(N(E1538),N(F1538)),Settings!$C$10)=0),"Round amount | ",""))-3)))</f>
        <v/>
      </c>
      <c r="M1538" s="21" t="str">
        <f aca="false">IF(A1538="","",IF(COUNTIF($A$9:A1538,A1538)=1,MAX($M$8:M1537)+1,""))</f>
        <v/>
      </c>
    </row>
    <row r="1539" customFormat="false" ht="15" hidden="false" customHeight="false" outlineLevel="0" collapsed="false">
      <c r="A1539" s="8"/>
      <c r="B1539" s="17"/>
      <c r="C1539" s="19"/>
      <c r="D1539" s="8"/>
      <c r="E1539" s="18"/>
      <c r="F1539" s="18"/>
      <c r="G1539" s="8"/>
      <c r="H1539" s="8"/>
      <c r="I1539" s="8"/>
      <c r="J1539" s="8"/>
      <c r="K1539" s="10" t="str">
        <f aca="false">IF(A1539="","",IF(ABS(SUMIFS($E$9:$E$2008,$A$9:$A$2008,A1539)-SUMIFS($F$9:$F$2008,$A$9:$A$2008,A1539))&lt;0.5,"Yes","No"))</f>
        <v/>
      </c>
      <c r="L1539" s="10" t="str">
        <f aca="false">IF(A1539="","",IF(IF(K1539="No","Does not balance | ","")&amp;IF(I1539="","Not approved | ",IF(UPPER(TRIM(H1539))=UPPER(TRIM(I1539)),"Self-approved | ",""))&amp;IF(J1539="","No support | ","")&amp;IF(WEEKDAY(B1539,2)&gt;5,"Weekend posting | ","")&amp;IF(COUNTIF(Settings!$A$14:$A$43,B1539)&gt;0,"Holiday posting | ","")&amp;IF(B1539&gt;Settings!$C$8,"Posted after close | ","")&amp;IF(OR(B1539&lt;Settings!$C$6,B1539&gt;Settings!$C$7),"Outside period | ","")&amp;IF(COUNTIF(Settings!$E$14:$E$43,C1539&amp;"")&gt;0,"Sensitive account | ","")&amp;IF(AND(MAX(N(E1539),N(F1539))&gt;=Settings!$C$9,MOD(MAX(N(E1539),N(F1539)),Settings!$C$10)=0),"Round amount | ","")="","",LEFT(IF(K1539="No","Does not balance | ","")&amp;IF(I1539="","Not approved | ",IF(UPPER(TRIM(H1539))=UPPER(TRIM(I1539)),"Self-approved | ",""))&amp;IF(J1539="","No support | ","")&amp;IF(WEEKDAY(B1539,2)&gt;5,"Weekend posting | ","")&amp;IF(COUNTIF(Settings!$A$14:$A$43,B1539)&gt;0,"Holiday posting | ","")&amp;IF(B1539&gt;Settings!$C$8,"Posted after close | ","")&amp;IF(OR(B1539&lt;Settings!$C$6,B1539&gt;Settings!$C$7),"Outside period | ","")&amp;IF(COUNTIF(Settings!$E$14:$E$43,C1539&amp;"")&gt;0,"Sensitive account | ","")&amp;IF(AND(MAX(N(E1539),N(F1539))&gt;=Settings!$C$9,MOD(MAX(N(E1539),N(F1539)),Settings!$C$10)=0),"Round amount | ",""),LEN(IF(K1539="No","Does not balance | ","")&amp;IF(I1539="","Not approved | ",IF(UPPER(TRIM(H1539))=UPPER(TRIM(I1539)),"Self-approved | ",""))&amp;IF(J1539="","No support | ","")&amp;IF(WEEKDAY(B1539,2)&gt;5,"Weekend posting | ","")&amp;IF(COUNTIF(Settings!$A$14:$A$43,B1539)&gt;0,"Holiday posting | ","")&amp;IF(B1539&gt;Settings!$C$8,"Posted after close | ","")&amp;IF(OR(B1539&lt;Settings!$C$6,B1539&gt;Settings!$C$7),"Outside period | ","")&amp;IF(COUNTIF(Settings!$E$14:$E$43,C1539&amp;"")&gt;0,"Sensitive account | ","")&amp;IF(AND(MAX(N(E1539),N(F1539))&gt;=Settings!$C$9,MOD(MAX(N(E1539),N(F1539)),Settings!$C$10)=0),"Round amount | ",""))-3)))</f>
        <v/>
      </c>
      <c r="M1539" s="21" t="str">
        <f aca="false">IF(A1539="","",IF(COUNTIF($A$9:A1539,A1539)=1,MAX($M$8:M1538)+1,""))</f>
        <v/>
      </c>
    </row>
    <row r="1540" customFormat="false" ht="15" hidden="false" customHeight="false" outlineLevel="0" collapsed="false">
      <c r="A1540" s="8"/>
      <c r="B1540" s="17"/>
      <c r="C1540" s="19"/>
      <c r="D1540" s="8"/>
      <c r="E1540" s="18"/>
      <c r="F1540" s="18"/>
      <c r="G1540" s="8"/>
      <c r="H1540" s="8"/>
      <c r="I1540" s="8"/>
      <c r="J1540" s="8"/>
      <c r="K1540" s="10" t="str">
        <f aca="false">IF(A1540="","",IF(ABS(SUMIFS($E$9:$E$2008,$A$9:$A$2008,A1540)-SUMIFS($F$9:$F$2008,$A$9:$A$2008,A1540))&lt;0.5,"Yes","No"))</f>
        <v/>
      </c>
      <c r="L1540" s="10" t="str">
        <f aca="false">IF(A1540="","",IF(IF(K1540="No","Does not balance | ","")&amp;IF(I1540="","Not approved | ",IF(UPPER(TRIM(H1540))=UPPER(TRIM(I1540)),"Self-approved | ",""))&amp;IF(J1540="","No support | ","")&amp;IF(WEEKDAY(B1540,2)&gt;5,"Weekend posting | ","")&amp;IF(COUNTIF(Settings!$A$14:$A$43,B1540)&gt;0,"Holiday posting | ","")&amp;IF(B1540&gt;Settings!$C$8,"Posted after close | ","")&amp;IF(OR(B1540&lt;Settings!$C$6,B1540&gt;Settings!$C$7),"Outside period | ","")&amp;IF(COUNTIF(Settings!$E$14:$E$43,C1540&amp;"")&gt;0,"Sensitive account | ","")&amp;IF(AND(MAX(N(E1540),N(F1540))&gt;=Settings!$C$9,MOD(MAX(N(E1540),N(F1540)),Settings!$C$10)=0),"Round amount | ","")="","",LEFT(IF(K1540="No","Does not balance | ","")&amp;IF(I1540="","Not approved | ",IF(UPPER(TRIM(H1540))=UPPER(TRIM(I1540)),"Self-approved | ",""))&amp;IF(J1540="","No support | ","")&amp;IF(WEEKDAY(B1540,2)&gt;5,"Weekend posting | ","")&amp;IF(COUNTIF(Settings!$A$14:$A$43,B1540)&gt;0,"Holiday posting | ","")&amp;IF(B1540&gt;Settings!$C$8,"Posted after close | ","")&amp;IF(OR(B1540&lt;Settings!$C$6,B1540&gt;Settings!$C$7),"Outside period | ","")&amp;IF(COUNTIF(Settings!$E$14:$E$43,C1540&amp;"")&gt;0,"Sensitive account | ","")&amp;IF(AND(MAX(N(E1540),N(F1540))&gt;=Settings!$C$9,MOD(MAX(N(E1540),N(F1540)),Settings!$C$10)=0),"Round amount | ",""),LEN(IF(K1540="No","Does not balance | ","")&amp;IF(I1540="","Not approved | ",IF(UPPER(TRIM(H1540))=UPPER(TRIM(I1540)),"Self-approved | ",""))&amp;IF(J1540="","No support | ","")&amp;IF(WEEKDAY(B1540,2)&gt;5,"Weekend posting | ","")&amp;IF(COUNTIF(Settings!$A$14:$A$43,B1540)&gt;0,"Holiday posting | ","")&amp;IF(B1540&gt;Settings!$C$8,"Posted after close | ","")&amp;IF(OR(B1540&lt;Settings!$C$6,B1540&gt;Settings!$C$7),"Outside period | ","")&amp;IF(COUNTIF(Settings!$E$14:$E$43,C1540&amp;"")&gt;0,"Sensitive account | ","")&amp;IF(AND(MAX(N(E1540),N(F1540))&gt;=Settings!$C$9,MOD(MAX(N(E1540),N(F1540)),Settings!$C$10)=0),"Round amount | ",""))-3)))</f>
        <v/>
      </c>
      <c r="M1540" s="21" t="str">
        <f aca="false">IF(A1540="","",IF(COUNTIF($A$9:A1540,A1540)=1,MAX($M$8:M1539)+1,""))</f>
        <v/>
      </c>
    </row>
    <row r="1541" customFormat="false" ht="15" hidden="false" customHeight="false" outlineLevel="0" collapsed="false">
      <c r="A1541" s="8"/>
      <c r="B1541" s="17"/>
      <c r="C1541" s="19"/>
      <c r="D1541" s="8"/>
      <c r="E1541" s="18"/>
      <c r="F1541" s="18"/>
      <c r="G1541" s="8"/>
      <c r="H1541" s="8"/>
      <c r="I1541" s="8"/>
      <c r="J1541" s="8"/>
      <c r="K1541" s="10" t="str">
        <f aca="false">IF(A1541="","",IF(ABS(SUMIFS($E$9:$E$2008,$A$9:$A$2008,A1541)-SUMIFS($F$9:$F$2008,$A$9:$A$2008,A1541))&lt;0.5,"Yes","No"))</f>
        <v/>
      </c>
      <c r="L1541" s="10" t="str">
        <f aca="false">IF(A1541="","",IF(IF(K1541="No","Does not balance | ","")&amp;IF(I1541="","Not approved | ",IF(UPPER(TRIM(H1541))=UPPER(TRIM(I1541)),"Self-approved | ",""))&amp;IF(J1541="","No support | ","")&amp;IF(WEEKDAY(B1541,2)&gt;5,"Weekend posting | ","")&amp;IF(COUNTIF(Settings!$A$14:$A$43,B1541)&gt;0,"Holiday posting | ","")&amp;IF(B1541&gt;Settings!$C$8,"Posted after close | ","")&amp;IF(OR(B1541&lt;Settings!$C$6,B1541&gt;Settings!$C$7),"Outside period | ","")&amp;IF(COUNTIF(Settings!$E$14:$E$43,C1541&amp;"")&gt;0,"Sensitive account | ","")&amp;IF(AND(MAX(N(E1541),N(F1541))&gt;=Settings!$C$9,MOD(MAX(N(E1541),N(F1541)),Settings!$C$10)=0),"Round amount | ","")="","",LEFT(IF(K1541="No","Does not balance | ","")&amp;IF(I1541="","Not approved | ",IF(UPPER(TRIM(H1541))=UPPER(TRIM(I1541)),"Self-approved | ",""))&amp;IF(J1541="","No support | ","")&amp;IF(WEEKDAY(B1541,2)&gt;5,"Weekend posting | ","")&amp;IF(COUNTIF(Settings!$A$14:$A$43,B1541)&gt;0,"Holiday posting | ","")&amp;IF(B1541&gt;Settings!$C$8,"Posted after close | ","")&amp;IF(OR(B1541&lt;Settings!$C$6,B1541&gt;Settings!$C$7),"Outside period | ","")&amp;IF(COUNTIF(Settings!$E$14:$E$43,C1541&amp;"")&gt;0,"Sensitive account | ","")&amp;IF(AND(MAX(N(E1541),N(F1541))&gt;=Settings!$C$9,MOD(MAX(N(E1541),N(F1541)),Settings!$C$10)=0),"Round amount | ",""),LEN(IF(K1541="No","Does not balance | ","")&amp;IF(I1541="","Not approved | ",IF(UPPER(TRIM(H1541))=UPPER(TRIM(I1541)),"Self-approved | ",""))&amp;IF(J1541="","No support | ","")&amp;IF(WEEKDAY(B1541,2)&gt;5,"Weekend posting | ","")&amp;IF(COUNTIF(Settings!$A$14:$A$43,B1541)&gt;0,"Holiday posting | ","")&amp;IF(B1541&gt;Settings!$C$8,"Posted after close | ","")&amp;IF(OR(B1541&lt;Settings!$C$6,B1541&gt;Settings!$C$7),"Outside period | ","")&amp;IF(COUNTIF(Settings!$E$14:$E$43,C1541&amp;"")&gt;0,"Sensitive account | ","")&amp;IF(AND(MAX(N(E1541),N(F1541))&gt;=Settings!$C$9,MOD(MAX(N(E1541),N(F1541)),Settings!$C$10)=0),"Round amount | ",""))-3)))</f>
        <v/>
      </c>
      <c r="M1541" s="21" t="str">
        <f aca="false">IF(A1541="","",IF(COUNTIF($A$9:A1541,A1541)=1,MAX($M$8:M1540)+1,""))</f>
        <v/>
      </c>
    </row>
    <row r="1542" customFormat="false" ht="15" hidden="false" customHeight="false" outlineLevel="0" collapsed="false">
      <c r="A1542" s="8"/>
      <c r="B1542" s="17"/>
      <c r="C1542" s="19"/>
      <c r="D1542" s="8"/>
      <c r="E1542" s="18"/>
      <c r="F1542" s="18"/>
      <c r="G1542" s="8"/>
      <c r="H1542" s="8"/>
      <c r="I1542" s="8"/>
      <c r="J1542" s="8"/>
      <c r="K1542" s="10" t="str">
        <f aca="false">IF(A1542="","",IF(ABS(SUMIFS($E$9:$E$2008,$A$9:$A$2008,A1542)-SUMIFS($F$9:$F$2008,$A$9:$A$2008,A1542))&lt;0.5,"Yes","No"))</f>
        <v/>
      </c>
      <c r="L1542" s="10" t="str">
        <f aca="false">IF(A1542="","",IF(IF(K1542="No","Does not balance | ","")&amp;IF(I1542="","Not approved | ",IF(UPPER(TRIM(H1542))=UPPER(TRIM(I1542)),"Self-approved | ",""))&amp;IF(J1542="","No support | ","")&amp;IF(WEEKDAY(B1542,2)&gt;5,"Weekend posting | ","")&amp;IF(COUNTIF(Settings!$A$14:$A$43,B1542)&gt;0,"Holiday posting | ","")&amp;IF(B1542&gt;Settings!$C$8,"Posted after close | ","")&amp;IF(OR(B1542&lt;Settings!$C$6,B1542&gt;Settings!$C$7),"Outside period | ","")&amp;IF(COUNTIF(Settings!$E$14:$E$43,C1542&amp;"")&gt;0,"Sensitive account | ","")&amp;IF(AND(MAX(N(E1542),N(F1542))&gt;=Settings!$C$9,MOD(MAX(N(E1542),N(F1542)),Settings!$C$10)=0),"Round amount | ","")="","",LEFT(IF(K1542="No","Does not balance | ","")&amp;IF(I1542="","Not approved | ",IF(UPPER(TRIM(H1542))=UPPER(TRIM(I1542)),"Self-approved | ",""))&amp;IF(J1542="","No support | ","")&amp;IF(WEEKDAY(B1542,2)&gt;5,"Weekend posting | ","")&amp;IF(COUNTIF(Settings!$A$14:$A$43,B1542)&gt;0,"Holiday posting | ","")&amp;IF(B1542&gt;Settings!$C$8,"Posted after close | ","")&amp;IF(OR(B1542&lt;Settings!$C$6,B1542&gt;Settings!$C$7),"Outside period | ","")&amp;IF(COUNTIF(Settings!$E$14:$E$43,C1542&amp;"")&gt;0,"Sensitive account | ","")&amp;IF(AND(MAX(N(E1542),N(F1542))&gt;=Settings!$C$9,MOD(MAX(N(E1542),N(F1542)),Settings!$C$10)=0),"Round amount | ",""),LEN(IF(K1542="No","Does not balance | ","")&amp;IF(I1542="","Not approved | ",IF(UPPER(TRIM(H1542))=UPPER(TRIM(I1542)),"Self-approved | ",""))&amp;IF(J1542="","No support | ","")&amp;IF(WEEKDAY(B1542,2)&gt;5,"Weekend posting | ","")&amp;IF(COUNTIF(Settings!$A$14:$A$43,B1542)&gt;0,"Holiday posting | ","")&amp;IF(B1542&gt;Settings!$C$8,"Posted after close | ","")&amp;IF(OR(B1542&lt;Settings!$C$6,B1542&gt;Settings!$C$7),"Outside period | ","")&amp;IF(COUNTIF(Settings!$E$14:$E$43,C1542&amp;"")&gt;0,"Sensitive account | ","")&amp;IF(AND(MAX(N(E1542),N(F1542))&gt;=Settings!$C$9,MOD(MAX(N(E1542),N(F1542)),Settings!$C$10)=0),"Round amount | ",""))-3)))</f>
        <v/>
      </c>
      <c r="M1542" s="21" t="str">
        <f aca="false">IF(A1542="","",IF(COUNTIF($A$9:A1542,A1542)=1,MAX($M$8:M1541)+1,""))</f>
        <v/>
      </c>
    </row>
    <row r="1543" customFormat="false" ht="15" hidden="false" customHeight="false" outlineLevel="0" collapsed="false">
      <c r="A1543" s="8"/>
      <c r="B1543" s="17"/>
      <c r="C1543" s="19"/>
      <c r="D1543" s="8"/>
      <c r="E1543" s="18"/>
      <c r="F1543" s="18"/>
      <c r="G1543" s="8"/>
      <c r="H1543" s="8"/>
      <c r="I1543" s="8"/>
      <c r="J1543" s="8"/>
      <c r="K1543" s="10" t="str">
        <f aca="false">IF(A1543="","",IF(ABS(SUMIFS($E$9:$E$2008,$A$9:$A$2008,A1543)-SUMIFS($F$9:$F$2008,$A$9:$A$2008,A1543))&lt;0.5,"Yes","No"))</f>
        <v/>
      </c>
      <c r="L1543" s="10" t="str">
        <f aca="false">IF(A1543="","",IF(IF(K1543="No","Does not balance | ","")&amp;IF(I1543="","Not approved | ",IF(UPPER(TRIM(H1543))=UPPER(TRIM(I1543)),"Self-approved | ",""))&amp;IF(J1543="","No support | ","")&amp;IF(WEEKDAY(B1543,2)&gt;5,"Weekend posting | ","")&amp;IF(COUNTIF(Settings!$A$14:$A$43,B1543)&gt;0,"Holiday posting | ","")&amp;IF(B1543&gt;Settings!$C$8,"Posted after close | ","")&amp;IF(OR(B1543&lt;Settings!$C$6,B1543&gt;Settings!$C$7),"Outside period | ","")&amp;IF(COUNTIF(Settings!$E$14:$E$43,C1543&amp;"")&gt;0,"Sensitive account | ","")&amp;IF(AND(MAX(N(E1543),N(F1543))&gt;=Settings!$C$9,MOD(MAX(N(E1543),N(F1543)),Settings!$C$10)=0),"Round amount | ","")="","",LEFT(IF(K1543="No","Does not balance | ","")&amp;IF(I1543="","Not approved | ",IF(UPPER(TRIM(H1543))=UPPER(TRIM(I1543)),"Self-approved | ",""))&amp;IF(J1543="","No support | ","")&amp;IF(WEEKDAY(B1543,2)&gt;5,"Weekend posting | ","")&amp;IF(COUNTIF(Settings!$A$14:$A$43,B1543)&gt;0,"Holiday posting | ","")&amp;IF(B1543&gt;Settings!$C$8,"Posted after close | ","")&amp;IF(OR(B1543&lt;Settings!$C$6,B1543&gt;Settings!$C$7),"Outside period | ","")&amp;IF(COUNTIF(Settings!$E$14:$E$43,C1543&amp;"")&gt;0,"Sensitive account | ","")&amp;IF(AND(MAX(N(E1543),N(F1543))&gt;=Settings!$C$9,MOD(MAX(N(E1543),N(F1543)),Settings!$C$10)=0),"Round amount | ",""),LEN(IF(K1543="No","Does not balance | ","")&amp;IF(I1543="","Not approved | ",IF(UPPER(TRIM(H1543))=UPPER(TRIM(I1543)),"Self-approved | ",""))&amp;IF(J1543="","No support | ","")&amp;IF(WEEKDAY(B1543,2)&gt;5,"Weekend posting | ","")&amp;IF(COUNTIF(Settings!$A$14:$A$43,B1543)&gt;0,"Holiday posting | ","")&amp;IF(B1543&gt;Settings!$C$8,"Posted after close | ","")&amp;IF(OR(B1543&lt;Settings!$C$6,B1543&gt;Settings!$C$7),"Outside period | ","")&amp;IF(COUNTIF(Settings!$E$14:$E$43,C1543&amp;"")&gt;0,"Sensitive account | ","")&amp;IF(AND(MAX(N(E1543),N(F1543))&gt;=Settings!$C$9,MOD(MAX(N(E1543),N(F1543)),Settings!$C$10)=0),"Round amount | ",""))-3)))</f>
        <v/>
      </c>
      <c r="M1543" s="21" t="str">
        <f aca="false">IF(A1543="","",IF(COUNTIF($A$9:A1543,A1543)=1,MAX($M$8:M1542)+1,""))</f>
        <v/>
      </c>
    </row>
    <row r="1544" customFormat="false" ht="15" hidden="false" customHeight="false" outlineLevel="0" collapsed="false">
      <c r="A1544" s="8"/>
      <c r="B1544" s="17"/>
      <c r="C1544" s="19"/>
      <c r="D1544" s="8"/>
      <c r="E1544" s="18"/>
      <c r="F1544" s="18"/>
      <c r="G1544" s="8"/>
      <c r="H1544" s="8"/>
      <c r="I1544" s="8"/>
      <c r="J1544" s="8"/>
      <c r="K1544" s="10" t="str">
        <f aca="false">IF(A1544="","",IF(ABS(SUMIFS($E$9:$E$2008,$A$9:$A$2008,A1544)-SUMIFS($F$9:$F$2008,$A$9:$A$2008,A1544))&lt;0.5,"Yes","No"))</f>
        <v/>
      </c>
      <c r="L1544" s="10" t="str">
        <f aca="false">IF(A1544="","",IF(IF(K1544="No","Does not balance | ","")&amp;IF(I1544="","Not approved | ",IF(UPPER(TRIM(H1544))=UPPER(TRIM(I1544)),"Self-approved | ",""))&amp;IF(J1544="","No support | ","")&amp;IF(WEEKDAY(B1544,2)&gt;5,"Weekend posting | ","")&amp;IF(COUNTIF(Settings!$A$14:$A$43,B1544)&gt;0,"Holiday posting | ","")&amp;IF(B1544&gt;Settings!$C$8,"Posted after close | ","")&amp;IF(OR(B1544&lt;Settings!$C$6,B1544&gt;Settings!$C$7),"Outside period | ","")&amp;IF(COUNTIF(Settings!$E$14:$E$43,C1544&amp;"")&gt;0,"Sensitive account | ","")&amp;IF(AND(MAX(N(E1544),N(F1544))&gt;=Settings!$C$9,MOD(MAX(N(E1544),N(F1544)),Settings!$C$10)=0),"Round amount | ","")="","",LEFT(IF(K1544="No","Does not balance | ","")&amp;IF(I1544="","Not approved | ",IF(UPPER(TRIM(H1544))=UPPER(TRIM(I1544)),"Self-approved | ",""))&amp;IF(J1544="","No support | ","")&amp;IF(WEEKDAY(B1544,2)&gt;5,"Weekend posting | ","")&amp;IF(COUNTIF(Settings!$A$14:$A$43,B1544)&gt;0,"Holiday posting | ","")&amp;IF(B1544&gt;Settings!$C$8,"Posted after close | ","")&amp;IF(OR(B1544&lt;Settings!$C$6,B1544&gt;Settings!$C$7),"Outside period | ","")&amp;IF(COUNTIF(Settings!$E$14:$E$43,C1544&amp;"")&gt;0,"Sensitive account | ","")&amp;IF(AND(MAX(N(E1544),N(F1544))&gt;=Settings!$C$9,MOD(MAX(N(E1544),N(F1544)),Settings!$C$10)=0),"Round amount | ",""),LEN(IF(K1544="No","Does not balance | ","")&amp;IF(I1544="","Not approved | ",IF(UPPER(TRIM(H1544))=UPPER(TRIM(I1544)),"Self-approved | ",""))&amp;IF(J1544="","No support | ","")&amp;IF(WEEKDAY(B1544,2)&gt;5,"Weekend posting | ","")&amp;IF(COUNTIF(Settings!$A$14:$A$43,B1544)&gt;0,"Holiday posting | ","")&amp;IF(B1544&gt;Settings!$C$8,"Posted after close | ","")&amp;IF(OR(B1544&lt;Settings!$C$6,B1544&gt;Settings!$C$7),"Outside period | ","")&amp;IF(COUNTIF(Settings!$E$14:$E$43,C1544&amp;"")&gt;0,"Sensitive account | ","")&amp;IF(AND(MAX(N(E1544),N(F1544))&gt;=Settings!$C$9,MOD(MAX(N(E1544),N(F1544)),Settings!$C$10)=0),"Round amount | ",""))-3)))</f>
        <v/>
      </c>
      <c r="M1544" s="21" t="str">
        <f aca="false">IF(A1544="","",IF(COUNTIF($A$9:A1544,A1544)=1,MAX($M$8:M1543)+1,""))</f>
        <v/>
      </c>
    </row>
    <row r="1545" customFormat="false" ht="15" hidden="false" customHeight="false" outlineLevel="0" collapsed="false">
      <c r="A1545" s="8"/>
      <c r="B1545" s="17"/>
      <c r="C1545" s="19"/>
      <c r="D1545" s="8"/>
      <c r="E1545" s="18"/>
      <c r="F1545" s="18"/>
      <c r="G1545" s="8"/>
      <c r="H1545" s="8"/>
      <c r="I1545" s="8"/>
      <c r="J1545" s="8"/>
      <c r="K1545" s="10" t="str">
        <f aca="false">IF(A1545="","",IF(ABS(SUMIFS($E$9:$E$2008,$A$9:$A$2008,A1545)-SUMIFS($F$9:$F$2008,$A$9:$A$2008,A1545))&lt;0.5,"Yes","No"))</f>
        <v/>
      </c>
      <c r="L1545" s="10" t="str">
        <f aca="false">IF(A1545="","",IF(IF(K1545="No","Does not balance | ","")&amp;IF(I1545="","Not approved | ",IF(UPPER(TRIM(H1545))=UPPER(TRIM(I1545)),"Self-approved | ",""))&amp;IF(J1545="","No support | ","")&amp;IF(WEEKDAY(B1545,2)&gt;5,"Weekend posting | ","")&amp;IF(COUNTIF(Settings!$A$14:$A$43,B1545)&gt;0,"Holiday posting | ","")&amp;IF(B1545&gt;Settings!$C$8,"Posted after close | ","")&amp;IF(OR(B1545&lt;Settings!$C$6,B1545&gt;Settings!$C$7),"Outside period | ","")&amp;IF(COUNTIF(Settings!$E$14:$E$43,C1545&amp;"")&gt;0,"Sensitive account | ","")&amp;IF(AND(MAX(N(E1545),N(F1545))&gt;=Settings!$C$9,MOD(MAX(N(E1545),N(F1545)),Settings!$C$10)=0),"Round amount | ","")="","",LEFT(IF(K1545="No","Does not balance | ","")&amp;IF(I1545="","Not approved | ",IF(UPPER(TRIM(H1545))=UPPER(TRIM(I1545)),"Self-approved | ",""))&amp;IF(J1545="","No support | ","")&amp;IF(WEEKDAY(B1545,2)&gt;5,"Weekend posting | ","")&amp;IF(COUNTIF(Settings!$A$14:$A$43,B1545)&gt;0,"Holiday posting | ","")&amp;IF(B1545&gt;Settings!$C$8,"Posted after close | ","")&amp;IF(OR(B1545&lt;Settings!$C$6,B1545&gt;Settings!$C$7),"Outside period | ","")&amp;IF(COUNTIF(Settings!$E$14:$E$43,C1545&amp;"")&gt;0,"Sensitive account | ","")&amp;IF(AND(MAX(N(E1545),N(F1545))&gt;=Settings!$C$9,MOD(MAX(N(E1545),N(F1545)),Settings!$C$10)=0),"Round amount | ",""),LEN(IF(K1545="No","Does not balance | ","")&amp;IF(I1545="","Not approved | ",IF(UPPER(TRIM(H1545))=UPPER(TRIM(I1545)),"Self-approved | ",""))&amp;IF(J1545="","No support | ","")&amp;IF(WEEKDAY(B1545,2)&gt;5,"Weekend posting | ","")&amp;IF(COUNTIF(Settings!$A$14:$A$43,B1545)&gt;0,"Holiday posting | ","")&amp;IF(B1545&gt;Settings!$C$8,"Posted after close | ","")&amp;IF(OR(B1545&lt;Settings!$C$6,B1545&gt;Settings!$C$7),"Outside period | ","")&amp;IF(COUNTIF(Settings!$E$14:$E$43,C1545&amp;"")&gt;0,"Sensitive account | ","")&amp;IF(AND(MAX(N(E1545),N(F1545))&gt;=Settings!$C$9,MOD(MAX(N(E1545),N(F1545)),Settings!$C$10)=0),"Round amount | ",""))-3)))</f>
        <v/>
      </c>
      <c r="M1545" s="21" t="str">
        <f aca="false">IF(A1545="","",IF(COUNTIF($A$9:A1545,A1545)=1,MAX($M$8:M1544)+1,""))</f>
        <v/>
      </c>
    </row>
    <row r="1546" customFormat="false" ht="15" hidden="false" customHeight="false" outlineLevel="0" collapsed="false">
      <c r="A1546" s="8"/>
      <c r="B1546" s="17"/>
      <c r="C1546" s="19"/>
      <c r="D1546" s="8"/>
      <c r="E1546" s="18"/>
      <c r="F1546" s="18"/>
      <c r="G1546" s="8"/>
      <c r="H1546" s="8"/>
      <c r="I1546" s="8"/>
      <c r="J1546" s="8"/>
      <c r="K1546" s="10" t="str">
        <f aca="false">IF(A1546="","",IF(ABS(SUMIFS($E$9:$E$2008,$A$9:$A$2008,A1546)-SUMIFS($F$9:$F$2008,$A$9:$A$2008,A1546))&lt;0.5,"Yes","No"))</f>
        <v/>
      </c>
      <c r="L1546" s="10" t="str">
        <f aca="false">IF(A1546="","",IF(IF(K1546="No","Does not balance | ","")&amp;IF(I1546="","Not approved | ",IF(UPPER(TRIM(H1546))=UPPER(TRIM(I1546)),"Self-approved | ",""))&amp;IF(J1546="","No support | ","")&amp;IF(WEEKDAY(B1546,2)&gt;5,"Weekend posting | ","")&amp;IF(COUNTIF(Settings!$A$14:$A$43,B1546)&gt;0,"Holiday posting | ","")&amp;IF(B1546&gt;Settings!$C$8,"Posted after close | ","")&amp;IF(OR(B1546&lt;Settings!$C$6,B1546&gt;Settings!$C$7),"Outside period | ","")&amp;IF(COUNTIF(Settings!$E$14:$E$43,C1546&amp;"")&gt;0,"Sensitive account | ","")&amp;IF(AND(MAX(N(E1546),N(F1546))&gt;=Settings!$C$9,MOD(MAX(N(E1546),N(F1546)),Settings!$C$10)=0),"Round amount | ","")="","",LEFT(IF(K1546="No","Does not balance | ","")&amp;IF(I1546="","Not approved | ",IF(UPPER(TRIM(H1546))=UPPER(TRIM(I1546)),"Self-approved | ",""))&amp;IF(J1546="","No support | ","")&amp;IF(WEEKDAY(B1546,2)&gt;5,"Weekend posting | ","")&amp;IF(COUNTIF(Settings!$A$14:$A$43,B1546)&gt;0,"Holiday posting | ","")&amp;IF(B1546&gt;Settings!$C$8,"Posted after close | ","")&amp;IF(OR(B1546&lt;Settings!$C$6,B1546&gt;Settings!$C$7),"Outside period | ","")&amp;IF(COUNTIF(Settings!$E$14:$E$43,C1546&amp;"")&gt;0,"Sensitive account | ","")&amp;IF(AND(MAX(N(E1546),N(F1546))&gt;=Settings!$C$9,MOD(MAX(N(E1546),N(F1546)),Settings!$C$10)=0),"Round amount | ",""),LEN(IF(K1546="No","Does not balance | ","")&amp;IF(I1546="","Not approved | ",IF(UPPER(TRIM(H1546))=UPPER(TRIM(I1546)),"Self-approved | ",""))&amp;IF(J1546="","No support | ","")&amp;IF(WEEKDAY(B1546,2)&gt;5,"Weekend posting | ","")&amp;IF(COUNTIF(Settings!$A$14:$A$43,B1546)&gt;0,"Holiday posting | ","")&amp;IF(B1546&gt;Settings!$C$8,"Posted after close | ","")&amp;IF(OR(B1546&lt;Settings!$C$6,B1546&gt;Settings!$C$7),"Outside period | ","")&amp;IF(COUNTIF(Settings!$E$14:$E$43,C1546&amp;"")&gt;0,"Sensitive account | ","")&amp;IF(AND(MAX(N(E1546),N(F1546))&gt;=Settings!$C$9,MOD(MAX(N(E1546),N(F1546)),Settings!$C$10)=0),"Round amount | ",""))-3)))</f>
        <v/>
      </c>
      <c r="M1546" s="21" t="str">
        <f aca="false">IF(A1546="","",IF(COUNTIF($A$9:A1546,A1546)=1,MAX($M$8:M1545)+1,""))</f>
        <v/>
      </c>
    </row>
    <row r="1547" customFormat="false" ht="15" hidden="false" customHeight="false" outlineLevel="0" collapsed="false">
      <c r="A1547" s="8"/>
      <c r="B1547" s="17"/>
      <c r="C1547" s="19"/>
      <c r="D1547" s="8"/>
      <c r="E1547" s="18"/>
      <c r="F1547" s="18"/>
      <c r="G1547" s="8"/>
      <c r="H1547" s="8"/>
      <c r="I1547" s="8"/>
      <c r="J1547" s="8"/>
      <c r="K1547" s="10" t="str">
        <f aca="false">IF(A1547="","",IF(ABS(SUMIFS($E$9:$E$2008,$A$9:$A$2008,A1547)-SUMIFS($F$9:$F$2008,$A$9:$A$2008,A1547))&lt;0.5,"Yes","No"))</f>
        <v/>
      </c>
      <c r="L1547" s="10" t="str">
        <f aca="false">IF(A1547="","",IF(IF(K1547="No","Does not balance | ","")&amp;IF(I1547="","Not approved | ",IF(UPPER(TRIM(H1547))=UPPER(TRIM(I1547)),"Self-approved | ",""))&amp;IF(J1547="","No support | ","")&amp;IF(WEEKDAY(B1547,2)&gt;5,"Weekend posting | ","")&amp;IF(COUNTIF(Settings!$A$14:$A$43,B1547)&gt;0,"Holiday posting | ","")&amp;IF(B1547&gt;Settings!$C$8,"Posted after close | ","")&amp;IF(OR(B1547&lt;Settings!$C$6,B1547&gt;Settings!$C$7),"Outside period | ","")&amp;IF(COUNTIF(Settings!$E$14:$E$43,C1547&amp;"")&gt;0,"Sensitive account | ","")&amp;IF(AND(MAX(N(E1547),N(F1547))&gt;=Settings!$C$9,MOD(MAX(N(E1547),N(F1547)),Settings!$C$10)=0),"Round amount | ","")="","",LEFT(IF(K1547="No","Does not balance | ","")&amp;IF(I1547="","Not approved | ",IF(UPPER(TRIM(H1547))=UPPER(TRIM(I1547)),"Self-approved | ",""))&amp;IF(J1547="","No support | ","")&amp;IF(WEEKDAY(B1547,2)&gt;5,"Weekend posting | ","")&amp;IF(COUNTIF(Settings!$A$14:$A$43,B1547)&gt;0,"Holiday posting | ","")&amp;IF(B1547&gt;Settings!$C$8,"Posted after close | ","")&amp;IF(OR(B1547&lt;Settings!$C$6,B1547&gt;Settings!$C$7),"Outside period | ","")&amp;IF(COUNTIF(Settings!$E$14:$E$43,C1547&amp;"")&gt;0,"Sensitive account | ","")&amp;IF(AND(MAX(N(E1547),N(F1547))&gt;=Settings!$C$9,MOD(MAX(N(E1547),N(F1547)),Settings!$C$10)=0),"Round amount | ",""),LEN(IF(K1547="No","Does not balance | ","")&amp;IF(I1547="","Not approved | ",IF(UPPER(TRIM(H1547))=UPPER(TRIM(I1547)),"Self-approved | ",""))&amp;IF(J1547="","No support | ","")&amp;IF(WEEKDAY(B1547,2)&gt;5,"Weekend posting | ","")&amp;IF(COUNTIF(Settings!$A$14:$A$43,B1547)&gt;0,"Holiday posting | ","")&amp;IF(B1547&gt;Settings!$C$8,"Posted after close | ","")&amp;IF(OR(B1547&lt;Settings!$C$6,B1547&gt;Settings!$C$7),"Outside period | ","")&amp;IF(COUNTIF(Settings!$E$14:$E$43,C1547&amp;"")&gt;0,"Sensitive account | ","")&amp;IF(AND(MAX(N(E1547),N(F1547))&gt;=Settings!$C$9,MOD(MAX(N(E1547),N(F1547)),Settings!$C$10)=0),"Round amount | ",""))-3)))</f>
        <v/>
      </c>
      <c r="M1547" s="21" t="str">
        <f aca="false">IF(A1547="","",IF(COUNTIF($A$9:A1547,A1547)=1,MAX($M$8:M1546)+1,""))</f>
        <v/>
      </c>
    </row>
    <row r="1548" customFormat="false" ht="15" hidden="false" customHeight="false" outlineLevel="0" collapsed="false">
      <c r="A1548" s="8"/>
      <c r="B1548" s="17"/>
      <c r="C1548" s="19"/>
      <c r="D1548" s="8"/>
      <c r="E1548" s="18"/>
      <c r="F1548" s="18"/>
      <c r="G1548" s="8"/>
      <c r="H1548" s="8"/>
      <c r="I1548" s="8"/>
      <c r="J1548" s="8"/>
      <c r="K1548" s="10" t="str">
        <f aca="false">IF(A1548="","",IF(ABS(SUMIFS($E$9:$E$2008,$A$9:$A$2008,A1548)-SUMIFS($F$9:$F$2008,$A$9:$A$2008,A1548))&lt;0.5,"Yes","No"))</f>
        <v/>
      </c>
      <c r="L1548" s="10" t="str">
        <f aca="false">IF(A1548="","",IF(IF(K1548="No","Does not balance | ","")&amp;IF(I1548="","Not approved | ",IF(UPPER(TRIM(H1548))=UPPER(TRIM(I1548)),"Self-approved | ",""))&amp;IF(J1548="","No support | ","")&amp;IF(WEEKDAY(B1548,2)&gt;5,"Weekend posting | ","")&amp;IF(COUNTIF(Settings!$A$14:$A$43,B1548)&gt;0,"Holiday posting | ","")&amp;IF(B1548&gt;Settings!$C$8,"Posted after close | ","")&amp;IF(OR(B1548&lt;Settings!$C$6,B1548&gt;Settings!$C$7),"Outside period | ","")&amp;IF(COUNTIF(Settings!$E$14:$E$43,C1548&amp;"")&gt;0,"Sensitive account | ","")&amp;IF(AND(MAX(N(E1548),N(F1548))&gt;=Settings!$C$9,MOD(MAX(N(E1548),N(F1548)),Settings!$C$10)=0),"Round amount | ","")="","",LEFT(IF(K1548="No","Does not balance | ","")&amp;IF(I1548="","Not approved | ",IF(UPPER(TRIM(H1548))=UPPER(TRIM(I1548)),"Self-approved | ",""))&amp;IF(J1548="","No support | ","")&amp;IF(WEEKDAY(B1548,2)&gt;5,"Weekend posting | ","")&amp;IF(COUNTIF(Settings!$A$14:$A$43,B1548)&gt;0,"Holiday posting | ","")&amp;IF(B1548&gt;Settings!$C$8,"Posted after close | ","")&amp;IF(OR(B1548&lt;Settings!$C$6,B1548&gt;Settings!$C$7),"Outside period | ","")&amp;IF(COUNTIF(Settings!$E$14:$E$43,C1548&amp;"")&gt;0,"Sensitive account | ","")&amp;IF(AND(MAX(N(E1548),N(F1548))&gt;=Settings!$C$9,MOD(MAX(N(E1548),N(F1548)),Settings!$C$10)=0),"Round amount | ",""),LEN(IF(K1548="No","Does not balance | ","")&amp;IF(I1548="","Not approved | ",IF(UPPER(TRIM(H1548))=UPPER(TRIM(I1548)),"Self-approved | ",""))&amp;IF(J1548="","No support | ","")&amp;IF(WEEKDAY(B1548,2)&gt;5,"Weekend posting | ","")&amp;IF(COUNTIF(Settings!$A$14:$A$43,B1548)&gt;0,"Holiday posting | ","")&amp;IF(B1548&gt;Settings!$C$8,"Posted after close | ","")&amp;IF(OR(B1548&lt;Settings!$C$6,B1548&gt;Settings!$C$7),"Outside period | ","")&amp;IF(COUNTIF(Settings!$E$14:$E$43,C1548&amp;"")&gt;0,"Sensitive account | ","")&amp;IF(AND(MAX(N(E1548),N(F1548))&gt;=Settings!$C$9,MOD(MAX(N(E1548),N(F1548)),Settings!$C$10)=0),"Round amount | ",""))-3)))</f>
        <v/>
      </c>
      <c r="M1548" s="21" t="str">
        <f aca="false">IF(A1548="","",IF(COUNTIF($A$9:A1548,A1548)=1,MAX($M$8:M1547)+1,""))</f>
        <v/>
      </c>
    </row>
    <row r="1549" customFormat="false" ht="15" hidden="false" customHeight="false" outlineLevel="0" collapsed="false">
      <c r="A1549" s="8"/>
      <c r="B1549" s="17"/>
      <c r="C1549" s="19"/>
      <c r="D1549" s="8"/>
      <c r="E1549" s="18"/>
      <c r="F1549" s="18"/>
      <c r="G1549" s="8"/>
      <c r="H1549" s="8"/>
      <c r="I1549" s="8"/>
      <c r="J1549" s="8"/>
      <c r="K1549" s="10" t="str">
        <f aca="false">IF(A1549="","",IF(ABS(SUMIFS($E$9:$E$2008,$A$9:$A$2008,A1549)-SUMIFS($F$9:$F$2008,$A$9:$A$2008,A1549))&lt;0.5,"Yes","No"))</f>
        <v/>
      </c>
      <c r="L1549" s="10" t="str">
        <f aca="false">IF(A1549="","",IF(IF(K1549="No","Does not balance | ","")&amp;IF(I1549="","Not approved | ",IF(UPPER(TRIM(H1549))=UPPER(TRIM(I1549)),"Self-approved | ",""))&amp;IF(J1549="","No support | ","")&amp;IF(WEEKDAY(B1549,2)&gt;5,"Weekend posting | ","")&amp;IF(COUNTIF(Settings!$A$14:$A$43,B1549)&gt;0,"Holiday posting | ","")&amp;IF(B1549&gt;Settings!$C$8,"Posted after close | ","")&amp;IF(OR(B1549&lt;Settings!$C$6,B1549&gt;Settings!$C$7),"Outside period | ","")&amp;IF(COUNTIF(Settings!$E$14:$E$43,C1549&amp;"")&gt;0,"Sensitive account | ","")&amp;IF(AND(MAX(N(E1549),N(F1549))&gt;=Settings!$C$9,MOD(MAX(N(E1549),N(F1549)),Settings!$C$10)=0),"Round amount | ","")="","",LEFT(IF(K1549="No","Does not balance | ","")&amp;IF(I1549="","Not approved | ",IF(UPPER(TRIM(H1549))=UPPER(TRIM(I1549)),"Self-approved | ",""))&amp;IF(J1549="","No support | ","")&amp;IF(WEEKDAY(B1549,2)&gt;5,"Weekend posting | ","")&amp;IF(COUNTIF(Settings!$A$14:$A$43,B1549)&gt;0,"Holiday posting | ","")&amp;IF(B1549&gt;Settings!$C$8,"Posted after close | ","")&amp;IF(OR(B1549&lt;Settings!$C$6,B1549&gt;Settings!$C$7),"Outside period | ","")&amp;IF(COUNTIF(Settings!$E$14:$E$43,C1549&amp;"")&gt;0,"Sensitive account | ","")&amp;IF(AND(MAX(N(E1549),N(F1549))&gt;=Settings!$C$9,MOD(MAX(N(E1549),N(F1549)),Settings!$C$10)=0),"Round amount | ",""),LEN(IF(K1549="No","Does not balance | ","")&amp;IF(I1549="","Not approved | ",IF(UPPER(TRIM(H1549))=UPPER(TRIM(I1549)),"Self-approved | ",""))&amp;IF(J1549="","No support | ","")&amp;IF(WEEKDAY(B1549,2)&gt;5,"Weekend posting | ","")&amp;IF(COUNTIF(Settings!$A$14:$A$43,B1549)&gt;0,"Holiday posting | ","")&amp;IF(B1549&gt;Settings!$C$8,"Posted after close | ","")&amp;IF(OR(B1549&lt;Settings!$C$6,B1549&gt;Settings!$C$7),"Outside period | ","")&amp;IF(COUNTIF(Settings!$E$14:$E$43,C1549&amp;"")&gt;0,"Sensitive account | ","")&amp;IF(AND(MAX(N(E1549),N(F1549))&gt;=Settings!$C$9,MOD(MAX(N(E1549),N(F1549)),Settings!$C$10)=0),"Round amount | ",""))-3)))</f>
        <v/>
      </c>
      <c r="M1549" s="21" t="str">
        <f aca="false">IF(A1549="","",IF(COUNTIF($A$9:A1549,A1549)=1,MAX($M$8:M1548)+1,""))</f>
        <v/>
      </c>
    </row>
    <row r="1550" customFormat="false" ht="15" hidden="false" customHeight="false" outlineLevel="0" collapsed="false">
      <c r="A1550" s="8"/>
      <c r="B1550" s="17"/>
      <c r="C1550" s="19"/>
      <c r="D1550" s="8"/>
      <c r="E1550" s="18"/>
      <c r="F1550" s="18"/>
      <c r="G1550" s="8"/>
      <c r="H1550" s="8"/>
      <c r="I1550" s="8"/>
      <c r="J1550" s="8"/>
      <c r="K1550" s="10" t="str">
        <f aca="false">IF(A1550="","",IF(ABS(SUMIFS($E$9:$E$2008,$A$9:$A$2008,A1550)-SUMIFS($F$9:$F$2008,$A$9:$A$2008,A1550))&lt;0.5,"Yes","No"))</f>
        <v/>
      </c>
      <c r="L1550" s="10" t="str">
        <f aca="false">IF(A1550="","",IF(IF(K1550="No","Does not balance | ","")&amp;IF(I1550="","Not approved | ",IF(UPPER(TRIM(H1550))=UPPER(TRIM(I1550)),"Self-approved | ",""))&amp;IF(J1550="","No support | ","")&amp;IF(WEEKDAY(B1550,2)&gt;5,"Weekend posting | ","")&amp;IF(COUNTIF(Settings!$A$14:$A$43,B1550)&gt;0,"Holiday posting | ","")&amp;IF(B1550&gt;Settings!$C$8,"Posted after close | ","")&amp;IF(OR(B1550&lt;Settings!$C$6,B1550&gt;Settings!$C$7),"Outside period | ","")&amp;IF(COUNTIF(Settings!$E$14:$E$43,C1550&amp;"")&gt;0,"Sensitive account | ","")&amp;IF(AND(MAX(N(E1550),N(F1550))&gt;=Settings!$C$9,MOD(MAX(N(E1550),N(F1550)),Settings!$C$10)=0),"Round amount | ","")="","",LEFT(IF(K1550="No","Does not balance | ","")&amp;IF(I1550="","Not approved | ",IF(UPPER(TRIM(H1550))=UPPER(TRIM(I1550)),"Self-approved | ",""))&amp;IF(J1550="","No support | ","")&amp;IF(WEEKDAY(B1550,2)&gt;5,"Weekend posting | ","")&amp;IF(COUNTIF(Settings!$A$14:$A$43,B1550)&gt;0,"Holiday posting | ","")&amp;IF(B1550&gt;Settings!$C$8,"Posted after close | ","")&amp;IF(OR(B1550&lt;Settings!$C$6,B1550&gt;Settings!$C$7),"Outside period | ","")&amp;IF(COUNTIF(Settings!$E$14:$E$43,C1550&amp;"")&gt;0,"Sensitive account | ","")&amp;IF(AND(MAX(N(E1550),N(F1550))&gt;=Settings!$C$9,MOD(MAX(N(E1550),N(F1550)),Settings!$C$10)=0),"Round amount | ",""),LEN(IF(K1550="No","Does not balance | ","")&amp;IF(I1550="","Not approved | ",IF(UPPER(TRIM(H1550))=UPPER(TRIM(I1550)),"Self-approved | ",""))&amp;IF(J1550="","No support | ","")&amp;IF(WEEKDAY(B1550,2)&gt;5,"Weekend posting | ","")&amp;IF(COUNTIF(Settings!$A$14:$A$43,B1550)&gt;0,"Holiday posting | ","")&amp;IF(B1550&gt;Settings!$C$8,"Posted after close | ","")&amp;IF(OR(B1550&lt;Settings!$C$6,B1550&gt;Settings!$C$7),"Outside period | ","")&amp;IF(COUNTIF(Settings!$E$14:$E$43,C1550&amp;"")&gt;0,"Sensitive account | ","")&amp;IF(AND(MAX(N(E1550),N(F1550))&gt;=Settings!$C$9,MOD(MAX(N(E1550),N(F1550)),Settings!$C$10)=0),"Round amount | ",""))-3)))</f>
        <v/>
      </c>
      <c r="M1550" s="21" t="str">
        <f aca="false">IF(A1550="","",IF(COUNTIF($A$9:A1550,A1550)=1,MAX($M$8:M1549)+1,""))</f>
        <v/>
      </c>
    </row>
    <row r="1551" customFormat="false" ht="15" hidden="false" customHeight="false" outlineLevel="0" collapsed="false">
      <c r="A1551" s="8"/>
      <c r="B1551" s="17"/>
      <c r="C1551" s="19"/>
      <c r="D1551" s="8"/>
      <c r="E1551" s="18"/>
      <c r="F1551" s="18"/>
      <c r="G1551" s="8"/>
      <c r="H1551" s="8"/>
      <c r="I1551" s="8"/>
      <c r="J1551" s="8"/>
      <c r="K1551" s="10" t="str">
        <f aca="false">IF(A1551="","",IF(ABS(SUMIFS($E$9:$E$2008,$A$9:$A$2008,A1551)-SUMIFS($F$9:$F$2008,$A$9:$A$2008,A1551))&lt;0.5,"Yes","No"))</f>
        <v/>
      </c>
      <c r="L1551" s="10" t="str">
        <f aca="false">IF(A1551="","",IF(IF(K1551="No","Does not balance | ","")&amp;IF(I1551="","Not approved | ",IF(UPPER(TRIM(H1551))=UPPER(TRIM(I1551)),"Self-approved | ",""))&amp;IF(J1551="","No support | ","")&amp;IF(WEEKDAY(B1551,2)&gt;5,"Weekend posting | ","")&amp;IF(COUNTIF(Settings!$A$14:$A$43,B1551)&gt;0,"Holiday posting | ","")&amp;IF(B1551&gt;Settings!$C$8,"Posted after close | ","")&amp;IF(OR(B1551&lt;Settings!$C$6,B1551&gt;Settings!$C$7),"Outside period | ","")&amp;IF(COUNTIF(Settings!$E$14:$E$43,C1551&amp;"")&gt;0,"Sensitive account | ","")&amp;IF(AND(MAX(N(E1551),N(F1551))&gt;=Settings!$C$9,MOD(MAX(N(E1551),N(F1551)),Settings!$C$10)=0),"Round amount | ","")="","",LEFT(IF(K1551="No","Does not balance | ","")&amp;IF(I1551="","Not approved | ",IF(UPPER(TRIM(H1551))=UPPER(TRIM(I1551)),"Self-approved | ",""))&amp;IF(J1551="","No support | ","")&amp;IF(WEEKDAY(B1551,2)&gt;5,"Weekend posting | ","")&amp;IF(COUNTIF(Settings!$A$14:$A$43,B1551)&gt;0,"Holiday posting | ","")&amp;IF(B1551&gt;Settings!$C$8,"Posted after close | ","")&amp;IF(OR(B1551&lt;Settings!$C$6,B1551&gt;Settings!$C$7),"Outside period | ","")&amp;IF(COUNTIF(Settings!$E$14:$E$43,C1551&amp;"")&gt;0,"Sensitive account | ","")&amp;IF(AND(MAX(N(E1551),N(F1551))&gt;=Settings!$C$9,MOD(MAX(N(E1551),N(F1551)),Settings!$C$10)=0),"Round amount | ",""),LEN(IF(K1551="No","Does not balance | ","")&amp;IF(I1551="","Not approved | ",IF(UPPER(TRIM(H1551))=UPPER(TRIM(I1551)),"Self-approved | ",""))&amp;IF(J1551="","No support | ","")&amp;IF(WEEKDAY(B1551,2)&gt;5,"Weekend posting | ","")&amp;IF(COUNTIF(Settings!$A$14:$A$43,B1551)&gt;0,"Holiday posting | ","")&amp;IF(B1551&gt;Settings!$C$8,"Posted after close | ","")&amp;IF(OR(B1551&lt;Settings!$C$6,B1551&gt;Settings!$C$7),"Outside period | ","")&amp;IF(COUNTIF(Settings!$E$14:$E$43,C1551&amp;"")&gt;0,"Sensitive account | ","")&amp;IF(AND(MAX(N(E1551),N(F1551))&gt;=Settings!$C$9,MOD(MAX(N(E1551),N(F1551)),Settings!$C$10)=0),"Round amount | ",""))-3)))</f>
        <v/>
      </c>
      <c r="M1551" s="21" t="str">
        <f aca="false">IF(A1551="","",IF(COUNTIF($A$9:A1551,A1551)=1,MAX($M$8:M1550)+1,""))</f>
        <v/>
      </c>
    </row>
    <row r="1552" customFormat="false" ht="15" hidden="false" customHeight="false" outlineLevel="0" collapsed="false">
      <c r="A1552" s="8"/>
      <c r="B1552" s="17"/>
      <c r="C1552" s="19"/>
      <c r="D1552" s="8"/>
      <c r="E1552" s="18"/>
      <c r="F1552" s="18"/>
      <c r="G1552" s="8"/>
      <c r="H1552" s="8"/>
      <c r="I1552" s="8"/>
      <c r="J1552" s="8"/>
      <c r="K1552" s="10" t="str">
        <f aca="false">IF(A1552="","",IF(ABS(SUMIFS($E$9:$E$2008,$A$9:$A$2008,A1552)-SUMIFS($F$9:$F$2008,$A$9:$A$2008,A1552))&lt;0.5,"Yes","No"))</f>
        <v/>
      </c>
      <c r="L1552" s="10" t="str">
        <f aca="false">IF(A1552="","",IF(IF(K1552="No","Does not balance | ","")&amp;IF(I1552="","Not approved | ",IF(UPPER(TRIM(H1552))=UPPER(TRIM(I1552)),"Self-approved | ",""))&amp;IF(J1552="","No support | ","")&amp;IF(WEEKDAY(B1552,2)&gt;5,"Weekend posting | ","")&amp;IF(COUNTIF(Settings!$A$14:$A$43,B1552)&gt;0,"Holiday posting | ","")&amp;IF(B1552&gt;Settings!$C$8,"Posted after close | ","")&amp;IF(OR(B1552&lt;Settings!$C$6,B1552&gt;Settings!$C$7),"Outside period | ","")&amp;IF(COUNTIF(Settings!$E$14:$E$43,C1552&amp;"")&gt;0,"Sensitive account | ","")&amp;IF(AND(MAX(N(E1552),N(F1552))&gt;=Settings!$C$9,MOD(MAX(N(E1552),N(F1552)),Settings!$C$10)=0),"Round amount | ","")="","",LEFT(IF(K1552="No","Does not balance | ","")&amp;IF(I1552="","Not approved | ",IF(UPPER(TRIM(H1552))=UPPER(TRIM(I1552)),"Self-approved | ",""))&amp;IF(J1552="","No support | ","")&amp;IF(WEEKDAY(B1552,2)&gt;5,"Weekend posting | ","")&amp;IF(COUNTIF(Settings!$A$14:$A$43,B1552)&gt;0,"Holiday posting | ","")&amp;IF(B1552&gt;Settings!$C$8,"Posted after close | ","")&amp;IF(OR(B1552&lt;Settings!$C$6,B1552&gt;Settings!$C$7),"Outside period | ","")&amp;IF(COUNTIF(Settings!$E$14:$E$43,C1552&amp;"")&gt;0,"Sensitive account | ","")&amp;IF(AND(MAX(N(E1552),N(F1552))&gt;=Settings!$C$9,MOD(MAX(N(E1552),N(F1552)),Settings!$C$10)=0),"Round amount | ",""),LEN(IF(K1552="No","Does not balance | ","")&amp;IF(I1552="","Not approved | ",IF(UPPER(TRIM(H1552))=UPPER(TRIM(I1552)),"Self-approved | ",""))&amp;IF(J1552="","No support | ","")&amp;IF(WEEKDAY(B1552,2)&gt;5,"Weekend posting | ","")&amp;IF(COUNTIF(Settings!$A$14:$A$43,B1552)&gt;0,"Holiday posting | ","")&amp;IF(B1552&gt;Settings!$C$8,"Posted after close | ","")&amp;IF(OR(B1552&lt;Settings!$C$6,B1552&gt;Settings!$C$7),"Outside period | ","")&amp;IF(COUNTIF(Settings!$E$14:$E$43,C1552&amp;"")&gt;0,"Sensitive account | ","")&amp;IF(AND(MAX(N(E1552),N(F1552))&gt;=Settings!$C$9,MOD(MAX(N(E1552),N(F1552)),Settings!$C$10)=0),"Round amount | ",""))-3)))</f>
        <v/>
      </c>
      <c r="M1552" s="21" t="str">
        <f aca="false">IF(A1552="","",IF(COUNTIF($A$9:A1552,A1552)=1,MAX($M$8:M1551)+1,""))</f>
        <v/>
      </c>
    </row>
    <row r="1553" customFormat="false" ht="15" hidden="false" customHeight="false" outlineLevel="0" collapsed="false">
      <c r="A1553" s="8"/>
      <c r="B1553" s="17"/>
      <c r="C1553" s="19"/>
      <c r="D1553" s="8"/>
      <c r="E1553" s="18"/>
      <c r="F1553" s="18"/>
      <c r="G1553" s="8"/>
      <c r="H1553" s="8"/>
      <c r="I1553" s="8"/>
      <c r="J1553" s="8"/>
      <c r="K1553" s="10" t="str">
        <f aca="false">IF(A1553="","",IF(ABS(SUMIFS($E$9:$E$2008,$A$9:$A$2008,A1553)-SUMIFS($F$9:$F$2008,$A$9:$A$2008,A1553))&lt;0.5,"Yes","No"))</f>
        <v/>
      </c>
      <c r="L1553" s="10" t="str">
        <f aca="false">IF(A1553="","",IF(IF(K1553="No","Does not balance | ","")&amp;IF(I1553="","Not approved | ",IF(UPPER(TRIM(H1553))=UPPER(TRIM(I1553)),"Self-approved | ",""))&amp;IF(J1553="","No support | ","")&amp;IF(WEEKDAY(B1553,2)&gt;5,"Weekend posting | ","")&amp;IF(COUNTIF(Settings!$A$14:$A$43,B1553)&gt;0,"Holiday posting | ","")&amp;IF(B1553&gt;Settings!$C$8,"Posted after close | ","")&amp;IF(OR(B1553&lt;Settings!$C$6,B1553&gt;Settings!$C$7),"Outside period | ","")&amp;IF(COUNTIF(Settings!$E$14:$E$43,C1553&amp;"")&gt;0,"Sensitive account | ","")&amp;IF(AND(MAX(N(E1553),N(F1553))&gt;=Settings!$C$9,MOD(MAX(N(E1553),N(F1553)),Settings!$C$10)=0),"Round amount | ","")="","",LEFT(IF(K1553="No","Does not balance | ","")&amp;IF(I1553="","Not approved | ",IF(UPPER(TRIM(H1553))=UPPER(TRIM(I1553)),"Self-approved | ",""))&amp;IF(J1553="","No support | ","")&amp;IF(WEEKDAY(B1553,2)&gt;5,"Weekend posting | ","")&amp;IF(COUNTIF(Settings!$A$14:$A$43,B1553)&gt;0,"Holiday posting | ","")&amp;IF(B1553&gt;Settings!$C$8,"Posted after close | ","")&amp;IF(OR(B1553&lt;Settings!$C$6,B1553&gt;Settings!$C$7),"Outside period | ","")&amp;IF(COUNTIF(Settings!$E$14:$E$43,C1553&amp;"")&gt;0,"Sensitive account | ","")&amp;IF(AND(MAX(N(E1553),N(F1553))&gt;=Settings!$C$9,MOD(MAX(N(E1553),N(F1553)),Settings!$C$10)=0),"Round amount | ",""),LEN(IF(K1553="No","Does not balance | ","")&amp;IF(I1553="","Not approved | ",IF(UPPER(TRIM(H1553))=UPPER(TRIM(I1553)),"Self-approved | ",""))&amp;IF(J1553="","No support | ","")&amp;IF(WEEKDAY(B1553,2)&gt;5,"Weekend posting | ","")&amp;IF(COUNTIF(Settings!$A$14:$A$43,B1553)&gt;0,"Holiday posting | ","")&amp;IF(B1553&gt;Settings!$C$8,"Posted after close | ","")&amp;IF(OR(B1553&lt;Settings!$C$6,B1553&gt;Settings!$C$7),"Outside period | ","")&amp;IF(COUNTIF(Settings!$E$14:$E$43,C1553&amp;"")&gt;0,"Sensitive account | ","")&amp;IF(AND(MAX(N(E1553),N(F1553))&gt;=Settings!$C$9,MOD(MAX(N(E1553),N(F1553)),Settings!$C$10)=0),"Round amount | ",""))-3)))</f>
        <v/>
      </c>
      <c r="M1553" s="21" t="str">
        <f aca="false">IF(A1553="","",IF(COUNTIF($A$9:A1553,A1553)=1,MAX($M$8:M1552)+1,""))</f>
        <v/>
      </c>
    </row>
    <row r="1554" customFormat="false" ht="15" hidden="false" customHeight="false" outlineLevel="0" collapsed="false">
      <c r="A1554" s="8"/>
      <c r="B1554" s="17"/>
      <c r="C1554" s="19"/>
      <c r="D1554" s="8"/>
      <c r="E1554" s="18"/>
      <c r="F1554" s="18"/>
      <c r="G1554" s="8"/>
      <c r="H1554" s="8"/>
      <c r="I1554" s="8"/>
      <c r="J1554" s="8"/>
      <c r="K1554" s="10" t="str">
        <f aca="false">IF(A1554="","",IF(ABS(SUMIFS($E$9:$E$2008,$A$9:$A$2008,A1554)-SUMIFS($F$9:$F$2008,$A$9:$A$2008,A1554))&lt;0.5,"Yes","No"))</f>
        <v/>
      </c>
      <c r="L1554" s="10" t="str">
        <f aca="false">IF(A1554="","",IF(IF(K1554="No","Does not balance | ","")&amp;IF(I1554="","Not approved | ",IF(UPPER(TRIM(H1554))=UPPER(TRIM(I1554)),"Self-approved | ",""))&amp;IF(J1554="","No support | ","")&amp;IF(WEEKDAY(B1554,2)&gt;5,"Weekend posting | ","")&amp;IF(COUNTIF(Settings!$A$14:$A$43,B1554)&gt;0,"Holiday posting | ","")&amp;IF(B1554&gt;Settings!$C$8,"Posted after close | ","")&amp;IF(OR(B1554&lt;Settings!$C$6,B1554&gt;Settings!$C$7),"Outside period | ","")&amp;IF(COUNTIF(Settings!$E$14:$E$43,C1554&amp;"")&gt;0,"Sensitive account | ","")&amp;IF(AND(MAX(N(E1554),N(F1554))&gt;=Settings!$C$9,MOD(MAX(N(E1554),N(F1554)),Settings!$C$10)=0),"Round amount | ","")="","",LEFT(IF(K1554="No","Does not balance | ","")&amp;IF(I1554="","Not approved | ",IF(UPPER(TRIM(H1554))=UPPER(TRIM(I1554)),"Self-approved | ",""))&amp;IF(J1554="","No support | ","")&amp;IF(WEEKDAY(B1554,2)&gt;5,"Weekend posting | ","")&amp;IF(COUNTIF(Settings!$A$14:$A$43,B1554)&gt;0,"Holiday posting | ","")&amp;IF(B1554&gt;Settings!$C$8,"Posted after close | ","")&amp;IF(OR(B1554&lt;Settings!$C$6,B1554&gt;Settings!$C$7),"Outside period | ","")&amp;IF(COUNTIF(Settings!$E$14:$E$43,C1554&amp;"")&gt;0,"Sensitive account | ","")&amp;IF(AND(MAX(N(E1554),N(F1554))&gt;=Settings!$C$9,MOD(MAX(N(E1554),N(F1554)),Settings!$C$10)=0),"Round amount | ",""),LEN(IF(K1554="No","Does not balance | ","")&amp;IF(I1554="","Not approved | ",IF(UPPER(TRIM(H1554))=UPPER(TRIM(I1554)),"Self-approved | ",""))&amp;IF(J1554="","No support | ","")&amp;IF(WEEKDAY(B1554,2)&gt;5,"Weekend posting | ","")&amp;IF(COUNTIF(Settings!$A$14:$A$43,B1554)&gt;0,"Holiday posting | ","")&amp;IF(B1554&gt;Settings!$C$8,"Posted after close | ","")&amp;IF(OR(B1554&lt;Settings!$C$6,B1554&gt;Settings!$C$7),"Outside period | ","")&amp;IF(COUNTIF(Settings!$E$14:$E$43,C1554&amp;"")&gt;0,"Sensitive account | ","")&amp;IF(AND(MAX(N(E1554),N(F1554))&gt;=Settings!$C$9,MOD(MAX(N(E1554),N(F1554)),Settings!$C$10)=0),"Round amount | ",""))-3)))</f>
        <v/>
      </c>
      <c r="M1554" s="21" t="str">
        <f aca="false">IF(A1554="","",IF(COUNTIF($A$9:A1554,A1554)=1,MAX($M$8:M1553)+1,""))</f>
        <v/>
      </c>
    </row>
    <row r="1555" customFormat="false" ht="15" hidden="false" customHeight="false" outlineLevel="0" collapsed="false">
      <c r="A1555" s="8"/>
      <c r="B1555" s="17"/>
      <c r="C1555" s="19"/>
      <c r="D1555" s="8"/>
      <c r="E1555" s="18"/>
      <c r="F1555" s="18"/>
      <c r="G1555" s="8"/>
      <c r="H1555" s="8"/>
      <c r="I1555" s="8"/>
      <c r="J1555" s="8"/>
      <c r="K1555" s="10" t="str">
        <f aca="false">IF(A1555="","",IF(ABS(SUMIFS($E$9:$E$2008,$A$9:$A$2008,A1555)-SUMIFS($F$9:$F$2008,$A$9:$A$2008,A1555))&lt;0.5,"Yes","No"))</f>
        <v/>
      </c>
      <c r="L1555" s="10" t="str">
        <f aca="false">IF(A1555="","",IF(IF(K1555="No","Does not balance | ","")&amp;IF(I1555="","Not approved | ",IF(UPPER(TRIM(H1555))=UPPER(TRIM(I1555)),"Self-approved | ",""))&amp;IF(J1555="","No support | ","")&amp;IF(WEEKDAY(B1555,2)&gt;5,"Weekend posting | ","")&amp;IF(COUNTIF(Settings!$A$14:$A$43,B1555)&gt;0,"Holiday posting | ","")&amp;IF(B1555&gt;Settings!$C$8,"Posted after close | ","")&amp;IF(OR(B1555&lt;Settings!$C$6,B1555&gt;Settings!$C$7),"Outside period | ","")&amp;IF(COUNTIF(Settings!$E$14:$E$43,C1555&amp;"")&gt;0,"Sensitive account | ","")&amp;IF(AND(MAX(N(E1555),N(F1555))&gt;=Settings!$C$9,MOD(MAX(N(E1555),N(F1555)),Settings!$C$10)=0),"Round amount | ","")="","",LEFT(IF(K1555="No","Does not balance | ","")&amp;IF(I1555="","Not approved | ",IF(UPPER(TRIM(H1555))=UPPER(TRIM(I1555)),"Self-approved | ",""))&amp;IF(J1555="","No support | ","")&amp;IF(WEEKDAY(B1555,2)&gt;5,"Weekend posting | ","")&amp;IF(COUNTIF(Settings!$A$14:$A$43,B1555)&gt;0,"Holiday posting | ","")&amp;IF(B1555&gt;Settings!$C$8,"Posted after close | ","")&amp;IF(OR(B1555&lt;Settings!$C$6,B1555&gt;Settings!$C$7),"Outside period | ","")&amp;IF(COUNTIF(Settings!$E$14:$E$43,C1555&amp;"")&gt;0,"Sensitive account | ","")&amp;IF(AND(MAX(N(E1555),N(F1555))&gt;=Settings!$C$9,MOD(MAX(N(E1555),N(F1555)),Settings!$C$10)=0),"Round amount | ",""),LEN(IF(K1555="No","Does not balance | ","")&amp;IF(I1555="","Not approved | ",IF(UPPER(TRIM(H1555))=UPPER(TRIM(I1555)),"Self-approved | ",""))&amp;IF(J1555="","No support | ","")&amp;IF(WEEKDAY(B1555,2)&gt;5,"Weekend posting | ","")&amp;IF(COUNTIF(Settings!$A$14:$A$43,B1555)&gt;0,"Holiday posting | ","")&amp;IF(B1555&gt;Settings!$C$8,"Posted after close | ","")&amp;IF(OR(B1555&lt;Settings!$C$6,B1555&gt;Settings!$C$7),"Outside period | ","")&amp;IF(COUNTIF(Settings!$E$14:$E$43,C1555&amp;"")&gt;0,"Sensitive account | ","")&amp;IF(AND(MAX(N(E1555),N(F1555))&gt;=Settings!$C$9,MOD(MAX(N(E1555),N(F1555)),Settings!$C$10)=0),"Round amount | ",""))-3)))</f>
        <v/>
      </c>
      <c r="M1555" s="21" t="str">
        <f aca="false">IF(A1555="","",IF(COUNTIF($A$9:A1555,A1555)=1,MAX($M$8:M1554)+1,""))</f>
        <v/>
      </c>
    </row>
    <row r="1556" customFormat="false" ht="15" hidden="false" customHeight="false" outlineLevel="0" collapsed="false">
      <c r="A1556" s="8"/>
      <c r="B1556" s="17"/>
      <c r="C1556" s="19"/>
      <c r="D1556" s="8"/>
      <c r="E1556" s="18"/>
      <c r="F1556" s="18"/>
      <c r="G1556" s="8"/>
      <c r="H1556" s="8"/>
      <c r="I1556" s="8"/>
      <c r="J1556" s="8"/>
      <c r="K1556" s="10" t="str">
        <f aca="false">IF(A1556="","",IF(ABS(SUMIFS($E$9:$E$2008,$A$9:$A$2008,A1556)-SUMIFS($F$9:$F$2008,$A$9:$A$2008,A1556))&lt;0.5,"Yes","No"))</f>
        <v/>
      </c>
      <c r="L1556" s="10" t="str">
        <f aca="false">IF(A1556="","",IF(IF(K1556="No","Does not balance | ","")&amp;IF(I1556="","Not approved | ",IF(UPPER(TRIM(H1556))=UPPER(TRIM(I1556)),"Self-approved | ",""))&amp;IF(J1556="","No support | ","")&amp;IF(WEEKDAY(B1556,2)&gt;5,"Weekend posting | ","")&amp;IF(COUNTIF(Settings!$A$14:$A$43,B1556)&gt;0,"Holiday posting | ","")&amp;IF(B1556&gt;Settings!$C$8,"Posted after close | ","")&amp;IF(OR(B1556&lt;Settings!$C$6,B1556&gt;Settings!$C$7),"Outside period | ","")&amp;IF(COUNTIF(Settings!$E$14:$E$43,C1556&amp;"")&gt;0,"Sensitive account | ","")&amp;IF(AND(MAX(N(E1556),N(F1556))&gt;=Settings!$C$9,MOD(MAX(N(E1556),N(F1556)),Settings!$C$10)=0),"Round amount | ","")="","",LEFT(IF(K1556="No","Does not balance | ","")&amp;IF(I1556="","Not approved | ",IF(UPPER(TRIM(H1556))=UPPER(TRIM(I1556)),"Self-approved | ",""))&amp;IF(J1556="","No support | ","")&amp;IF(WEEKDAY(B1556,2)&gt;5,"Weekend posting | ","")&amp;IF(COUNTIF(Settings!$A$14:$A$43,B1556)&gt;0,"Holiday posting | ","")&amp;IF(B1556&gt;Settings!$C$8,"Posted after close | ","")&amp;IF(OR(B1556&lt;Settings!$C$6,B1556&gt;Settings!$C$7),"Outside period | ","")&amp;IF(COUNTIF(Settings!$E$14:$E$43,C1556&amp;"")&gt;0,"Sensitive account | ","")&amp;IF(AND(MAX(N(E1556),N(F1556))&gt;=Settings!$C$9,MOD(MAX(N(E1556),N(F1556)),Settings!$C$10)=0),"Round amount | ",""),LEN(IF(K1556="No","Does not balance | ","")&amp;IF(I1556="","Not approved | ",IF(UPPER(TRIM(H1556))=UPPER(TRIM(I1556)),"Self-approved | ",""))&amp;IF(J1556="","No support | ","")&amp;IF(WEEKDAY(B1556,2)&gt;5,"Weekend posting | ","")&amp;IF(COUNTIF(Settings!$A$14:$A$43,B1556)&gt;0,"Holiday posting | ","")&amp;IF(B1556&gt;Settings!$C$8,"Posted after close | ","")&amp;IF(OR(B1556&lt;Settings!$C$6,B1556&gt;Settings!$C$7),"Outside period | ","")&amp;IF(COUNTIF(Settings!$E$14:$E$43,C1556&amp;"")&gt;0,"Sensitive account | ","")&amp;IF(AND(MAX(N(E1556),N(F1556))&gt;=Settings!$C$9,MOD(MAX(N(E1556),N(F1556)),Settings!$C$10)=0),"Round amount | ",""))-3)))</f>
        <v/>
      </c>
      <c r="M1556" s="21" t="str">
        <f aca="false">IF(A1556="","",IF(COUNTIF($A$9:A1556,A1556)=1,MAX($M$8:M1555)+1,""))</f>
        <v/>
      </c>
    </row>
    <row r="1557" customFormat="false" ht="15" hidden="false" customHeight="false" outlineLevel="0" collapsed="false">
      <c r="A1557" s="8"/>
      <c r="B1557" s="17"/>
      <c r="C1557" s="19"/>
      <c r="D1557" s="8"/>
      <c r="E1557" s="18"/>
      <c r="F1557" s="18"/>
      <c r="G1557" s="8"/>
      <c r="H1557" s="8"/>
      <c r="I1557" s="8"/>
      <c r="J1557" s="8"/>
      <c r="K1557" s="10" t="str">
        <f aca="false">IF(A1557="","",IF(ABS(SUMIFS($E$9:$E$2008,$A$9:$A$2008,A1557)-SUMIFS($F$9:$F$2008,$A$9:$A$2008,A1557))&lt;0.5,"Yes","No"))</f>
        <v/>
      </c>
      <c r="L1557" s="10" t="str">
        <f aca="false">IF(A1557="","",IF(IF(K1557="No","Does not balance | ","")&amp;IF(I1557="","Not approved | ",IF(UPPER(TRIM(H1557))=UPPER(TRIM(I1557)),"Self-approved | ",""))&amp;IF(J1557="","No support | ","")&amp;IF(WEEKDAY(B1557,2)&gt;5,"Weekend posting | ","")&amp;IF(COUNTIF(Settings!$A$14:$A$43,B1557)&gt;0,"Holiday posting | ","")&amp;IF(B1557&gt;Settings!$C$8,"Posted after close | ","")&amp;IF(OR(B1557&lt;Settings!$C$6,B1557&gt;Settings!$C$7),"Outside period | ","")&amp;IF(COUNTIF(Settings!$E$14:$E$43,C1557&amp;"")&gt;0,"Sensitive account | ","")&amp;IF(AND(MAX(N(E1557),N(F1557))&gt;=Settings!$C$9,MOD(MAX(N(E1557),N(F1557)),Settings!$C$10)=0),"Round amount | ","")="","",LEFT(IF(K1557="No","Does not balance | ","")&amp;IF(I1557="","Not approved | ",IF(UPPER(TRIM(H1557))=UPPER(TRIM(I1557)),"Self-approved | ",""))&amp;IF(J1557="","No support | ","")&amp;IF(WEEKDAY(B1557,2)&gt;5,"Weekend posting | ","")&amp;IF(COUNTIF(Settings!$A$14:$A$43,B1557)&gt;0,"Holiday posting | ","")&amp;IF(B1557&gt;Settings!$C$8,"Posted after close | ","")&amp;IF(OR(B1557&lt;Settings!$C$6,B1557&gt;Settings!$C$7),"Outside period | ","")&amp;IF(COUNTIF(Settings!$E$14:$E$43,C1557&amp;"")&gt;0,"Sensitive account | ","")&amp;IF(AND(MAX(N(E1557),N(F1557))&gt;=Settings!$C$9,MOD(MAX(N(E1557),N(F1557)),Settings!$C$10)=0),"Round amount | ",""),LEN(IF(K1557="No","Does not balance | ","")&amp;IF(I1557="","Not approved | ",IF(UPPER(TRIM(H1557))=UPPER(TRIM(I1557)),"Self-approved | ",""))&amp;IF(J1557="","No support | ","")&amp;IF(WEEKDAY(B1557,2)&gt;5,"Weekend posting | ","")&amp;IF(COUNTIF(Settings!$A$14:$A$43,B1557)&gt;0,"Holiday posting | ","")&amp;IF(B1557&gt;Settings!$C$8,"Posted after close | ","")&amp;IF(OR(B1557&lt;Settings!$C$6,B1557&gt;Settings!$C$7),"Outside period | ","")&amp;IF(COUNTIF(Settings!$E$14:$E$43,C1557&amp;"")&gt;0,"Sensitive account | ","")&amp;IF(AND(MAX(N(E1557),N(F1557))&gt;=Settings!$C$9,MOD(MAX(N(E1557),N(F1557)),Settings!$C$10)=0),"Round amount | ",""))-3)))</f>
        <v/>
      </c>
      <c r="M1557" s="21" t="str">
        <f aca="false">IF(A1557="","",IF(COUNTIF($A$9:A1557,A1557)=1,MAX($M$8:M1556)+1,""))</f>
        <v/>
      </c>
    </row>
    <row r="1558" customFormat="false" ht="15" hidden="false" customHeight="false" outlineLevel="0" collapsed="false">
      <c r="A1558" s="8"/>
      <c r="B1558" s="17"/>
      <c r="C1558" s="19"/>
      <c r="D1558" s="8"/>
      <c r="E1558" s="18"/>
      <c r="F1558" s="18"/>
      <c r="G1558" s="8"/>
      <c r="H1558" s="8"/>
      <c r="I1558" s="8"/>
      <c r="J1558" s="8"/>
      <c r="K1558" s="10" t="str">
        <f aca="false">IF(A1558="","",IF(ABS(SUMIFS($E$9:$E$2008,$A$9:$A$2008,A1558)-SUMIFS($F$9:$F$2008,$A$9:$A$2008,A1558))&lt;0.5,"Yes","No"))</f>
        <v/>
      </c>
      <c r="L1558" s="10" t="str">
        <f aca="false">IF(A1558="","",IF(IF(K1558="No","Does not balance | ","")&amp;IF(I1558="","Not approved | ",IF(UPPER(TRIM(H1558))=UPPER(TRIM(I1558)),"Self-approved | ",""))&amp;IF(J1558="","No support | ","")&amp;IF(WEEKDAY(B1558,2)&gt;5,"Weekend posting | ","")&amp;IF(COUNTIF(Settings!$A$14:$A$43,B1558)&gt;0,"Holiday posting | ","")&amp;IF(B1558&gt;Settings!$C$8,"Posted after close | ","")&amp;IF(OR(B1558&lt;Settings!$C$6,B1558&gt;Settings!$C$7),"Outside period | ","")&amp;IF(COUNTIF(Settings!$E$14:$E$43,C1558&amp;"")&gt;0,"Sensitive account | ","")&amp;IF(AND(MAX(N(E1558),N(F1558))&gt;=Settings!$C$9,MOD(MAX(N(E1558),N(F1558)),Settings!$C$10)=0),"Round amount | ","")="","",LEFT(IF(K1558="No","Does not balance | ","")&amp;IF(I1558="","Not approved | ",IF(UPPER(TRIM(H1558))=UPPER(TRIM(I1558)),"Self-approved | ",""))&amp;IF(J1558="","No support | ","")&amp;IF(WEEKDAY(B1558,2)&gt;5,"Weekend posting | ","")&amp;IF(COUNTIF(Settings!$A$14:$A$43,B1558)&gt;0,"Holiday posting | ","")&amp;IF(B1558&gt;Settings!$C$8,"Posted after close | ","")&amp;IF(OR(B1558&lt;Settings!$C$6,B1558&gt;Settings!$C$7),"Outside period | ","")&amp;IF(COUNTIF(Settings!$E$14:$E$43,C1558&amp;"")&gt;0,"Sensitive account | ","")&amp;IF(AND(MAX(N(E1558),N(F1558))&gt;=Settings!$C$9,MOD(MAX(N(E1558),N(F1558)),Settings!$C$10)=0),"Round amount | ",""),LEN(IF(K1558="No","Does not balance | ","")&amp;IF(I1558="","Not approved | ",IF(UPPER(TRIM(H1558))=UPPER(TRIM(I1558)),"Self-approved | ",""))&amp;IF(J1558="","No support | ","")&amp;IF(WEEKDAY(B1558,2)&gt;5,"Weekend posting | ","")&amp;IF(COUNTIF(Settings!$A$14:$A$43,B1558)&gt;0,"Holiday posting | ","")&amp;IF(B1558&gt;Settings!$C$8,"Posted after close | ","")&amp;IF(OR(B1558&lt;Settings!$C$6,B1558&gt;Settings!$C$7),"Outside period | ","")&amp;IF(COUNTIF(Settings!$E$14:$E$43,C1558&amp;"")&gt;0,"Sensitive account | ","")&amp;IF(AND(MAX(N(E1558),N(F1558))&gt;=Settings!$C$9,MOD(MAX(N(E1558),N(F1558)),Settings!$C$10)=0),"Round amount | ",""))-3)))</f>
        <v/>
      </c>
      <c r="M1558" s="21" t="str">
        <f aca="false">IF(A1558="","",IF(COUNTIF($A$9:A1558,A1558)=1,MAX($M$8:M1557)+1,""))</f>
        <v/>
      </c>
    </row>
    <row r="1559" customFormat="false" ht="15" hidden="false" customHeight="false" outlineLevel="0" collapsed="false">
      <c r="A1559" s="8"/>
      <c r="B1559" s="17"/>
      <c r="C1559" s="19"/>
      <c r="D1559" s="8"/>
      <c r="E1559" s="18"/>
      <c r="F1559" s="18"/>
      <c r="G1559" s="8"/>
      <c r="H1559" s="8"/>
      <c r="I1559" s="8"/>
      <c r="J1559" s="8"/>
      <c r="K1559" s="10" t="str">
        <f aca="false">IF(A1559="","",IF(ABS(SUMIFS($E$9:$E$2008,$A$9:$A$2008,A1559)-SUMIFS($F$9:$F$2008,$A$9:$A$2008,A1559))&lt;0.5,"Yes","No"))</f>
        <v/>
      </c>
      <c r="L1559" s="10" t="str">
        <f aca="false">IF(A1559="","",IF(IF(K1559="No","Does not balance | ","")&amp;IF(I1559="","Not approved | ",IF(UPPER(TRIM(H1559))=UPPER(TRIM(I1559)),"Self-approved | ",""))&amp;IF(J1559="","No support | ","")&amp;IF(WEEKDAY(B1559,2)&gt;5,"Weekend posting | ","")&amp;IF(COUNTIF(Settings!$A$14:$A$43,B1559)&gt;0,"Holiday posting | ","")&amp;IF(B1559&gt;Settings!$C$8,"Posted after close | ","")&amp;IF(OR(B1559&lt;Settings!$C$6,B1559&gt;Settings!$C$7),"Outside period | ","")&amp;IF(COUNTIF(Settings!$E$14:$E$43,C1559&amp;"")&gt;0,"Sensitive account | ","")&amp;IF(AND(MAX(N(E1559),N(F1559))&gt;=Settings!$C$9,MOD(MAX(N(E1559),N(F1559)),Settings!$C$10)=0),"Round amount | ","")="","",LEFT(IF(K1559="No","Does not balance | ","")&amp;IF(I1559="","Not approved | ",IF(UPPER(TRIM(H1559))=UPPER(TRIM(I1559)),"Self-approved | ",""))&amp;IF(J1559="","No support | ","")&amp;IF(WEEKDAY(B1559,2)&gt;5,"Weekend posting | ","")&amp;IF(COUNTIF(Settings!$A$14:$A$43,B1559)&gt;0,"Holiday posting | ","")&amp;IF(B1559&gt;Settings!$C$8,"Posted after close | ","")&amp;IF(OR(B1559&lt;Settings!$C$6,B1559&gt;Settings!$C$7),"Outside period | ","")&amp;IF(COUNTIF(Settings!$E$14:$E$43,C1559&amp;"")&gt;0,"Sensitive account | ","")&amp;IF(AND(MAX(N(E1559),N(F1559))&gt;=Settings!$C$9,MOD(MAX(N(E1559),N(F1559)),Settings!$C$10)=0),"Round amount | ",""),LEN(IF(K1559="No","Does not balance | ","")&amp;IF(I1559="","Not approved | ",IF(UPPER(TRIM(H1559))=UPPER(TRIM(I1559)),"Self-approved | ",""))&amp;IF(J1559="","No support | ","")&amp;IF(WEEKDAY(B1559,2)&gt;5,"Weekend posting | ","")&amp;IF(COUNTIF(Settings!$A$14:$A$43,B1559)&gt;0,"Holiday posting | ","")&amp;IF(B1559&gt;Settings!$C$8,"Posted after close | ","")&amp;IF(OR(B1559&lt;Settings!$C$6,B1559&gt;Settings!$C$7),"Outside period | ","")&amp;IF(COUNTIF(Settings!$E$14:$E$43,C1559&amp;"")&gt;0,"Sensitive account | ","")&amp;IF(AND(MAX(N(E1559),N(F1559))&gt;=Settings!$C$9,MOD(MAX(N(E1559),N(F1559)),Settings!$C$10)=0),"Round amount | ",""))-3)))</f>
        <v/>
      </c>
      <c r="M1559" s="21" t="str">
        <f aca="false">IF(A1559="","",IF(COUNTIF($A$9:A1559,A1559)=1,MAX($M$8:M1558)+1,""))</f>
        <v/>
      </c>
    </row>
    <row r="1560" customFormat="false" ht="15" hidden="false" customHeight="false" outlineLevel="0" collapsed="false">
      <c r="A1560" s="8"/>
      <c r="B1560" s="17"/>
      <c r="C1560" s="19"/>
      <c r="D1560" s="8"/>
      <c r="E1560" s="18"/>
      <c r="F1560" s="18"/>
      <c r="G1560" s="8"/>
      <c r="H1560" s="8"/>
      <c r="I1560" s="8"/>
      <c r="J1560" s="8"/>
      <c r="K1560" s="10" t="str">
        <f aca="false">IF(A1560="","",IF(ABS(SUMIFS($E$9:$E$2008,$A$9:$A$2008,A1560)-SUMIFS($F$9:$F$2008,$A$9:$A$2008,A1560))&lt;0.5,"Yes","No"))</f>
        <v/>
      </c>
      <c r="L1560" s="10" t="str">
        <f aca="false">IF(A1560="","",IF(IF(K1560="No","Does not balance | ","")&amp;IF(I1560="","Not approved | ",IF(UPPER(TRIM(H1560))=UPPER(TRIM(I1560)),"Self-approved | ",""))&amp;IF(J1560="","No support | ","")&amp;IF(WEEKDAY(B1560,2)&gt;5,"Weekend posting | ","")&amp;IF(COUNTIF(Settings!$A$14:$A$43,B1560)&gt;0,"Holiday posting | ","")&amp;IF(B1560&gt;Settings!$C$8,"Posted after close | ","")&amp;IF(OR(B1560&lt;Settings!$C$6,B1560&gt;Settings!$C$7),"Outside period | ","")&amp;IF(COUNTIF(Settings!$E$14:$E$43,C1560&amp;"")&gt;0,"Sensitive account | ","")&amp;IF(AND(MAX(N(E1560),N(F1560))&gt;=Settings!$C$9,MOD(MAX(N(E1560),N(F1560)),Settings!$C$10)=0),"Round amount | ","")="","",LEFT(IF(K1560="No","Does not balance | ","")&amp;IF(I1560="","Not approved | ",IF(UPPER(TRIM(H1560))=UPPER(TRIM(I1560)),"Self-approved | ",""))&amp;IF(J1560="","No support | ","")&amp;IF(WEEKDAY(B1560,2)&gt;5,"Weekend posting | ","")&amp;IF(COUNTIF(Settings!$A$14:$A$43,B1560)&gt;0,"Holiday posting | ","")&amp;IF(B1560&gt;Settings!$C$8,"Posted after close | ","")&amp;IF(OR(B1560&lt;Settings!$C$6,B1560&gt;Settings!$C$7),"Outside period | ","")&amp;IF(COUNTIF(Settings!$E$14:$E$43,C1560&amp;"")&gt;0,"Sensitive account | ","")&amp;IF(AND(MAX(N(E1560),N(F1560))&gt;=Settings!$C$9,MOD(MAX(N(E1560),N(F1560)),Settings!$C$10)=0),"Round amount | ",""),LEN(IF(K1560="No","Does not balance | ","")&amp;IF(I1560="","Not approved | ",IF(UPPER(TRIM(H1560))=UPPER(TRIM(I1560)),"Self-approved | ",""))&amp;IF(J1560="","No support | ","")&amp;IF(WEEKDAY(B1560,2)&gt;5,"Weekend posting | ","")&amp;IF(COUNTIF(Settings!$A$14:$A$43,B1560)&gt;0,"Holiday posting | ","")&amp;IF(B1560&gt;Settings!$C$8,"Posted after close | ","")&amp;IF(OR(B1560&lt;Settings!$C$6,B1560&gt;Settings!$C$7),"Outside period | ","")&amp;IF(COUNTIF(Settings!$E$14:$E$43,C1560&amp;"")&gt;0,"Sensitive account | ","")&amp;IF(AND(MAX(N(E1560),N(F1560))&gt;=Settings!$C$9,MOD(MAX(N(E1560),N(F1560)),Settings!$C$10)=0),"Round amount | ",""))-3)))</f>
        <v/>
      </c>
      <c r="M1560" s="21" t="str">
        <f aca="false">IF(A1560="","",IF(COUNTIF($A$9:A1560,A1560)=1,MAX($M$8:M1559)+1,""))</f>
        <v/>
      </c>
    </row>
    <row r="1561" customFormat="false" ht="15" hidden="false" customHeight="false" outlineLevel="0" collapsed="false">
      <c r="A1561" s="8"/>
      <c r="B1561" s="17"/>
      <c r="C1561" s="19"/>
      <c r="D1561" s="8"/>
      <c r="E1561" s="18"/>
      <c r="F1561" s="18"/>
      <c r="G1561" s="8"/>
      <c r="H1561" s="8"/>
      <c r="I1561" s="8"/>
      <c r="J1561" s="8"/>
      <c r="K1561" s="10" t="str">
        <f aca="false">IF(A1561="","",IF(ABS(SUMIFS($E$9:$E$2008,$A$9:$A$2008,A1561)-SUMIFS($F$9:$F$2008,$A$9:$A$2008,A1561))&lt;0.5,"Yes","No"))</f>
        <v/>
      </c>
      <c r="L1561" s="10" t="str">
        <f aca="false">IF(A1561="","",IF(IF(K1561="No","Does not balance | ","")&amp;IF(I1561="","Not approved | ",IF(UPPER(TRIM(H1561))=UPPER(TRIM(I1561)),"Self-approved | ",""))&amp;IF(J1561="","No support | ","")&amp;IF(WEEKDAY(B1561,2)&gt;5,"Weekend posting | ","")&amp;IF(COUNTIF(Settings!$A$14:$A$43,B1561)&gt;0,"Holiday posting | ","")&amp;IF(B1561&gt;Settings!$C$8,"Posted after close | ","")&amp;IF(OR(B1561&lt;Settings!$C$6,B1561&gt;Settings!$C$7),"Outside period | ","")&amp;IF(COUNTIF(Settings!$E$14:$E$43,C1561&amp;"")&gt;0,"Sensitive account | ","")&amp;IF(AND(MAX(N(E1561),N(F1561))&gt;=Settings!$C$9,MOD(MAX(N(E1561),N(F1561)),Settings!$C$10)=0),"Round amount | ","")="","",LEFT(IF(K1561="No","Does not balance | ","")&amp;IF(I1561="","Not approved | ",IF(UPPER(TRIM(H1561))=UPPER(TRIM(I1561)),"Self-approved | ",""))&amp;IF(J1561="","No support | ","")&amp;IF(WEEKDAY(B1561,2)&gt;5,"Weekend posting | ","")&amp;IF(COUNTIF(Settings!$A$14:$A$43,B1561)&gt;0,"Holiday posting | ","")&amp;IF(B1561&gt;Settings!$C$8,"Posted after close | ","")&amp;IF(OR(B1561&lt;Settings!$C$6,B1561&gt;Settings!$C$7),"Outside period | ","")&amp;IF(COUNTIF(Settings!$E$14:$E$43,C1561&amp;"")&gt;0,"Sensitive account | ","")&amp;IF(AND(MAX(N(E1561),N(F1561))&gt;=Settings!$C$9,MOD(MAX(N(E1561),N(F1561)),Settings!$C$10)=0),"Round amount | ",""),LEN(IF(K1561="No","Does not balance | ","")&amp;IF(I1561="","Not approved | ",IF(UPPER(TRIM(H1561))=UPPER(TRIM(I1561)),"Self-approved | ",""))&amp;IF(J1561="","No support | ","")&amp;IF(WEEKDAY(B1561,2)&gt;5,"Weekend posting | ","")&amp;IF(COUNTIF(Settings!$A$14:$A$43,B1561)&gt;0,"Holiday posting | ","")&amp;IF(B1561&gt;Settings!$C$8,"Posted after close | ","")&amp;IF(OR(B1561&lt;Settings!$C$6,B1561&gt;Settings!$C$7),"Outside period | ","")&amp;IF(COUNTIF(Settings!$E$14:$E$43,C1561&amp;"")&gt;0,"Sensitive account | ","")&amp;IF(AND(MAX(N(E1561),N(F1561))&gt;=Settings!$C$9,MOD(MAX(N(E1561),N(F1561)),Settings!$C$10)=0),"Round amount | ",""))-3)))</f>
        <v/>
      </c>
      <c r="M1561" s="21" t="str">
        <f aca="false">IF(A1561="","",IF(COUNTIF($A$9:A1561,A1561)=1,MAX($M$8:M1560)+1,""))</f>
        <v/>
      </c>
    </row>
    <row r="1562" customFormat="false" ht="15" hidden="false" customHeight="false" outlineLevel="0" collapsed="false">
      <c r="A1562" s="8"/>
      <c r="B1562" s="17"/>
      <c r="C1562" s="19"/>
      <c r="D1562" s="8"/>
      <c r="E1562" s="18"/>
      <c r="F1562" s="18"/>
      <c r="G1562" s="8"/>
      <c r="H1562" s="8"/>
      <c r="I1562" s="8"/>
      <c r="J1562" s="8"/>
      <c r="K1562" s="10" t="str">
        <f aca="false">IF(A1562="","",IF(ABS(SUMIFS($E$9:$E$2008,$A$9:$A$2008,A1562)-SUMIFS($F$9:$F$2008,$A$9:$A$2008,A1562))&lt;0.5,"Yes","No"))</f>
        <v/>
      </c>
      <c r="L1562" s="10" t="str">
        <f aca="false">IF(A1562="","",IF(IF(K1562="No","Does not balance | ","")&amp;IF(I1562="","Not approved | ",IF(UPPER(TRIM(H1562))=UPPER(TRIM(I1562)),"Self-approved | ",""))&amp;IF(J1562="","No support | ","")&amp;IF(WEEKDAY(B1562,2)&gt;5,"Weekend posting | ","")&amp;IF(COUNTIF(Settings!$A$14:$A$43,B1562)&gt;0,"Holiday posting | ","")&amp;IF(B1562&gt;Settings!$C$8,"Posted after close | ","")&amp;IF(OR(B1562&lt;Settings!$C$6,B1562&gt;Settings!$C$7),"Outside period | ","")&amp;IF(COUNTIF(Settings!$E$14:$E$43,C1562&amp;"")&gt;0,"Sensitive account | ","")&amp;IF(AND(MAX(N(E1562),N(F1562))&gt;=Settings!$C$9,MOD(MAX(N(E1562),N(F1562)),Settings!$C$10)=0),"Round amount | ","")="","",LEFT(IF(K1562="No","Does not balance | ","")&amp;IF(I1562="","Not approved | ",IF(UPPER(TRIM(H1562))=UPPER(TRIM(I1562)),"Self-approved | ",""))&amp;IF(J1562="","No support | ","")&amp;IF(WEEKDAY(B1562,2)&gt;5,"Weekend posting | ","")&amp;IF(COUNTIF(Settings!$A$14:$A$43,B1562)&gt;0,"Holiday posting | ","")&amp;IF(B1562&gt;Settings!$C$8,"Posted after close | ","")&amp;IF(OR(B1562&lt;Settings!$C$6,B1562&gt;Settings!$C$7),"Outside period | ","")&amp;IF(COUNTIF(Settings!$E$14:$E$43,C1562&amp;"")&gt;0,"Sensitive account | ","")&amp;IF(AND(MAX(N(E1562),N(F1562))&gt;=Settings!$C$9,MOD(MAX(N(E1562),N(F1562)),Settings!$C$10)=0),"Round amount | ",""),LEN(IF(K1562="No","Does not balance | ","")&amp;IF(I1562="","Not approved | ",IF(UPPER(TRIM(H1562))=UPPER(TRIM(I1562)),"Self-approved | ",""))&amp;IF(J1562="","No support | ","")&amp;IF(WEEKDAY(B1562,2)&gt;5,"Weekend posting | ","")&amp;IF(COUNTIF(Settings!$A$14:$A$43,B1562)&gt;0,"Holiday posting | ","")&amp;IF(B1562&gt;Settings!$C$8,"Posted after close | ","")&amp;IF(OR(B1562&lt;Settings!$C$6,B1562&gt;Settings!$C$7),"Outside period | ","")&amp;IF(COUNTIF(Settings!$E$14:$E$43,C1562&amp;"")&gt;0,"Sensitive account | ","")&amp;IF(AND(MAX(N(E1562),N(F1562))&gt;=Settings!$C$9,MOD(MAX(N(E1562),N(F1562)),Settings!$C$10)=0),"Round amount | ",""))-3)))</f>
        <v/>
      </c>
      <c r="M1562" s="21" t="str">
        <f aca="false">IF(A1562="","",IF(COUNTIF($A$9:A1562,A1562)=1,MAX($M$8:M1561)+1,""))</f>
        <v/>
      </c>
    </row>
    <row r="1563" customFormat="false" ht="15" hidden="false" customHeight="false" outlineLevel="0" collapsed="false">
      <c r="A1563" s="8"/>
      <c r="B1563" s="17"/>
      <c r="C1563" s="19"/>
      <c r="D1563" s="8"/>
      <c r="E1563" s="18"/>
      <c r="F1563" s="18"/>
      <c r="G1563" s="8"/>
      <c r="H1563" s="8"/>
      <c r="I1563" s="8"/>
      <c r="J1563" s="8"/>
      <c r="K1563" s="10" t="str">
        <f aca="false">IF(A1563="","",IF(ABS(SUMIFS($E$9:$E$2008,$A$9:$A$2008,A1563)-SUMIFS($F$9:$F$2008,$A$9:$A$2008,A1563))&lt;0.5,"Yes","No"))</f>
        <v/>
      </c>
      <c r="L1563" s="10" t="str">
        <f aca="false">IF(A1563="","",IF(IF(K1563="No","Does not balance | ","")&amp;IF(I1563="","Not approved | ",IF(UPPER(TRIM(H1563))=UPPER(TRIM(I1563)),"Self-approved | ",""))&amp;IF(J1563="","No support | ","")&amp;IF(WEEKDAY(B1563,2)&gt;5,"Weekend posting | ","")&amp;IF(COUNTIF(Settings!$A$14:$A$43,B1563)&gt;0,"Holiday posting | ","")&amp;IF(B1563&gt;Settings!$C$8,"Posted after close | ","")&amp;IF(OR(B1563&lt;Settings!$C$6,B1563&gt;Settings!$C$7),"Outside period | ","")&amp;IF(COUNTIF(Settings!$E$14:$E$43,C1563&amp;"")&gt;0,"Sensitive account | ","")&amp;IF(AND(MAX(N(E1563),N(F1563))&gt;=Settings!$C$9,MOD(MAX(N(E1563),N(F1563)),Settings!$C$10)=0),"Round amount | ","")="","",LEFT(IF(K1563="No","Does not balance | ","")&amp;IF(I1563="","Not approved | ",IF(UPPER(TRIM(H1563))=UPPER(TRIM(I1563)),"Self-approved | ",""))&amp;IF(J1563="","No support | ","")&amp;IF(WEEKDAY(B1563,2)&gt;5,"Weekend posting | ","")&amp;IF(COUNTIF(Settings!$A$14:$A$43,B1563)&gt;0,"Holiday posting | ","")&amp;IF(B1563&gt;Settings!$C$8,"Posted after close | ","")&amp;IF(OR(B1563&lt;Settings!$C$6,B1563&gt;Settings!$C$7),"Outside period | ","")&amp;IF(COUNTIF(Settings!$E$14:$E$43,C1563&amp;"")&gt;0,"Sensitive account | ","")&amp;IF(AND(MAX(N(E1563),N(F1563))&gt;=Settings!$C$9,MOD(MAX(N(E1563),N(F1563)),Settings!$C$10)=0),"Round amount | ",""),LEN(IF(K1563="No","Does not balance | ","")&amp;IF(I1563="","Not approved | ",IF(UPPER(TRIM(H1563))=UPPER(TRIM(I1563)),"Self-approved | ",""))&amp;IF(J1563="","No support | ","")&amp;IF(WEEKDAY(B1563,2)&gt;5,"Weekend posting | ","")&amp;IF(COUNTIF(Settings!$A$14:$A$43,B1563)&gt;0,"Holiday posting | ","")&amp;IF(B1563&gt;Settings!$C$8,"Posted after close | ","")&amp;IF(OR(B1563&lt;Settings!$C$6,B1563&gt;Settings!$C$7),"Outside period | ","")&amp;IF(COUNTIF(Settings!$E$14:$E$43,C1563&amp;"")&gt;0,"Sensitive account | ","")&amp;IF(AND(MAX(N(E1563),N(F1563))&gt;=Settings!$C$9,MOD(MAX(N(E1563),N(F1563)),Settings!$C$10)=0),"Round amount | ",""))-3)))</f>
        <v/>
      </c>
      <c r="M1563" s="21" t="str">
        <f aca="false">IF(A1563="","",IF(COUNTIF($A$9:A1563,A1563)=1,MAX($M$8:M1562)+1,""))</f>
        <v/>
      </c>
    </row>
    <row r="1564" customFormat="false" ht="15" hidden="false" customHeight="false" outlineLevel="0" collapsed="false">
      <c r="A1564" s="8"/>
      <c r="B1564" s="17"/>
      <c r="C1564" s="19"/>
      <c r="D1564" s="8"/>
      <c r="E1564" s="18"/>
      <c r="F1564" s="18"/>
      <c r="G1564" s="8"/>
      <c r="H1564" s="8"/>
      <c r="I1564" s="8"/>
      <c r="J1564" s="8"/>
      <c r="K1564" s="10" t="str">
        <f aca="false">IF(A1564="","",IF(ABS(SUMIFS($E$9:$E$2008,$A$9:$A$2008,A1564)-SUMIFS($F$9:$F$2008,$A$9:$A$2008,A1564))&lt;0.5,"Yes","No"))</f>
        <v/>
      </c>
      <c r="L1564" s="10" t="str">
        <f aca="false">IF(A1564="","",IF(IF(K1564="No","Does not balance | ","")&amp;IF(I1564="","Not approved | ",IF(UPPER(TRIM(H1564))=UPPER(TRIM(I1564)),"Self-approved | ",""))&amp;IF(J1564="","No support | ","")&amp;IF(WEEKDAY(B1564,2)&gt;5,"Weekend posting | ","")&amp;IF(COUNTIF(Settings!$A$14:$A$43,B1564)&gt;0,"Holiday posting | ","")&amp;IF(B1564&gt;Settings!$C$8,"Posted after close | ","")&amp;IF(OR(B1564&lt;Settings!$C$6,B1564&gt;Settings!$C$7),"Outside period | ","")&amp;IF(COUNTIF(Settings!$E$14:$E$43,C1564&amp;"")&gt;0,"Sensitive account | ","")&amp;IF(AND(MAX(N(E1564),N(F1564))&gt;=Settings!$C$9,MOD(MAX(N(E1564),N(F1564)),Settings!$C$10)=0),"Round amount | ","")="","",LEFT(IF(K1564="No","Does not balance | ","")&amp;IF(I1564="","Not approved | ",IF(UPPER(TRIM(H1564))=UPPER(TRIM(I1564)),"Self-approved | ",""))&amp;IF(J1564="","No support | ","")&amp;IF(WEEKDAY(B1564,2)&gt;5,"Weekend posting | ","")&amp;IF(COUNTIF(Settings!$A$14:$A$43,B1564)&gt;0,"Holiday posting | ","")&amp;IF(B1564&gt;Settings!$C$8,"Posted after close | ","")&amp;IF(OR(B1564&lt;Settings!$C$6,B1564&gt;Settings!$C$7),"Outside period | ","")&amp;IF(COUNTIF(Settings!$E$14:$E$43,C1564&amp;"")&gt;0,"Sensitive account | ","")&amp;IF(AND(MAX(N(E1564),N(F1564))&gt;=Settings!$C$9,MOD(MAX(N(E1564),N(F1564)),Settings!$C$10)=0),"Round amount | ",""),LEN(IF(K1564="No","Does not balance | ","")&amp;IF(I1564="","Not approved | ",IF(UPPER(TRIM(H1564))=UPPER(TRIM(I1564)),"Self-approved | ",""))&amp;IF(J1564="","No support | ","")&amp;IF(WEEKDAY(B1564,2)&gt;5,"Weekend posting | ","")&amp;IF(COUNTIF(Settings!$A$14:$A$43,B1564)&gt;0,"Holiday posting | ","")&amp;IF(B1564&gt;Settings!$C$8,"Posted after close | ","")&amp;IF(OR(B1564&lt;Settings!$C$6,B1564&gt;Settings!$C$7),"Outside period | ","")&amp;IF(COUNTIF(Settings!$E$14:$E$43,C1564&amp;"")&gt;0,"Sensitive account | ","")&amp;IF(AND(MAX(N(E1564),N(F1564))&gt;=Settings!$C$9,MOD(MAX(N(E1564),N(F1564)),Settings!$C$10)=0),"Round amount | ",""))-3)))</f>
        <v/>
      </c>
      <c r="M1564" s="21" t="str">
        <f aca="false">IF(A1564="","",IF(COUNTIF($A$9:A1564,A1564)=1,MAX($M$8:M1563)+1,""))</f>
        <v/>
      </c>
    </row>
    <row r="1565" customFormat="false" ht="15" hidden="false" customHeight="false" outlineLevel="0" collapsed="false">
      <c r="A1565" s="8"/>
      <c r="B1565" s="17"/>
      <c r="C1565" s="19"/>
      <c r="D1565" s="8"/>
      <c r="E1565" s="18"/>
      <c r="F1565" s="18"/>
      <c r="G1565" s="8"/>
      <c r="H1565" s="8"/>
      <c r="I1565" s="8"/>
      <c r="J1565" s="8"/>
      <c r="K1565" s="10" t="str">
        <f aca="false">IF(A1565="","",IF(ABS(SUMIFS($E$9:$E$2008,$A$9:$A$2008,A1565)-SUMIFS($F$9:$F$2008,$A$9:$A$2008,A1565))&lt;0.5,"Yes","No"))</f>
        <v/>
      </c>
      <c r="L1565" s="10" t="str">
        <f aca="false">IF(A1565="","",IF(IF(K1565="No","Does not balance | ","")&amp;IF(I1565="","Not approved | ",IF(UPPER(TRIM(H1565))=UPPER(TRIM(I1565)),"Self-approved | ",""))&amp;IF(J1565="","No support | ","")&amp;IF(WEEKDAY(B1565,2)&gt;5,"Weekend posting | ","")&amp;IF(COUNTIF(Settings!$A$14:$A$43,B1565)&gt;0,"Holiday posting | ","")&amp;IF(B1565&gt;Settings!$C$8,"Posted after close | ","")&amp;IF(OR(B1565&lt;Settings!$C$6,B1565&gt;Settings!$C$7),"Outside period | ","")&amp;IF(COUNTIF(Settings!$E$14:$E$43,C1565&amp;"")&gt;0,"Sensitive account | ","")&amp;IF(AND(MAX(N(E1565),N(F1565))&gt;=Settings!$C$9,MOD(MAX(N(E1565),N(F1565)),Settings!$C$10)=0),"Round amount | ","")="","",LEFT(IF(K1565="No","Does not balance | ","")&amp;IF(I1565="","Not approved | ",IF(UPPER(TRIM(H1565))=UPPER(TRIM(I1565)),"Self-approved | ",""))&amp;IF(J1565="","No support | ","")&amp;IF(WEEKDAY(B1565,2)&gt;5,"Weekend posting | ","")&amp;IF(COUNTIF(Settings!$A$14:$A$43,B1565)&gt;0,"Holiday posting | ","")&amp;IF(B1565&gt;Settings!$C$8,"Posted after close | ","")&amp;IF(OR(B1565&lt;Settings!$C$6,B1565&gt;Settings!$C$7),"Outside period | ","")&amp;IF(COUNTIF(Settings!$E$14:$E$43,C1565&amp;"")&gt;0,"Sensitive account | ","")&amp;IF(AND(MAX(N(E1565),N(F1565))&gt;=Settings!$C$9,MOD(MAX(N(E1565),N(F1565)),Settings!$C$10)=0),"Round amount | ",""),LEN(IF(K1565="No","Does not balance | ","")&amp;IF(I1565="","Not approved | ",IF(UPPER(TRIM(H1565))=UPPER(TRIM(I1565)),"Self-approved | ",""))&amp;IF(J1565="","No support | ","")&amp;IF(WEEKDAY(B1565,2)&gt;5,"Weekend posting | ","")&amp;IF(COUNTIF(Settings!$A$14:$A$43,B1565)&gt;0,"Holiday posting | ","")&amp;IF(B1565&gt;Settings!$C$8,"Posted after close | ","")&amp;IF(OR(B1565&lt;Settings!$C$6,B1565&gt;Settings!$C$7),"Outside period | ","")&amp;IF(COUNTIF(Settings!$E$14:$E$43,C1565&amp;"")&gt;0,"Sensitive account | ","")&amp;IF(AND(MAX(N(E1565),N(F1565))&gt;=Settings!$C$9,MOD(MAX(N(E1565),N(F1565)),Settings!$C$10)=0),"Round amount | ",""))-3)))</f>
        <v/>
      </c>
      <c r="M1565" s="21" t="str">
        <f aca="false">IF(A1565="","",IF(COUNTIF($A$9:A1565,A1565)=1,MAX($M$8:M1564)+1,""))</f>
        <v/>
      </c>
    </row>
    <row r="1566" customFormat="false" ht="15" hidden="false" customHeight="false" outlineLevel="0" collapsed="false">
      <c r="A1566" s="8"/>
      <c r="B1566" s="17"/>
      <c r="C1566" s="19"/>
      <c r="D1566" s="8"/>
      <c r="E1566" s="18"/>
      <c r="F1566" s="18"/>
      <c r="G1566" s="8"/>
      <c r="H1566" s="8"/>
      <c r="I1566" s="8"/>
      <c r="J1566" s="8"/>
      <c r="K1566" s="10" t="str">
        <f aca="false">IF(A1566="","",IF(ABS(SUMIFS($E$9:$E$2008,$A$9:$A$2008,A1566)-SUMIFS($F$9:$F$2008,$A$9:$A$2008,A1566))&lt;0.5,"Yes","No"))</f>
        <v/>
      </c>
      <c r="L1566" s="10" t="str">
        <f aca="false">IF(A1566="","",IF(IF(K1566="No","Does not balance | ","")&amp;IF(I1566="","Not approved | ",IF(UPPER(TRIM(H1566))=UPPER(TRIM(I1566)),"Self-approved | ",""))&amp;IF(J1566="","No support | ","")&amp;IF(WEEKDAY(B1566,2)&gt;5,"Weekend posting | ","")&amp;IF(COUNTIF(Settings!$A$14:$A$43,B1566)&gt;0,"Holiday posting | ","")&amp;IF(B1566&gt;Settings!$C$8,"Posted after close | ","")&amp;IF(OR(B1566&lt;Settings!$C$6,B1566&gt;Settings!$C$7),"Outside period | ","")&amp;IF(COUNTIF(Settings!$E$14:$E$43,C1566&amp;"")&gt;0,"Sensitive account | ","")&amp;IF(AND(MAX(N(E1566),N(F1566))&gt;=Settings!$C$9,MOD(MAX(N(E1566),N(F1566)),Settings!$C$10)=0),"Round amount | ","")="","",LEFT(IF(K1566="No","Does not balance | ","")&amp;IF(I1566="","Not approved | ",IF(UPPER(TRIM(H1566))=UPPER(TRIM(I1566)),"Self-approved | ",""))&amp;IF(J1566="","No support | ","")&amp;IF(WEEKDAY(B1566,2)&gt;5,"Weekend posting | ","")&amp;IF(COUNTIF(Settings!$A$14:$A$43,B1566)&gt;0,"Holiday posting | ","")&amp;IF(B1566&gt;Settings!$C$8,"Posted after close | ","")&amp;IF(OR(B1566&lt;Settings!$C$6,B1566&gt;Settings!$C$7),"Outside period | ","")&amp;IF(COUNTIF(Settings!$E$14:$E$43,C1566&amp;"")&gt;0,"Sensitive account | ","")&amp;IF(AND(MAX(N(E1566),N(F1566))&gt;=Settings!$C$9,MOD(MAX(N(E1566),N(F1566)),Settings!$C$10)=0),"Round amount | ",""),LEN(IF(K1566="No","Does not balance | ","")&amp;IF(I1566="","Not approved | ",IF(UPPER(TRIM(H1566))=UPPER(TRIM(I1566)),"Self-approved | ",""))&amp;IF(J1566="","No support | ","")&amp;IF(WEEKDAY(B1566,2)&gt;5,"Weekend posting | ","")&amp;IF(COUNTIF(Settings!$A$14:$A$43,B1566)&gt;0,"Holiday posting | ","")&amp;IF(B1566&gt;Settings!$C$8,"Posted after close | ","")&amp;IF(OR(B1566&lt;Settings!$C$6,B1566&gt;Settings!$C$7),"Outside period | ","")&amp;IF(COUNTIF(Settings!$E$14:$E$43,C1566&amp;"")&gt;0,"Sensitive account | ","")&amp;IF(AND(MAX(N(E1566),N(F1566))&gt;=Settings!$C$9,MOD(MAX(N(E1566),N(F1566)),Settings!$C$10)=0),"Round amount | ",""))-3)))</f>
        <v/>
      </c>
      <c r="M1566" s="21" t="str">
        <f aca="false">IF(A1566="","",IF(COUNTIF($A$9:A1566,A1566)=1,MAX($M$8:M1565)+1,""))</f>
        <v/>
      </c>
    </row>
    <row r="1567" customFormat="false" ht="15" hidden="false" customHeight="false" outlineLevel="0" collapsed="false">
      <c r="A1567" s="8"/>
      <c r="B1567" s="17"/>
      <c r="C1567" s="19"/>
      <c r="D1567" s="8"/>
      <c r="E1567" s="18"/>
      <c r="F1567" s="18"/>
      <c r="G1567" s="8"/>
      <c r="H1567" s="8"/>
      <c r="I1567" s="8"/>
      <c r="J1567" s="8"/>
      <c r="K1567" s="10" t="str">
        <f aca="false">IF(A1567="","",IF(ABS(SUMIFS($E$9:$E$2008,$A$9:$A$2008,A1567)-SUMIFS($F$9:$F$2008,$A$9:$A$2008,A1567))&lt;0.5,"Yes","No"))</f>
        <v/>
      </c>
      <c r="L1567" s="10" t="str">
        <f aca="false">IF(A1567="","",IF(IF(K1567="No","Does not balance | ","")&amp;IF(I1567="","Not approved | ",IF(UPPER(TRIM(H1567))=UPPER(TRIM(I1567)),"Self-approved | ",""))&amp;IF(J1567="","No support | ","")&amp;IF(WEEKDAY(B1567,2)&gt;5,"Weekend posting | ","")&amp;IF(COUNTIF(Settings!$A$14:$A$43,B1567)&gt;0,"Holiday posting | ","")&amp;IF(B1567&gt;Settings!$C$8,"Posted after close | ","")&amp;IF(OR(B1567&lt;Settings!$C$6,B1567&gt;Settings!$C$7),"Outside period | ","")&amp;IF(COUNTIF(Settings!$E$14:$E$43,C1567&amp;"")&gt;0,"Sensitive account | ","")&amp;IF(AND(MAX(N(E1567),N(F1567))&gt;=Settings!$C$9,MOD(MAX(N(E1567),N(F1567)),Settings!$C$10)=0),"Round amount | ","")="","",LEFT(IF(K1567="No","Does not balance | ","")&amp;IF(I1567="","Not approved | ",IF(UPPER(TRIM(H1567))=UPPER(TRIM(I1567)),"Self-approved | ",""))&amp;IF(J1567="","No support | ","")&amp;IF(WEEKDAY(B1567,2)&gt;5,"Weekend posting | ","")&amp;IF(COUNTIF(Settings!$A$14:$A$43,B1567)&gt;0,"Holiday posting | ","")&amp;IF(B1567&gt;Settings!$C$8,"Posted after close | ","")&amp;IF(OR(B1567&lt;Settings!$C$6,B1567&gt;Settings!$C$7),"Outside period | ","")&amp;IF(COUNTIF(Settings!$E$14:$E$43,C1567&amp;"")&gt;0,"Sensitive account | ","")&amp;IF(AND(MAX(N(E1567),N(F1567))&gt;=Settings!$C$9,MOD(MAX(N(E1567),N(F1567)),Settings!$C$10)=0),"Round amount | ",""),LEN(IF(K1567="No","Does not balance | ","")&amp;IF(I1567="","Not approved | ",IF(UPPER(TRIM(H1567))=UPPER(TRIM(I1567)),"Self-approved | ",""))&amp;IF(J1567="","No support | ","")&amp;IF(WEEKDAY(B1567,2)&gt;5,"Weekend posting | ","")&amp;IF(COUNTIF(Settings!$A$14:$A$43,B1567)&gt;0,"Holiday posting | ","")&amp;IF(B1567&gt;Settings!$C$8,"Posted after close | ","")&amp;IF(OR(B1567&lt;Settings!$C$6,B1567&gt;Settings!$C$7),"Outside period | ","")&amp;IF(COUNTIF(Settings!$E$14:$E$43,C1567&amp;"")&gt;0,"Sensitive account | ","")&amp;IF(AND(MAX(N(E1567),N(F1567))&gt;=Settings!$C$9,MOD(MAX(N(E1567),N(F1567)),Settings!$C$10)=0),"Round amount | ",""))-3)))</f>
        <v/>
      </c>
      <c r="M1567" s="21" t="str">
        <f aca="false">IF(A1567="","",IF(COUNTIF($A$9:A1567,A1567)=1,MAX($M$8:M1566)+1,""))</f>
        <v/>
      </c>
    </row>
    <row r="1568" customFormat="false" ht="15" hidden="false" customHeight="false" outlineLevel="0" collapsed="false">
      <c r="A1568" s="8"/>
      <c r="B1568" s="17"/>
      <c r="C1568" s="19"/>
      <c r="D1568" s="8"/>
      <c r="E1568" s="18"/>
      <c r="F1568" s="18"/>
      <c r="G1568" s="8"/>
      <c r="H1568" s="8"/>
      <c r="I1568" s="8"/>
      <c r="J1568" s="8"/>
      <c r="K1568" s="10" t="str">
        <f aca="false">IF(A1568="","",IF(ABS(SUMIFS($E$9:$E$2008,$A$9:$A$2008,A1568)-SUMIFS($F$9:$F$2008,$A$9:$A$2008,A1568))&lt;0.5,"Yes","No"))</f>
        <v/>
      </c>
      <c r="L1568" s="10" t="str">
        <f aca="false">IF(A1568="","",IF(IF(K1568="No","Does not balance | ","")&amp;IF(I1568="","Not approved | ",IF(UPPER(TRIM(H1568))=UPPER(TRIM(I1568)),"Self-approved | ",""))&amp;IF(J1568="","No support | ","")&amp;IF(WEEKDAY(B1568,2)&gt;5,"Weekend posting | ","")&amp;IF(COUNTIF(Settings!$A$14:$A$43,B1568)&gt;0,"Holiday posting | ","")&amp;IF(B1568&gt;Settings!$C$8,"Posted after close | ","")&amp;IF(OR(B1568&lt;Settings!$C$6,B1568&gt;Settings!$C$7),"Outside period | ","")&amp;IF(COUNTIF(Settings!$E$14:$E$43,C1568&amp;"")&gt;0,"Sensitive account | ","")&amp;IF(AND(MAX(N(E1568),N(F1568))&gt;=Settings!$C$9,MOD(MAX(N(E1568),N(F1568)),Settings!$C$10)=0),"Round amount | ","")="","",LEFT(IF(K1568="No","Does not balance | ","")&amp;IF(I1568="","Not approved | ",IF(UPPER(TRIM(H1568))=UPPER(TRIM(I1568)),"Self-approved | ",""))&amp;IF(J1568="","No support | ","")&amp;IF(WEEKDAY(B1568,2)&gt;5,"Weekend posting | ","")&amp;IF(COUNTIF(Settings!$A$14:$A$43,B1568)&gt;0,"Holiday posting | ","")&amp;IF(B1568&gt;Settings!$C$8,"Posted after close | ","")&amp;IF(OR(B1568&lt;Settings!$C$6,B1568&gt;Settings!$C$7),"Outside period | ","")&amp;IF(COUNTIF(Settings!$E$14:$E$43,C1568&amp;"")&gt;0,"Sensitive account | ","")&amp;IF(AND(MAX(N(E1568),N(F1568))&gt;=Settings!$C$9,MOD(MAX(N(E1568),N(F1568)),Settings!$C$10)=0),"Round amount | ",""),LEN(IF(K1568="No","Does not balance | ","")&amp;IF(I1568="","Not approved | ",IF(UPPER(TRIM(H1568))=UPPER(TRIM(I1568)),"Self-approved | ",""))&amp;IF(J1568="","No support | ","")&amp;IF(WEEKDAY(B1568,2)&gt;5,"Weekend posting | ","")&amp;IF(COUNTIF(Settings!$A$14:$A$43,B1568)&gt;0,"Holiday posting | ","")&amp;IF(B1568&gt;Settings!$C$8,"Posted after close | ","")&amp;IF(OR(B1568&lt;Settings!$C$6,B1568&gt;Settings!$C$7),"Outside period | ","")&amp;IF(COUNTIF(Settings!$E$14:$E$43,C1568&amp;"")&gt;0,"Sensitive account | ","")&amp;IF(AND(MAX(N(E1568),N(F1568))&gt;=Settings!$C$9,MOD(MAX(N(E1568),N(F1568)),Settings!$C$10)=0),"Round amount | ",""))-3)))</f>
        <v/>
      </c>
      <c r="M1568" s="21" t="str">
        <f aca="false">IF(A1568="","",IF(COUNTIF($A$9:A1568,A1568)=1,MAX($M$8:M1567)+1,""))</f>
        <v/>
      </c>
    </row>
    <row r="1569" customFormat="false" ht="15" hidden="false" customHeight="false" outlineLevel="0" collapsed="false">
      <c r="A1569" s="8"/>
      <c r="B1569" s="17"/>
      <c r="C1569" s="19"/>
      <c r="D1569" s="8"/>
      <c r="E1569" s="18"/>
      <c r="F1569" s="18"/>
      <c r="G1569" s="8"/>
      <c r="H1569" s="8"/>
      <c r="I1569" s="8"/>
      <c r="J1569" s="8"/>
      <c r="K1569" s="10" t="str">
        <f aca="false">IF(A1569="","",IF(ABS(SUMIFS($E$9:$E$2008,$A$9:$A$2008,A1569)-SUMIFS($F$9:$F$2008,$A$9:$A$2008,A1569))&lt;0.5,"Yes","No"))</f>
        <v/>
      </c>
      <c r="L1569" s="10" t="str">
        <f aca="false">IF(A1569="","",IF(IF(K1569="No","Does not balance | ","")&amp;IF(I1569="","Not approved | ",IF(UPPER(TRIM(H1569))=UPPER(TRIM(I1569)),"Self-approved | ",""))&amp;IF(J1569="","No support | ","")&amp;IF(WEEKDAY(B1569,2)&gt;5,"Weekend posting | ","")&amp;IF(COUNTIF(Settings!$A$14:$A$43,B1569)&gt;0,"Holiday posting | ","")&amp;IF(B1569&gt;Settings!$C$8,"Posted after close | ","")&amp;IF(OR(B1569&lt;Settings!$C$6,B1569&gt;Settings!$C$7),"Outside period | ","")&amp;IF(COUNTIF(Settings!$E$14:$E$43,C1569&amp;"")&gt;0,"Sensitive account | ","")&amp;IF(AND(MAX(N(E1569),N(F1569))&gt;=Settings!$C$9,MOD(MAX(N(E1569),N(F1569)),Settings!$C$10)=0),"Round amount | ","")="","",LEFT(IF(K1569="No","Does not balance | ","")&amp;IF(I1569="","Not approved | ",IF(UPPER(TRIM(H1569))=UPPER(TRIM(I1569)),"Self-approved | ",""))&amp;IF(J1569="","No support | ","")&amp;IF(WEEKDAY(B1569,2)&gt;5,"Weekend posting | ","")&amp;IF(COUNTIF(Settings!$A$14:$A$43,B1569)&gt;0,"Holiday posting | ","")&amp;IF(B1569&gt;Settings!$C$8,"Posted after close | ","")&amp;IF(OR(B1569&lt;Settings!$C$6,B1569&gt;Settings!$C$7),"Outside period | ","")&amp;IF(COUNTIF(Settings!$E$14:$E$43,C1569&amp;"")&gt;0,"Sensitive account | ","")&amp;IF(AND(MAX(N(E1569),N(F1569))&gt;=Settings!$C$9,MOD(MAX(N(E1569),N(F1569)),Settings!$C$10)=0),"Round amount | ",""),LEN(IF(K1569="No","Does not balance | ","")&amp;IF(I1569="","Not approved | ",IF(UPPER(TRIM(H1569))=UPPER(TRIM(I1569)),"Self-approved | ",""))&amp;IF(J1569="","No support | ","")&amp;IF(WEEKDAY(B1569,2)&gt;5,"Weekend posting | ","")&amp;IF(COUNTIF(Settings!$A$14:$A$43,B1569)&gt;0,"Holiday posting | ","")&amp;IF(B1569&gt;Settings!$C$8,"Posted after close | ","")&amp;IF(OR(B1569&lt;Settings!$C$6,B1569&gt;Settings!$C$7),"Outside period | ","")&amp;IF(COUNTIF(Settings!$E$14:$E$43,C1569&amp;"")&gt;0,"Sensitive account | ","")&amp;IF(AND(MAX(N(E1569),N(F1569))&gt;=Settings!$C$9,MOD(MAX(N(E1569),N(F1569)),Settings!$C$10)=0),"Round amount | ",""))-3)))</f>
        <v/>
      </c>
      <c r="M1569" s="21" t="str">
        <f aca="false">IF(A1569="","",IF(COUNTIF($A$9:A1569,A1569)=1,MAX($M$8:M1568)+1,""))</f>
        <v/>
      </c>
    </row>
    <row r="1570" customFormat="false" ht="15" hidden="false" customHeight="false" outlineLevel="0" collapsed="false">
      <c r="A1570" s="8"/>
      <c r="B1570" s="17"/>
      <c r="C1570" s="19"/>
      <c r="D1570" s="8"/>
      <c r="E1570" s="18"/>
      <c r="F1570" s="18"/>
      <c r="G1570" s="8"/>
      <c r="H1570" s="8"/>
      <c r="I1570" s="8"/>
      <c r="J1570" s="8"/>
      <c r="K1570" s="10" t="str">
        <f aca="false">IF(A1570="","",IF(ABS(SUMIFS($E$9:$E$2008,$A$9:$A$2008,A1570)-SUMIFS($F$9:$F$2008,$A$9:$A$2008,A1570))&lt;0.5,"Yes","No"))</f>
        <v/>
      </c>
      <c r="L1570" s="10" t="str">
        <f aca="false">IF(A1570="","",IF(IF(K1570="No","Does not balance | ","")&amp;IF(I1570="","Not approved | ",IF(UPPER(TRIM(H1570))=UPPER(TRIM(I1570)),"Self-approved | ",""))&amp;IF(J1570="","No support | ","")&amp;IF(WEEKDAY(B1570,2)&gt;5,"Weekend posting | ","")&amp;IF(COUNTIF(Settings!$A$14:$A$43,B1570)&gt;0,"Holiday posting | ","")&amp;IF(B1570&gt;Settings!$C$8,"Posted after close | ","")&amp;IF(OR(B1570&lt;Settings!$C$6,B1570&gt;Settings!$C$7),"Outside period | ","")&amp;IF(COUNTIF(Settings!$E$14:$E$43,C1570&amp;"")&gt;0,"Sensitive account | ","")&amp;IF(AND(MAX(N(E1570),N(F1570))&gt;=Settings!$C$9,MOD(MAX(N(E1570),N(F1570)),Settings!$C$10)=0),"Round amount | ","")="","",LEFT(IF(K1570="No","Does not balance | ","")&amp;IF(I1570="","Not approved | ",IF(UPPER(TRIM(H1570))=UPPER(TRIM(I1570)),"Self-approved | ",""))&amp;IF(J1570="","No support | ","")&amp;IF(WEEKDAY(B1570,2)&gt;5,"Weekend posting | ","")&amp;IF(COUNTIF(Settings!$A$14:$A$43,B1570)&gt;0,"Holiday posting | ","")&amp;IF(B1570&gt;Settings!$C$8,"Posted after close | ","")&amp;IF(OR(B1570&lt;Settings!$C$6,B1570&gt;Settings!$C$7),"Outside period | ","")&amp;IF(COUNTIF(Settings!$E$14:$E$43,C1570&amp;"")&gt;0,"Sensitive account | ","")&amp;IF(AND(MAX(N(E1570),N(F1570))&gt;=Settings!$C$9,MOD(MAX(N(E1570),N(F1570)),Settings!$C$10)=0),"Round amount | ",""),LEN(IF(K1570="No","Does not balance | ","")&amp;IF(I1570="","Not approved | ",IF(UPPER(TRIM(H1570))=UPPER(TRIM(I1570)),"Self-approved | ",""))&amp;IF(J1570="","No support | ","")&amp;IF(WEEKDAY(B1570,2)&gt;5,"Weekend posting | ","")&amp;IF(COUNTIF(Settings!$A$14:$A$43,B1570)&gt;0,"Holiday posting | ","")&amp;IF(B1570&gt;Settings!$C$8,"Posted after close | ","")&amp;IF(OR(B1570&lt;Settings!$C$6,B1570&gt;Settings!$C$7),"Outside period | ","")&amp;IF(COUNTIF(Settings!$E$14:$E$43,C1570&amp;"")&gt;0,"Sensitive account | ","")&amp;IF(AND(MAX(N(E1570),N(F1570))&gt;=Settings!$C$9,MOD(MAX(N(E1570),N(F1570)),Settings!$C$10)=0),"Round amount | ",""))-3)))</f>
        <v/>
      </c>
      <c r="M1570" s="21" t="str">
        <f aca="false">IF(A1570="","",IF(COUNTIF($A$9:A1570,A1570)=1,MAX($M$8:M1569)+1,""))</f>
        <v/>
      </c>
    </row>
    <row r="1571" customFormat="false" ht="15" hidden="false" customHeight="false" outlineLevel="0" collapsed="false">
      <c r="A1571" s="8"/>
      <c r="B1571" s="17"/>
      <c r="C1571" s="19"/>
      <c r="D1571" s="8"/>
      <c r="E1571" s="18"/>
      <c r="F1571" s="18"/>
      <c r="G1571" s="8"/>
      <c r="H1571" s="8"/>
      <c r="I1571" s="8"/>
      <c r="J1571" s="8"/>
      <c r="K1571" s="10" t="str">
        <f aca="false">IF(A1571="","",IF(ABS(SUMIFS($E$9:$E$2008,$A$9:$A$2008,A1571)-SUMIFS($F$9:$F$2008,$A$9:$A$2008,A1571))&lt;0.5,"Yes","No"))</f>
        <v/>
      </c>
      <c r="L1571" s="10" t="str">
        <f aca="false">IF(A1571="","",IF(IF(K1571="No","Does not balance | ","")&amp;IF(I1571="","Not approved | ",IF(UPPER(TRIM(H1571))=UPPER(TRIM(I1571)),"Self-approved | ",""))&amp;IF(J1571="","No support | ","")&amp;IF(WEEKDAY(B1571,2)&gt;5,"Weekend posting | ","")&amp;IF(COUNTIF(Settings!$A$14:$A$43,B1571)&gt;0,"Holiday posting | ","")&amp;IF(B1571&gt;Settings!$C$8,"Posted after close | ","")&amp;IF(OR(B1571&lt;Settings!$C$6,B1571&gt;Settings!$C$7),"Outside period | ","")&amp;IF(COUNTIF(Settings!$E$14:$E$43,C1571&amp;"")&gt;0,"Sensitive account | ","")&amp;IF(AND(MAX(N(E1571),N(F1571))&gt;=Settings!$C$9,MOD(MAX(N(E1571),N(F1571)),Settings!$C$10)=0),"Round amount | ","")="","",LEFT(IF(K1571="No","Does not balance | ","")&amp;IF(I1571="","Not approved | ",IF(UPPER(TRIM(H1571))=UPPER(TRIM(I1571)),"Self-approved | ",""))&amp;IF(J1571="","No support | ","")&amp;IF(WEEKDAY(B1571,2)&gt;5,"Weekend posting | ","")&amp;IF(COUNTIF(Settings!$A$14:$A$43,B1571)&gt;0,"Holiday posting | ","")&amp;IF(B1571&gt;Settings!$C$8,"Posted after close | ","")&amp;IF(OR(B1571&lt;Settings!$C$6,B1571&gt;Settings!$C$7),"Outside period | ","")&amp;IF(COUNTIF(Settings!$E$14:$E$43,C1571&amp;"")&gt;0,"Sensitive account | ","")&amp;IF(AND(MAX(N(E1571),N(F1571))&gt;=Settings!$C$9,MOD(MAX(N(E1571),N(F1571)),Settings!$C$10)=0),"Round amount | ",""),LEN(IF(K1571="No","Does not balance | ","")&amp;IF(I1571="","Not approved | ",IF(UPPER(TRIM(H1571))=UPPER(TRIM(I1571)),"Self-approved | ",""))&amp;IF(J1571="","No support | ","")&amp;IF(WEEKDAY(B1571,2)&gt;5,"Weekend posting | ","")&amp;IF(COUNTIF(Settings!$A$14:$A$43,B1571)&gt;0,"Holiday posting | ","")&amp;IF(B1571&gt;Settings!$C$8,"Posted after close | ","")&amp;IF(OR(B1571&lt;Settings!$C$6,B1571&gt;Settings!$C$7),"Outside period | ","")&amp;IF(COUNTIF(Settings!$E$14:$E$43,C1571&amp;"")&gt;0,"Sensitive account | ","")&amp;IF(AND(MAX(N(E1571),N(F1571))&gt;=Settings!$C$9,MOD(MAX(N(E1571),N(F1571)),Settings!$C$10)=0),"Round amount | ",""))-3)))</f>
        <v/>
      </c>
      <c r="M1571" s="21" t="str">
        <f aca="false">IF(A1571="","",IF(COUNTIF($A$9:A1571,A1571)=1,MAX($M$8:M1570)+1,""))</f>
        <v/>
      </c>
    </row>
    <row r="1572" customFormat="false" ht="15" hidden="false" customHeight="false" outlineLevel="0" collapsed="false">
      <c r="A1572" s="8"/>
      <c r="B1572" s="17"/>
      <c r="C1572" s="19"/>
      <c r="D1572" s="8"/>
      <c r="E1572" s="18"/>
      <c r="F1572" s="18"/>
      <c r="G1572" s="8"/>
      <c r="H1572" s="8"/>
      <c r="I1572" s="8"/>
      <c r="J1572" s="8"/>
      <c r="K1572" s="10" t="str">
        <f aca="false">IF(A1572="","",IF(ABS(SUMIFS($E$9:$E$2008,$A$9:$A$2008,A1572)-SUMIFS($F$9:$F$2008,$A$9:$A$2008,A1572))&lt;0.5,"Yes","No"))</f>
        <v/>
      </c>
      <c r="L1572" s="10" t="str">
        <f aca="false">IF(A1572="","",IF(IF(K1572="No","Does not balance | ","")&amp;IF(I1572="","Not approved | ",IF(UPPER(TRIM(H1572))=UPPER(TRIM(I1572)),"Self-approved | ",""))&amp;IF(J1572="","No support | ","")&amp;IF(WEEKDAY(B1572,2)&gt;5,"Weekend posting | ","")&amp;IF(COUNTIF(Settings!$A$14:$A$43,B1572)&gt;0,"Holiday posting | ","")&amp;IF(B1572&gt;Settings!$C$8,"Posted after close | ","")&amp;IF(OR(B1572&lt;Settings!$C$6,B1572&gt;Settings!$C$7),"Outside period | ","")&amp;IF(COUNTIF(Settings!$E$14:$E$43,C1572&amp;"")&gt;0,"Sensitive account | ","")&amp;IF(AND(MAX(N(E1572),N(F1572))&gt;=Settings!$C$9,MOD(MAX(N(E1572),N(F1572)),Settings!$C$10)=0),"Round amount | ","")="","",LEFT(IF(K1572="No","Does not balance | ","")&amp;IF(I1572="","Not approved | ",IF(UPPER(TRIM(H1572))=UPPER(TRIM(I1572)),"Self-approved | ",""))&amp;IF(J1572="","No support | ","")&amp;IF(WEEKDAY(B1572,2)&gt;5,"Weekend posting | ","")&amp;IF(COUNTIF(Settings!$A$14:$A$43,B1572)&gt;0,"Holiday posting | ","")&amp;IF(B1572&gt;Settings!$C$8,"Posted after close | ","")&amp;IF(OR(B1572&lt;Settings!$C$6,B1572&gt;Settings!$C$7),"Outside period | ","")&amp;IF(COUNTIF(Settings!$E$14:$E$43,C1572&amp;"")&gt;0,"Sensitive account | ","")&amp;IF(AND(MAX(N(E1572),N(F1572))&gt;=Settings!$C$9,MOD(MAX(N(E1572),N(F1572)),Settings!$C$10)=0),"Round amount | ",""),LEN(IF(K1572="No","Does not balance | ","")&amp;IF(I1572="","Not approved | ",IF(UPPER(TRIM(H1572))=UPPER(TRIM(I1572)),"Self-approved | ",""))&amp;IF(J1572="","No support | ","")&amp;IF(WEEKDAY(B1572,2)&gt;5,"Weekend posting | ","")&amp;IF(COUNTIF(Settings!$A$14:$A$43,B1572)&gt;0,"Holiday posting | ","")&amp;IF(B1572&gt;Settings!$C$8,"Posted after close | ","")&amp;IF(OR(B1572&lt;Settings!$C$6,B1572&gt;Settings!$C$7),"Outside period | ","")&amp;IF(COUNTIF(Settings!$E$14:$E$43,C1572&amp;"")&gt;0,"Sensitive account | ","")&amp;IF(AND(MAX(N(E1572),N(F1572))&gt;=Settings!$C$9,MOD(MAX(N(E1572),N(F1572)),Settings!$C$10)=0),"Round amount | ",""))-3)))</f>
        <v/>
      </c>
      <c r="M1572" s="21" t="str">
        <f aca="false">IF(A1572="","",IF(COUNTIF($A$9:A1572,A1572)=1,MAX($M$8:M1571)+1,""))</f>
        <v/>
      </c>
    </row>
    <row r="1573" customFormat="false" ht="15" hidden="false" customHeight="false" outlineLevel="0" collapsed="false">
      <c r="A1573" s="8"/>
      <c r="B1573" s="17"/>
      <c r="C1573" s="19"/>
      <c r="D1573" s="8"/>
      <c r="E1573" s="18"/>
      <c r="F1573" s="18"/>
      <c r="G1573" s="8"/>
      <c r="H1573" s="8"/>
      <c r="I1573" s="8"/>
      <c r="J1573" s="8"/>
      <c r="K1573" s="10" t="str">
        <f aca="false">IF(A1573="","",IF(ABS(SUMIFS($E$9:$E$2008,$A$9:$A$2008,A1573)-SUMIFS($F$9:$F$2008,$A$9:$A$2008,A1573))&lt;0.5,"Yes","No"))</f>
        <v/>
      </c>
      <c r="L1573" s="10" t="str">
        <f aca="false">IF(A1573="","",IF(IF(K1573="No","Does not balance | ","")&amp;IF(I1573="","Not approved | ",IF(UPPER(TRIM(H1573))=UPPER(TRIM(I1573)),"Self-approved | ",""))&amp;IF(J1573="","No support | ","")&amp;IF(WEEKDAY(B1573,2)&gt;5,"Weekend posting | ","")&amp;IF(COUNTIF(Settings!$A$14:$A$43,B1573)&gt;0,"Holiday posting | ","")&amp;IF(B1573&gt;Settings!$C$8,"Posted after close | ","")&amp;IF(OR(B1573&lt;Settings!$C$6,B1573&gt;Settings!$C$7),"Outside period | ","")&amp;IF(COUNTIF(Settings!$E$14:$E$43,C1573&amp;"")&gt;0,"Sensitive account | ","")&amp;IF(AND(MAX(N(E1573),N(F1573))&gt;=Settings!$C$9,MOD(MAX(N(E1573),N(F1573)),Settings!$C$10)=0),"Round amount | ","")="","",LEFT(IF(K1573="No","Does not balance | ","")&amp;IF(I1573="","Not approved | ",IF(UPPER(TRIM(H1573))=UPPER(TRIM(I1573)),"Self-approved | ",""))&amp;IF(J1573="","No support | ","")&amp;IF(WEEKDAY(B1573,2)&gt;5,"Weekend posting | ","")&amp;IF(COUNTIF(Settings!$A$14:$A$43,B1573)&gt;0,"Holiday posting | ","")&amp;IF(B1573&gt;Settings!$C$8,"Posted after close | ","")&amp;IF(OR(B1573&lt;Settings!$C$6,B1573&gt;Settings!$C$7),"Outside period | ","")&amp;IF(COUNTIF(Settings!$E$14:$E$43,C1573&amp;"")&gt;0,"Sensitive account | ","")&amp;IF(AND(MAX(N(E1573),N(F1573))&gt;=Settings!$C$9,MOD(MAX(N(E1573),N(F1573)),Settings!$C$10)=0),"Round amount | ",""),LEN(IF(K1573="No","Does not balance | ","")&amp;IF(I1573="","Not approved | ",IF(UPPER(TRIM(H1573))=UPPER(TRIM(I1573)),"Self-approved | ",""))&amp;IF(J1573="","No support | ","")&amp;IF(WEEKDAY(B1573,2)&gt;5,"Weekend posting | ","")&amp;IF(COUNTIF(Settings!$A$14:$A$43,B1573)&gt;0,"Holiday posting | ","")&amp;IF(B1573&gt;Settings!$C$8,"Posted after close | ","")&amp;IF(OR(B1573&lt;Settings!$C$6,B1573&gt;Settings!$C$7),"Outside period | ","")&amp;IF(COUNTIF(Settings!$E$14:$E$43,C1573&amp;"")&gt;0,"Sensitive account | ","")&amp;IF(AND(MAX(N(E1573),N(F1573))&gt;=Settings!$C$9,MOD(MAX(N(E1573),N(F1573)),Settings!$C$10)=0),"Round amount | ",""))-3)))</f>
        <v/>
      </c>
      <c r="M1573" s="21" t="str">
        <f aca="false">IF(A1573="","",IF(COUNTIF($A$9:A1573,A1573)=1,MAX($M$8:M1572)+1,""))</f>
        <v/>
      </c>
    </row>
    <row r="1574" customFormat="false" ht="15" hidden="false" customHeight="false" outlineLevel="0" collapsed="false">
      <c r="A1574" s="8"/>
      <c r="B1574" s="17"/>
      <c r="C1574" s="19"/>
      <c r="D1574" s="8"/>
      <c r="E1574" s="18"/>
      <c r="F1574" s="18"/>
      <c r="G1574" s="8"/>
      <c r="H1574" s="8"/>
      <c r="I1574" s="8"/>
      <c r="J1574" s="8"/>
      <c r="K1574" s="10" t="str">
        <f aca="false">IF(A1574="","",IF(ABS(SUMIFS($E$9:$E$2008,$A$9:$A$2008,A1574)-SUMIFS($F$9:$F$2008,$A$9:$A$2008,A1574))&lt;0.5,"Yes","No"))</f>
        <v/>
      </c>
      <c r="L1574" s="10" t="str">
        <f aca="false">IF(A1574="","",IF(IF(K1574="No","Does not balance | ","")&amp;IF(I1574="","Not approved | ",IF(UPPER(TRIM(H1574))=UPPER(TRIM(I1574)),"Self-approved | ",""))&amp;IF(J1574="","No support | ","")&amp;IF(WEEKDAY(B1574,2)&gt;5,"Weekend posting | ","")&amp;IF(COUNTIF(Settings!$A$14:$A$43,B1574)&gt;0,"Holiday posting | ","")&amp;IF(B1574&gt;Settings!$C$8,"Posted after close | ","")&amp;IF(OR(B1574&lt;Settings!$C$6,B1574&gt;Settings!$C$7),"Outside period | ","")&amp;IF(COUNTIF(Settings!$E$14:$E$43,C1574&amp;"")&gt;0,"Sensitive account | ","")&amp;IF(AND(MAX(N(E1574),N(F1574))&gt;=Settings!$C$9,MOD(MAX(N(E1574),N(F1574)),Settings!$C$10)=0),"Round amount | ","")="","",LEFT(IF(K1574="No","Does not balance | ","")&amp;IF(I1574="","Not approved | ",IF(UPPER(TRIM(H1574))=UPPER(TRIM(I1574)),"Self-approved | ",""))&amp;IF(J1574="","No support | ","")&amp;IF(WEEKDAY(B1574,2)&gt;5,"Weekend posting | ","")&amp;IF(COUNTIF(Settings!$A$14:$A$43,B1574)&gt;0,"Holiday posting | ","")&amp;IF(B1574&gt;Settings!$C$8,"Posted after close | ","")&amp;IF(OR(B1574&lt;Settings!$C$6,B1574&gt;Settings!$C$7),"Outside period | ","")&amp;IF(COUNTIF(Settings!$E$14:$E$43,C1574&amp;"")&gt;0,"Sensitive account | ","")&amp;IF(AND(MAX(N(E1574),N(F1574))&gt;=Settings!$C$9,MOD(MAX(N(E1574),N(F1574)),Settings!$C$10)=0),"Round amount | ",""),LEN(IF(K1574="No","Does not balance | ","")&amp;IF(I1574="","Not approved | ",IF(UPPER(TRIM(H1574))=UPPER(TRIM(I1574)),"Self-approved | ",""))&amp;IF(J1574="","No support | ","")&amp;IF(WEEKDAY(B1574,2)&gt;5,"Weekend posting | ","")&amp;IF(COUNTIF(Settings!$A$14:$A$43,B1574)&gt;0,"Holiday posting | ","")&amp;IF(B1574&gt;Settings!$C$8,"Posted after close | ","")&amp;IF(OR(B1574&lt;Settings!$C$6,B1574&gt;Settings!$C$7),"Outside period | ","")&amp;IF(COUNTIF(Settings!$E$14:$E$43,C1574&amp;"")&gt;0,"Sensitive account | ","")&amp;IF(AND(MAX(N(E1574),N(F1574))&gt;=Settings!$C$9,MOD(MAX(N(E1574),N(F1574)),Settings!$C$10)=0),"Round amount | ",""))-3)))</f>
        <v/>
      </c>
      <c r="M1574" s="21" t="str">
        <f aca="false">IF(A1574="","",IF(COUNTIF($A$9:A1574,A1574)=1,MAX($M$8:M1573)+1,""))</f>
        <v/>
      </c>
    </row>
    <row r="1575" customFormat="false" ht="15" hidden="false" customHeight="false" outlineLevel="0" collapsed="false">
      <c r="A1575" s="8"/>
      <c r="B1575" s="17"/>
      <c r="C1575" s="19"/>
      <c r="D1575" s="8"/>
      <c r="E1575" s="18"/>
      <c r="F1575" s="18"/>
      <c r="G1575" s="8"/>
      <c r="H1575" s="8"/>
      <c r="I1575" s="8"/>
      <c r="J1575" s="8"/>
      <c r="K1575" s="10" t="str">
        <f aca="false">IF(A1575="","",IF(ABS(SUMIFS($E$9:$E$2008,$A$9:$A$2008,A1575)-SUMIFS($F$9:$F$2008,$A$9:$A$2008,A1575))&lt;0.5,"Yes","No"))</f>
        <v/>
      </c>
      <c r="L1575" s="10" t="str">
        <f aca="false">IF(A1575="","",IF(IF(K1575="No","Does not balance | ","")&amp;IF(I1575="","Not approved | ",IF(UPPER(TRIM(H1575))=UPPER(TRIM(I1575)),"Self-approved | ",""))&amp;IF(J1575="","No support | ","")&amp;IF(WEEKDAY(B1575,2)&gt;5,"Weekend posting | ","")&amp;IF(COUNTIF(Settings!$A$14:$A$43,B1575)&gt;0,"Holiday posting | ","")&amp;IF(B1575&gt;Settings!$C$8,"Posted after close | ","")&amp;IF(OR(B1575&lt;Settings!$C$6,B1575&gt;Settings!$C$7),"Outside period | ","")&amp;IF(COUNTIF(Settings!$E$14:$E$43,C1575&amp;"")&gt;0,"Sensitive account | ","")&amp;IF(AND(MAX(N(E1575),N(F1575))&gt;=Settings!$C$9,MOD(MAX(N(E1575),N(F1575)),Settings!$C$10)=0),"Round amount | ","")="","",LEFT(IF(K1575="No","Does not balance | ","")&amp;IF(I1575="","Not approved | ",IF(UPPER(TRIM(H1575))=UPPER(TRIM(I1575)),"Self-approved | ",""))&amp;IF(J1575="","No support | ","")&amp;IF(WEEKDAY(B1575,2)&gt;5,"Weekend posting | ","")&amp;IF(COUNTIF(Settings!$A$14:$A$43,B1575)&gt;0,"Holiday posting | ","")&amp;IF(B1575&gt;Settings!$C$8,"Posted after close | ","")&amp;IF(OR(B1575&lt;Settings!$C$6,B1575&gt;Settings!$C$7),"Outside period | ","")&amp;IF(COUNTIF(Settings!$E$14:$E$43,C1575&amp;"")&gt;0,"Sensitive account | ","")&amp;IF(AND(MAX(N(E1575),N(F1575))&gt;=Settings!$C$9,MOD(MAX(N(E1575),N(F1575)),Settings!$C$10)=0),"Round amount | ",""),LEN(IF(K1575="No","Does not balance | ","")&amp;IF(I1575="","Not approved | ",IF(UPPER(TRIM(H1575))=UPPER(TRIM(I1575)),"Self-approved | ",""))&amp;IF(J1575="","No support | ","")&amp;IF(WEEKDAY(B1575,2)&gt;5,"Weekend posting | ","")&amp;IF(COUNTIF(Settings!$A$14:$A$43,B1575)&gt;0,"Holiday posting | ","")&amp;IF(B1575&gt;Settings!$C$8,"Posted after close | ","")&amp;IF(OR(B1575&lt;Settings!$C$6,B1575&gt;Settings!$C$7),"Outside period | ","")&amp;IF(COUNTIF(Settings!$E$14:$E$43,C1575&amp;"")&gt;0,"Sensitive account | ","")&amp;IF(AND(MAX(N(E1575),N(F1575))&gt;=Settings!$C$9,MOD(MAX(N(E1575),N(F1575)),Settings!$C$10)=0),"Round amount | ",""))-3)))</f>
        <v/>
      </c>
      <c r="M1575" s="21" t="str">
        <f aca="false">IF(A1575="","",IF(COUNTIF($A$9:A1575,A1575)=1,MAX($M$8:M1574)+1,""))</f>
        <v/>
      </c>
    </row>
    <row r="1576" customFormat="false" ht="15" hidden="false" customHeight="false" outlineLevel="0" collapsed="false">
      <c r="A1576" s="8"/>
      <c r="B1576" s="17"/>
      <c r="C1576" s="19"/>
      <c r="D1576" s="8"/>
      <c r="E1576" s="18"/>
      <c r="F1576" s="18"/>
      <c r="G1576" s="8"/>
      <c r="H1576" s="8"/>
      <c r="I1576" s="8"/>
      <c r="J1576" s="8"/>
      <c r="K1576" s="10" t="str">
        <f aca="false">IF(A1576="","",IF(ABS(SUMIFS($E$9:$E$2008,$A$9:$A$2008,A1576)-SUMIFS($F$9:$F$2008,$A$9:$A$2008,A1576))&lt;0.5,"Yes","No"))</f>
        <v/>
      </c>
      <c r="L1576" s="10" t="str">
        <f aca="false">IF(A1576="","",IF(IF(K1576="No","Does not balance | ","")&amp;IF(I1576="","Not approved | ",IF(UPPER(TRIM(H1576))=UPPER(TRIM(I1576)),"Self-approved | ",""))&amp;IF(J1576="","No support | ","")&amp;IF(WEEKDAY(B1576,2)&gt;5,"Weekend posting | ","")&amp;IF(COUNTIF(Settings!$A$14:$A$43,B1576)&gt;0,"Holiday posting | ","")&amp;IF(B1576&gt;Settings!$C$8,"Posted after close | ","")&amp;IF(OR(B1576&lt;Settings!$C$6,B1576&gt;Settings!$C$7),"Outside period | ","")&amp;IF(COUNTIF(Settings!$E$14:$E$43,C1576&amp;"")&gt;0,"Sensitive account | ","")&amp;IF(AND(MAX(N(E1576),N(F1576))&gt;=Settings!$C$9,MOD(MAX(N(E1576),N(F1576)),Settings!$C$10)=0),"Round amount | ","")="","",LEFT(IF(K1576="No","Does not balance | ","")&amp;IF(I1576="","Not approved | ",IF(UPPER(TRIM(H1576))=UPPER(TRIM(I1576)),"Self-approved | ",""))&amp;IF(J1576="","No support | ","")&amp;IF(WEEKDAY(B1576,2)&gt;5,"Weekend posting | ","")&amp;IF(COUNTIF(Settings!$A$14:$A$43,B1576)&gt;0,"Holiday posting | ","")&amp;IF(B1576&gt;Settings!$C$8,"Posted after close | ","")&amp;IF(OR(B1576&lt;Settings!$C$6,B1576&gt;Settings!$C$7),"Outside period | ","")&amp;IF(COUNTIF(Settings!$E$14:$E$43,C1576&amp;"")&gt;0,"Sensitive account | ","")&amp;IF(AND(MAX(N(E1576),N(F1576))&gt;=Settings!$C$9,MOD(MAX(N(E1576),N(F1576)),Settings!$C$10)=0),"Round amount | ",""),LEN(IF(K1576="No","Does not balance | ","")&amp;IF(I1576="","Not approved | ",IF(UPPER(TRIM(H1576))=UPPER(TRIM(I1576)),"Self-approved | ",""))&amp;IF(J1576="","No support | ","")&amp;IF(WEEKDAY(B1576,2)&gt;5,"Weekend posting | ","")&amp;IF(COUNTIF(Settings!$A$14:$A$43,B1576)&gt;0,"Holiday posting | ","")&amp;IF(B1576&gt;Settings!$C$8,"Posted after close | ","")&amp;IF(OR(B1576&lt;Settings!$C$6,B1576&gt;Settings!$C$7),"Outside period | ","")&amp;IF(COUNTIF(Settings!$E$14:$E$43,C1576&amp;"")&gt;0,"Sensitive account | ","")&amp;IF(AND(MAX(N(E1576),N(F1576))&gt;=Settings!$C$9,MOD(MAX(N(E1576),N(F1576)),Settings!$C$10)=0),"Round amount | ",""))-3)))</f>
        <v/>
      </c>
      <c r="M1576" s="21" t="str">
        <f aca="false">IF(A1576="","",IF(COUNTIF($A$9:A1576,A1576)=1,MAX($M$8:M1575)+1,""))</f>
        <v/>
      </c>
    </row>
    <row r="1577" customFormat="false" ht="15" hidden="false" customHeight="false" outlineLevel="0" collapsed="false">
      <c r="A1577" s="8"/>
      <c r="B1577" s="17"/>
      <c r="C1577" s="19"/>
      <c r="D1577" s="8"/>
      <c r="E1577" s="18"/>
      <c r="F1577" s="18"/>
      <c r="G1577" s="8"/>
      <c r="H1577" s="8"/>
      <c r="I1577" s="8"/>
      <c r="J1577" s="8"/>
      <c r="K1577" s="10" t="str">
        <f aca="false">IF(A1577="","",IF(ABS(SUMIFS($E$9:$E$2008,$A$9:$A$2008,A1577)-SUMIFS($F$9:$F$2008,$A$9:$A$2008,A1577))&lt;0.5,"Yes","No"))</f>
        <v/>
      </c>
      <c r="L1577" s="10" t="str">
        <f aca="false">IF(A1577="","",IF(IF(K1577="No","Does not balance | ","")&amp;IF(I1577="","Not approved | ",IF(UPPER(TRIM(H1577))=UPPER(TRIM(I1577)),"Self-approved | ",""))&amp;IF(J1577="","No support | ","")&amp;IF(WEEKDAY(B1577,2)&gt;5,"Weekend posting | ","")&amp;IF(COUNTIF(Settings!$A$14:$A$43,B1577)&gt;0,"Holiday posting | ","")&amp;IF(B1577&gt;Settings!$C$8,"Posted after close | ","")&amp;IF(OR(B1577&lt;Settings!$C$6,B1577&gt;Settings!$C$7),"Outside period | ","")&amp;IF(COUNTIF(Settings!$E$14:$E$43,C1577&amp;"")&gt;0,"Sensitive account | ","")&amp;IF(AND(MAX(N(E1577),N(F1577))&gt;=Settings!$C$9,MOD(MAX(N(E1577),N(F1577)),Settings!$C$10)=0),"Round amount | ","")="","",LEFT(IF(K1577="No","Does not balance | ","")&amp;IF(I1577="","Not approved | ",IF(UPPER(TRIM(H1577))=UPPER(TRIM(I1577)),"Self-approved | ",""))&amp;IF(J1577="","No support | ","")&amp;IF(WEEKDAY(B1577,2)&gt;5,"Weekend posting | ","")&amp;IF(COUNTIF(Settings!$A$14:$A$43,B1577)&gt;0,"Holiday posting | ","")&amp;IF(B1577&gt;Settings!$C$8,"Posted after close | ","")&amp;IF(OR(B1577&lt;Settings!$C$6,B1577&gt;Settings!$C$7),"Outside period | ","")&amp;IF(COUNTIF(Settings!$E$14:$E$43,C1577&amp;"")&gt;0,"Sensitive account | ","")&amp;IF(AND(MAX(N(E1577),N(F1577))&gt;=Settings!$C$9,MOD(MAX(N(E1577),N(F1577)),Settings!$C$10)=0),"Round amount | ",""),LEN(IF(K1577="No","Does not balance | ","")&amp;IF(I1577="","Not approved | ",IF(UPPER(TRIM(H1577))=UPPER(TRIM(I1577)),"Self-approved | ",""))&amp;IF(J1577="","No support | ","")&amp;IF(WEEKDAY(B1577,2)&gt;5,"Weekend posting | ","")&amp;IF(COUNTIF(Settings!$A$14:$A$43,B1577)&gt;0,"Holiday posting | ","")&amp;IF(B1577&gt;Settings!$C$8,"Posted after close | ","")&amp;IF(OR(B1577&lt;Settings!$C$6,B1577&gt;Settings!$C$7),"Outside period | ","")&amp;IF(COUNTIF(Settings!$E$14:$E$43,C1577&amp;"")&gt;0,"Sensitive account | ","")&amp;IF(AND(MAX(N(E1577),N(F1577))&gt;=Settings!$C$9,MOD(MAX(N(E1577),N(F1577)),Settings!$C$10)=0),"Round amount | ",""))-3)))</f>
        <v/>
      </c>
      <c r="M1577" s="21" t="str">
        <f aca="false">IF(A1577="","",IF(COUNTIF($A$9:A1577,A1577)=1,MAX($M$8:M1576)+1,""))</f>
        <v/>
      </c>
    </row>
    <row r="1578" customFormat="false" ht="15" hidden="false" customHeight="false" outlineLevel="0" collapsed="false">
      <c r="A1578" s="8"/>
      <c r="B1578" s="17"/>
      <c r="C1578" s="19"/>
      <c r="D1578" s="8"/>
      <c r="E1578" s="18"/>
      <c r="F1578" s="18"/>
      <c r="G1578" s="8"/>
      <c r="H1578" s="8"/>
      <c r="I1578" s="8"/>
      <c r="J1578" s="8"/>
      <c r="K1578" s="10" t="str">
        <f aca="false">IF(A1578="","",IF(ABS(SUMIFS($E$9:$E$2008,$A$9:$A$2008,A1578)-SUMIFS($F$9:$F$2008,$A$9:$A$2008,A1578))&lt;0.5,"Yes","No"))</f>
        <v/>
      </c>
      <c r="L1578" s="10" t="str">
        <f aca="false">IF(A1578="","",IF(IF(K1578="No","Does not balance | ","")&amp;IF(I1578="","Not approved | ",IF(UPPER(TRIM(H1578))=UPPER(TRIM(I1578)),"Self-approved | ",""))&amp;IF(J1578="","No support | ","")&amp;IF(WEEKDAY(B1578,2)&gt;5,"Weekend posting | ","")&amp;IF(COUNTIF(Settings!$A$14:$A$43,B1578)&gt;0,"Holiday posting | ","")&amp;IF(B1578&gt;Settings!$C$8,"Posted after close | ","")&amp;IF(OR(B1578&lt;Settings!$C$6,B1578&gt;Settings!$C$7),"Outside period | ","")&amp;IF(COUNTIF(Settings!$E$14:$E$43,C1578&amp;"")&gt;0,"Sensitive account | ","")&amp;IF(AND(MAX(N(E1578),N(F1578))&gt;=Settings!$C$9,MOD(MAX(N(E1578),N(F1578)),Settings!$C$10)=0),"Round amount | ","")="","",LEFT(IF(K1578="No","Does not balance | ","")&amp;IF(I1578="","Not approved | ",IF(UPPER(TRIM(H1578))=UPPER(TRIM(I1578)),"Self-approved | ",""))&amp;IF(J1578="","No support | ","")&amp;IF(WEEKDAY(B1578,2)&gt;5,"Weekend posting | ","")&amp;IF(COUNTIF(Settings!$A$14:$A$43,B1578)&gt;0,"Holiday posting | ","")&amp;IF(B1578&gt;Settings!$C$8,"Posted after close | ","")&amp;IF(OR(B1578&lt;Settings!$C$6,B1578&gt;Settings!$C$7),"Outside period | ","")&amp;IF(COUNTIF(Settings!$E$14:$E$43,C1578&amp;"")&gt;0,"Sensitive account | ","")&amp;IF(AND(MAX(N(E1578),N(F1578))&gt;=Settings!$C$9,MOD(MAX(N(E1578),N(F1578)),Settings!$C$10)=0),"Round amount | ",""),LEN(IF(K1578="No","Does not balance | ","")&amp;IF(I1578="","Not approved | ",IF(UPPER(TRIM(H1578))=UPPER(TRIM(I1578)),"Self-approved | ",""))&amp;IF(J1578="","No support | ","")&amp;IF(WEEKDAY(B1578,2)&gt;5,"Weekend posting | ","")&amp;IF(COUNTIF(Settings!$A$14:$A$43,B1578)&gt;0,"Holiday posting | ","")&amp;IF(B1578&gt;Settings!$C$8,"Posted after close | ","")&amp;IF(OR(B1578&lt;Settings!$C$6,B1578&gt;Settings!$C$7),"Outside period | ","")&amp;IF(COUNTIF(Settings!$E$14:$E$43,C1578&amp;"")&gt;0,"Sensitive account | ","")&amp;IF(AND(MAX(N(E1578),N(F1578))&gt;=Settings!$C$9,MOD(MAX(N(E1578),N(F1578)),Settings!$C$10)=0),"Round amount | ",""))-3)))</f>
        <v/>
      </c>
      <c r="M1578" s="21" t="str">
        <f aca="false">IF(A1578="","",IF(COUNTIF($A$9:A1578,A1578)=1,MAX($M$8:M1577)+1,""))</f>
        <v/>
      </c>
    </row>
    <row r="1579" customFormat="false" ht="15" hidden="false" customHeight="false" outlineLevel="0" collapsed="false">
      <c r="A1579" s="8"/>
      <c r="B1579" s="17"/>
      <c r="C1579" s="19"/>
      <c r="D1579" s="8"/>
      <c r="E1579" s="18"/>
      <c r="F1579" s="18"/>
      <c r="G1579" s="8"/>
      <c r="H1579" s="8"/>
      <c r="I1579" s="8"/>
      <c r="J1579" s="8"/>
      <c r="K1579" s="10" t="str">
        <f aca="false">IF(A1579="","",IF(ABS(SUMIFS($E$9:$E$2008,$A$9:$A$2008,A1579)-SUMIFS($F$9:$F$2008,$A$9:$A$2008,A1579))&lt;0.5,"Yes","No"))</f>
        <v/>
      </c>
      <c r="L1579" s="10" t="str">
        <f aca="false">IF(A1579="","",IF(IF(K1579="No","Does not balance | ","")&amp;IF(I1579="","Not approved | ",IF(UPPER(TRIM(H1579))=UPPER(TRIM(I1579)),"Self-approved | ",""))&amp;IF(J1579="","No support | ","")&amp;IF(WEEKDAY(B1579,2)&gt;5,"Weekend posting | ","")&amp;IF(COUNTIF(Settings!$A$14:$A$43,B1579)&gt;0,"Holiday posting | ","")&amp;IF(B1579&gt;Settings!$C$8,"Posted after close | ","")&amp;IF(OR(B1579&lt;Settings!$C$6,B1579&gt;Settings!$C$7),"Outside period | ","")&amp;IF(COUNTIF(Settings!$E$14:$E$43,C1579&amp;"")&gt;0,"Sensitive account | ","")&amp;IF(AND(MAX(N(E1579),N(F1579))&gt;=Settings!$C$9,MOD(MAX(N(E1579),N(F1579)),Settings!$C$10)=0),"Round amount | ","")="","",LEFT(IF(K1579="No","Does not balance | ","")&amp;IF(I1579="","Not approved | ",IF(UPPER(TRIM(H1579))=UPPER(TRIM(I1579)),"Self-approved | ",""))&amp;IF(J1579="","No support | ","")&amp;IF(WEEKDAY(B1579,2)&gt;5,"Weekend posting | ","")&amp;IF(COUNTIF(Settings!$A$14:$A$43,B1579)&gt;0,"Holiday posting | ","")&amp;IF(B1579&gt;Settings!$C$8,"Posted after close | ","")&amp;IF(OR(B1579&lt;Settings!$C$6,B1579&gt;Settings!$C$7),"Outside period | ","")&amp;IF(COUNTIF(Settings!$E$14:$E$43,C1579&amp;"")&gt;0,"Sensitive account | ","")&amp;IF(AND(MAX(N(E1579),N(F1579))&gt;=Settings!$C$9,MOD(MAX(N(E1579),N(F1579)),Settings!$C$10)=0),"Round amount | ",""),LEN(IF(K1579="No","Does not balance | ","")&amp;IF(I1579="","Not approved | ",IF(UPPER(TRIM(H1579))=UPPER(TRIM(I1579)),"Self-approved | ",""))&amp;IF(J1579="","No support | ","")&amp;IF(WEEKDAY(B1579,2)&gt;5,"Weekend posting | ","")&amp;IF(COUNTIF(Settings!$A$14:$A$43,B1579)&gt;0,"Holiday posting | ","")&amp;IF(B1579&gt;Settings!$C$8,"Posted after close | ","")&amp;IF(OR(B1579&lt;Settings!$C$6,B1579&gt;Settings!$C$7),"Outside period | ","")&amp;IF(COUNTIF(Settings!$E$14:$E$43,C1579&amp;"")&gt;0,"Sensitive account | ","")&amp;IF(AND(MAX(N(E1579),N(F1579))&gt;=Settings!$C$9,MOD(MAX(N(E1579),N(F1579)),Settings!$C$10)=0),"Round amount | ",""))-3)))</f>
        <v/>
      </c>
      <c r="M1579" s="21" t="str">
        <f aca="false">IF(A1579="","",IF(COUNTIF($A$9:A1579,A1579)=1,MAX($M$8:M1578)+1,""))</f>
        <v/>
      </c>
    </row>
    <row r="1580" customFormat="false" ht="15" hidden="false" customHeight="false" outlineLevel="0" collapsed="false">
      <c r="A1580" s="8"/>
      <c r="B1580" s="17"/>
      <c r="C1580" s="19"/>
      <c r="D1580" s="8"/>
      <c r="E1580" s="18"/>
      <c r="F1580" s="18"/>
      <c r="G1580" s="8"/>
      <c r="H1580" s="8"/>
      <c r="I1580" s="8"/>
      <c r="J1580" s="8"/>
      <c r="K1580" s="10" t="str">
        <f aca="false">IF(A1580="","",IF(ABS(SUMIFS($E$9:$E$2008,$A$9:$A$2008,A1580)-SUMIFS($F$9:$F$2008,$A$9:$A$2008,A1580))&lt;0.5,"Yes","No"))</f>
        <v/>
      </c>
      <c r="L1580" s="10" t="str">
        <f aca="false">IF(A1580="","",IF(IF(K1580="No","Does not balance | ","")&amp;IF(I1580="","Not approved | ",IF(UPPER(TRIM(H1580))=UPPER(TRIM(I1580)),"Self-approved | ",""))&amp;IF(J1580="","No support | ","")&amp;IF(WEEKDAY(B1580,2)&gt;5,"Weekend posting | ","")&amp;IF(COUNTIF(Settings!$A$14:$A$43,B1580)&gt;0,"Holiday posting | ","")&amp;IF(B1580&gt;Settings!$C$8,"Posted after close | ","")&amp;IF(OR(B1580&lt;Settings!$C$6,B1580&gt;Settings!$C$7),"Outside period | ","")&amp;IF(COUNTIF(Settings!$E$14:$E$43,C1580&amp;"")&gt;0,"Sensitive account | ","")&amp;IF(AND(MAX(N(E1580),N(F1580))&gt;=Settings!$C$9,MOD(MAX(N(E1580),N(F1580)),Settings!$C$10)=0),"Round amount | ","")="","",LEFT(IF(K1580="No","Does not balance | ","")&amp;IF(I1580="","Not approved | ",IF(UPPER(TRIM(H1580))=UPPER(TRIM(I1580)),"Self-approved | ",""))&amp;IF(J1580="","No support | ","")&amp;IF(WEEKDAY(B1580,2)&gt;5,"Weekend posting | ","")&amp;IF(COUNTIF(Settings!$A$14:$A$43,B1580)&gt;0,"Holiday posting | ","")&amp;IF(B1580&gt;Settings!$C$8,"Posted after close | ","")&amp;IF(OR(B1580&lt;Settings!$C$6,B1580&gt;Settings!$C$7),"Outside period | ","")&amp;IF(COUNTIF(Settings!$E$14:$E$43,C1580&amp;"")&gt;0,"Sensitive account | ","")&amp;IF(AND(MAX(N(E1580),N(F1580))&gt;=Settings!$C$9,MOD(MAX(N(E1580),N(F1580)),Settings!$C$10)=0),"Round amount | ",""),LEN(IF(K1580="No","Does not balance | ","")&amp;IF(I1580="","Not approved | ",IF(UPPER(TRIM(H1580))=UPPER(TRIM(I1580)),"Self-approved | ",""))&amp;IF(J1580="","No support | ","")&amp;IF(WEEKDAY(B1580,2)&gt;5,"Weekend posting | ","")&amp;IF(COUNTIF(Settings!$A$14:$A$43,B1580)&gt;0,"Holiday posting | ","")&amp;IF(B1580&gt;Settings!$C$8,"Posted after close | ","")&amp;IF(OR(B1580&lt;Settings!$C$6,B1580&gt;Settings!$C$7),"Outside period | ","")&amp;IF(COUNTIF(Settings!$E$14:$E$43,C1580&amp;"")&gt;0,"Sensitive account | ","")&amp;IF(AND(MAX(N(E1580),N(F1580))&gt;=Settings!$C$9,MOD(MAX(N(E1580),N(F1580)),Settings!$C$10)=0),"Round amount | ",""))-3)))</f>
        <v/>
      </c>
      <c r="M1580" s="21" t="str">
        <f aca="false">IF(A1580="","",IF(COUNTIF($A$9:A1580,A1580)=1,MAX($M$8:M1579)+1,""))</f>
        <v/>
      </c>
    </row>
    <row r="1581" customFormat="false" ht="15" hidden="false" customHeight="false" outlineLevel="0" collapsed="false">
      <c r="A1581" s="8"/>
      <c r="B1581" s="17"/>
      <c r="C1581" s="19"/>
      <c r="D1581" s="8"/>
      <c r="E1581" s="18"/>
      <c r="F1581" s="18"/>
      <c r="G1581" s="8"/>
      <c r="H1581" s="8"/>
      <c r="I1581" s="8"/>
      <c r="J1581" s="8"/>
      <c r="K1581" s="10" t="str">
        <f aca="false">IF(A1581="","",IF(ABS(SUMIFS($E$9:$E$2008,$A$9:$A$2008,A1581)-SUMIFS($F$9:$F$2008,$A$9:$A$2008,A1581))&lt;0.5,"Yes","No"))</f>
        <v/>
      </c>
      <c r="L1581" s="10" t="str">
        <f aca="false">IF(A1581="","",IF(IF(K1581="No","Does not balance | ","")&amp;IF(I1581="","Not approved | ",IF(UPPER(TRIM(H1581))=UPPER(TRIM(I1581)),"Self-approved | ",""))&amp;IF(J1581="","No support | ","")&amp;IF(WEEKDAY(B1581,2)&gt;5,"Weekend posting | ","")&amp;IF(COUNTIF(Settings!$A$14:$A$43,B1581)&gt;0,"Holiday posting | ","")&amp;IF(B1581&gt;Settings!$C$8,"Posted after close | ","")&amp;IF(OR(B1581&lt;Settings!$C$6,B1581&gt;Settings!$C$7),"Outside period | ","")&amp;IF(COUNTIF(Settings!$E$14:$E$43,C1581&amp;"")&gt;0,"Sensitive account | ","")&amp;IF(AND(MAX(N(E1581),N(F1581))&gt;=Settings!$C$9,MOD(MAX(N(E1581),N(F1581)),Settings!$C$10)=0),"Round amount | ","")="","",LEFT(IF(K1581="No","Does not balance | ","")&amp;IF(I1581="","Not approved | ",IF(UPPER(TRIM(H1581))=UPPER(TRIM(I1581)),"Self-approved | ",""))&amp;IF(J1581="","No support | ","")&amp;IF(WEEKDAY(B1581,2)&gt;5,"Weekend posting | ","")&amp;IF(COUNTIF(Settings!$A$14:$A$43,B1581)&gt;0,"Holiday posting | ","")&amp;IF(B1581&gt;Settings!$C$8,"Posted after close | ","")&amp;IF(OR(B1581&lt;Settings!$C$6,B1581&gt;Settings!$C$7),"Outside period | ","")&amp;IF(COUNTIF(Settings!$E$14:$E$43,C1581&amp;"")&gt;0,"Sensitive account | ","")&amp;IF(AND(MAX(N(E1581),N(F1581))&gt;=Settings!$C$9,MOD(MAX(N(E1581),N(F1581)),Settings!$C$10)=0),"Round amount | ",""),LEN(IF(K1581="No","Does not balance | ","")&amp;IF(I1581="","Not approved | ",IF(UPPER(TRIM(H1581))=UPPER(TRIM(I1581)),"Self-approved | ",""))&amp;IF(J1581="","No support | ","")&amp;IF(WEEKDAY(B1581,2)&gt;5,"Weekend posting | ","")&amp;IF(COUNTIF(Settings!$A$14:$A$43,B1581)&gt;0,"Holiday posting | ","")&amp;IF(B1581&gt;Settings!$C$8,"Posted after close | ","")&amp;IF(OR(B1581&lt;Settings!$C$6,B1581&gt;Settings!$C$7),"Outside period | ","")&amp;IF(COUNTIF(Settings!$E$14:$E$43,C1581&amp;"")&gt;0,"Sensitive account | ","")&amp;IF(AND(MAX(N(E1581),N(F1581))&gt;=Settings!$C$9,MOD(MAX(N(E1581),N(F1581)),Settings!$C$10)=0),"Round amount | ",""))-3)))</f>
        <v/>
      </c>
      <c r="M1581" s="21" t="str">
        <f aca="false">IF(A1581="","",IF(COUNTIF($A$9:A1581,A1581)=1,MAX($M$8:M1580)+1,""))</f>
        <v/>
      </c>
    </row>
    <row r="1582" customFormat="false" ht="15" hidden="false" customHeight="false" outlineLevel="0" collapsed="false">
      <c r="A1582" s="8"/>
      <c r="B1582" s="17"/>
      <c r="C1582" s="19"/>
      <c r="D1582" s="8"/>
      <c r="E1582" s="18"/>
      <c r="F1582" s="18"/>
      <c r="G1582" s="8"/>
      <c r="H1582" s="8"/>
      <c r="I1582" s="8"/>
      <c r="J1582" s="8"/>
      <c r="K1582" s="10" t="str">
        <f aca="false">IF(A1582="","",IF(ABS(SUMIFS($E$9:$E$2008,$A$9:$A$2008,A1582)-SUMIFS($F$9:$F$2008,$A$9:$A$2008,A1582))&lt;0.5,"Yes","No"))</f>
        <v/>
      </c>
      <c r="L1582" s="10" t="str">
        <f aca="false">IF(A1582="","",IF(IF(K1582="No","Does not balance | ","")&amp;IF(I1582="","Not approved | ",IF(UPPER(TRIM(H1582))=UPPER(TRIM(I1582)),"Self-approved | ",""))&amp;IF(J1582="","No support | ","")&amp;IF(WEEKDAY(B1582,2)&gt;5,"Weekend posting | ","")&amp;IF(COUNTIF(Settings!$A$14:$A$43,B1582)&gt;0,"Holiday posting | ","")&amp;IF(B1582&gt;Settings!$C$8,"Posted after close | ","")&amp;IF(OR(B1582&lt;Settings!$C$6,B1582&gt;Settings!$C$7),"Outside period | ","")&amp;IF(COUNTIF(Settings!$E$14:$E$43,C1582&amp;"")&gt;0,"Sensitive account | ","")&amp;IF(AND(MAX(N(E1582),N(F1582))&gt;=Settings!$C$9,MOD(MAX(N(E1582),N(F1582)),Settings!$C$10)=0),"Round amount | ","")="","",LEFT(IF(K1582="No","Does not balance | ","")&amp;IF(I1582="","Not approved | ",IF(UPPER(TRIM(H1582))=UPPER(TRIM(I1582)),"Self-approved | ",""))&amp;IF(J1582="","No support | ","")&amp;IF(WEEKDAY(B1582,2)&gt;5,"Weekend posting | ","")&amp;IF(COUNTIF(Settings!$A$14:$A$43,B1582)&gt;0,"Holiday posting | ","")&amp;IF(B1582&gt;Settings!$C$8,"Posted after close | ","")&amp;IF(OR(B1582&lt;Settings!$C$6,B1582&gt;Settings!$C$7),"Outside period | ","")&amp;IF(COUNTIF(Settings!$E$14:$E$43,C1582&amp;"")&gt;0,"Sensitive account | ","")&amp;IF(AND(MAX(N(E1582),N(F1582))&gt;=Settings!$C$9,MOD(MAX(N(E1582),N(F1582)),Settings!$C$10)=0),"Round amount | ",""),LEN(IF(K1582="No","Does not balance | ","")&amp;IF(I1582="","Not approved | ",IF(UPPER(TRIM(H1582))=UPPER(TRIM(I1582)),"Self-approved | ",""))&amp;IF(J1582="","No support | ","")&amp;IF(WEEKDAY(B1582,2)&gt;5,"Weekend posting | ","")&amp;IF(COUNTIF(Settings!$A$14:$A$43,B1582)&gt;0,"Holiday posting | ","")&amp;IF(B1582&gt;Settings!$C$8,"Posted after close | ","")&amp;IF(OR(B1582&lt;Settings!$C$6,B1582&gt;Settings!$C$7),"Outside period | ","")&amp;IF(COUNTIF(Settings!$E$14:$E$43,C1582&amp;"")&gt;0,"Sensitive account | ","")&amp;IF(AND(MAX(N(E1582),N(F1582))&gt;=Settings!$C$9,MOD(MAX(N(E1582),N(F1582)),Settings!$C$10)=0),"Round amount | ",""))-3)))</f>
        <v/>
      </c>
      <c r="M1582" s="21" t="str">
        <f aca="false">IF(A1582="","",IF(COUNTIF($A$9:A1582,A1582)=1,MAX($M$8:M1581)+1,""))</f>
        <v/>
      </c>
    </row>
    <row r="1583" customFormat="false" ht="15" hidden="false" customHeight="false" outlineLevel="0" collapsed="false">
      <c r="A1583" s="8"/>
      <c r="B1583" s="17"/>
      <c r="C1583" s="19"/>
      <c r="D1583" s="8"/>
      <c r="E1583" s="18"/>
      <c r="F1583" s="18"/>
      <c r="G1583" s="8"/>
      <c r="H1583" s="8"/>
      <c r="I1583" s="8"/>
      <c r="J1583" s="8"/>
      <c r="K1583" s="10" t="str">
        <f aca="false">IF(A1583="","",IF(ABS(SUMIFS($E$9:$E$2008,$A$9:$A$2008,A1583)-SUMIFS($F$9:$F$2008,$A$9:$A$2008,A1583))&lt;0.5,"Yes","No"))</f>
        <v/>
      </c>
      <c r="L1583" s="10" t="str">
        <f aca="false">IF(A1583="","",IF(IF(K1583="No","Does not balance | ","")&amp;IF(I1583="","Not approved | ",IF(UPPER(TRIM(H1583))=UPPER(TRIM(I1583)),"Self-approved | ",""))&amp;IF(J1583="","No support | ","")&amp;IF(WEEKDAY(B1583,2)&gt;5,"Weekend posting | ","")&amp;IF(COUNTIF(Settings!$A$14:$A$43,B1583)&gt;0,"Holiday posting | ","")&amp;IF(B1583&gt;Settings!$C$8,"Posted after close | ","")&amp;IF(OR(B1583&lt;Settings!$C$6,B1583&gt;Settings!$C$7),"Outside period | ","")&amp;IF(COUNTIF(Settings!$E$14:$E$43,C1583&amp;"")&gt;0,"Sensitive account | ","")&amp;IF(AND(MAX(N(E1583),N(F1583))&gt;=Settings!$C$9,MOD(MAX(N(E1583),N(F1583)),Settings!$C$10)=0),"Round amount | ","")="","",LEFT(IF(K1583="No","Does not balance | ","")&amp;IF(I1583="","Not approved | ",IF(UPPER(TRIM(H1583))=UPPER(TRIM(I1583)),"Self-approved | ",""))&amp;IF(J1583="","No support | ","")&amp;IF(WEEKDAY(B1583,2)&gt;5,"Weekend posting | ","")&amp;IF(COUNTIF(Settings!$A$14:$A$43,B1583)&gt;0,"Holiday posting | ","")&amp;IF(B1583&gt;Settings!$C$8,"Posted after close | ","")&amp;IF(OR(B1583&lt;Settings!$C$6,B1583&gt;Settings!$C$7),"Outside period | ","")&amp;IF(COUNTIF(Settings!$E$14:$E$43,C1583&amp;"")&gt;0,"Sensitive account | ","")&amp;IF(AND(MAX(N(E1583),N(F1583))&gt;=Settings!$C$9,MOD(MAX(N(E1583),N(F1583)),Settings!$C$10)=0),"Round amount | ",""),LEN(IF(K1583="No","Does not balance | ","")&amp;IF(I1583="","Not approved | ",IF(UPPER(TRIM(H1583))=UPPER(TRIM(I1583)),"Self-approved | ",""))&amp;IF(J1583="","No support | ","")&amp;IF(WEEKDAY(B1583,2)&gt;5,"Weekend posting | ","")&amp;IF(COUNTIF(Settings!$A$14:$A$43,B1583)&gt;0,"Holiday posting | ","")&amp;IF(B1583&gt;Settings!$C$8,"Posted after close | ","")&amp;IF(OR(B1583&lt;Settings!$C$6,B1583&gt;Settings!$C$7),"Outside period | ","")&amp;IF(COUNTIF(Settings!$E$14:$E$43,C1583&amp;"")&gt;0,"Sensitive account | ","")&amp;IF(AND(MAX(N(E1583),N(F1583))&gt;=Settings!$C$9,MOD(MAX(N(E1583),N(F1583)),Settings!$C$10)=0),"Round amount | ",""))-3)))</f>
        <v/>
      </c>
      <c r="M1583" s="21" t="str">
        <f aca="false">IF(A1583="","",IF(COUNTIF($A$9:A1583,A1583)=1,MAX($M$8:M1582)+1,""))</f>
        <v/>
      </c>
    </row>
    <row r="1584" customFormat="false" ht="15" hidden="false" customHeight="false" outlineLevel="0" collapsed="false">
      <c r="A1584" s="8"/>
      <c r="B1584" s="17"/>
      <c r="C1584" s="19"/>
      <c r="D1584" s="8"/>
      <c r="E1584" s="18"/>
      <c r="F1584" s="18"/>
      <c r="G1584" s="8"/>
      <c r="H1584" s="8"/>
      <c r="I1584" s="8"/>
      <c r="J1584" s="8"/>
      <c r="K1584" s="10" t="str">
        <f aca="false">IF(A1584="","",IF(ABS(SUMIFS($E$9:$E$2008,$A$9:$A$2008,A1584)-SUMIFS($F$9:$F$2008,$A$9:$A$2008,A1584))&lt;0.5,"Yes","No"))</f>
        <v/>
      </c>
      <c r="L1584" s="10" t="str">
        <f aca="false">IF(A1584="","",IF(IF(K1584="No","Does not balance | ","")&amp;IF(I1584="","Not approved | ",IF(UPPER(TRIM(H1584))=UPPER(TRIM(I1584)),"Self-approved | ",""))&amp;IF(J1584="","No support | ","")&amp;IF(WEEKDAY(B1584,2)&gt;5,"Weekend posting | ","")&amp;IF(COUNTIF(Settings!$A$14:$A$43,B1584)&gt;0,"Holiday posting | ","")&amp;IF(B1584&gt;Settings!$C$8,"Posted after close | ","")&amp;IF(OR(B1584&lt;Settings!$C$6,B1584&gt;Settings!$C$7),"Outside period | ","")&amp;IF(COUNTIF(Settings!$E$14:$E$43,C1584&amp;"")&gt;0,"Sensitive account | ","")&amp;IF(AND(MAX(N(E1584),N(F1584))&gt;=Settings!$C$9,MOD(MAX(N(E1584),N(F1584)),Settings!$C$10)=0),"Round amount | ","")="","",LEFT(IF(K1584="No","Does not balance | ","")&amp;IF(I1584="","Not approved | ",IF(UPPER(TRIM(H1584))=UPPER(TRIM(I1584)),"Self-approved | ",""))&amp;IF(J1584="","No support | ","")&amp;IF(WEEKDAY(B1584,2)&gt;5,"Weekend posting | ","")&amp;IF(COUNTIF(Settings!$A$14:$A$43,B1584)&gt;0,"Holiday posting | ","")&amp;IF(B1584&gt;Settings!$C$8,"Posted after close | ","")&amp;IF(OR(B1584&lt;Settings!$C$6,B1584&gt;Settings!$C$7),"Outside period | ","")&amp;IF(COUNTIF(Settings!$E$14:$E$43,C1584&amp;"")&gt;0,"Sensitive account | ","")&amp;IF(AND(MAX(N(E1584),N(F1584))&gt;=Settings!$C$9,MOD(MAX(N(E1584),N(F1584)),Settings!$C$10)=0),"Round amount | ",""),LEN(IF(K1584="No","Does not balance | ","")&amp;IF(I1584="","Not approved | ",IF(UPPER(TRIM(H1584))=UPPER(TRIM(I1584)),"Self-approved | ",""))&amp;IF(J1584="","No support | ","")&amp;IF(WEEKDAY(B1584,2)&gt;5,"Weekend posting | ","")&amp;IF(COUNTIF(Settings!$A$14:$A$43,B1584)&gt;0,"Holiday posting | ","")&amp;IF(B1584&gt;Settings!$C$8,"Posted after close | ","")&amp;IF(OR(B1584&lt;Settings!$C$6,B1584&gt;Settings!$C$7),"Outside period | ","")&amp;IF(COUNTIF(Settings!$E$14:$E$43,C1584&amp;"")&gt;0,"Sensitive account | ","")&amp;IF(AND(MAX(N(E1584),N(F1584))&gt;=Settings!$C$9,MOD(MAX(N(E1584),N(F1584)),Settings!$C$10)=0),"Round amount | ",""))-3)))</f>
        <v/>
      </c>
      <c r="M1584" s="21" t="str">
        <f aca="false">IF(A1584="","",IF(COUNTIF($A$9:A1584,A1584)=1,MAX($M$8:M1583)+1,""))</f>
        <v/>
      </c>
    </row>
    <row r="1585" customFormat="false" ht="15" hidden="false" customHeight="false" outlineLevel="0" collapsed="false">
      <c r="A1585" s="8"/>
      <c r="B1585" s="17"/>
      <c r="C1585" s="19"/>
      <c r="D1585" s="8"/>
      <c r="E1585" s="18"/>
      <c r="F1585" s="18"/>
      <c r="G1585" s="8"/>
      <c r="H1585" s="8"/>
      <c r="I1585" s="8"/>
      <c r="J1585" s="8"/>
      <c r="K1585" s="10" t="str">
        <f aca="false">IF(A1585="","",IF(ABS(SUMIFS($E$9:$E$2008,$A$9:$A$2008,A1585)-SUMIFS($F$9:$F$2008,$A$9:$A$2008,A1585))&lt;0.5,"Yes","No"))</f>
        <v/>
      </c>
      <c r="L1585" s="10" t="str">
        <f aca="false">IF(A1585="","",IF(IF(K1585="No","Does not balance | ","")&amp;IF(I1585="","Not approved | ",IF(UPPER(TRIM(H1585))=UPPER(TRIM(I1585)),"Self-approved | ",""))&amp;IF(J1585="","No support | ","")&amp;IF(WEEKDAY(B1585,2)&gt;5,"Weekend posting | ","")&amp;IF(COUNTIF(Settings!$A$14:$A$43,B1585)&gt;0,"Holiday posting | ","")&amp;IF(B1585&gt;Settings!$C$8,"Posted after close | ","")&amp;IF(OR(B1585&lt;Settings!$C$6,B1585&gt;Settings!$C$7),"Outside period | ","")&amp;IF(COUNTIF(Settings!$E$14:$E$43,C1585&amp;"")&gt;0,"Sensitive account | ","")&amp;IF(AND(MAX(N(E1585),N(F1585))&gt;=Settings!$C$9,MOD(MAX(N(E1585),N(F1585)),Settings!$C$10)=0),"Round amount | ","")="","",LEFT(IF(K1585="No","Does not balance | ","")&amp;IF(I1585="","Not approved | ",IF(UPPER(TRIM(H1585))=UPPER(TRIM(I1585)),"Self-approved | ",""))&amp;IF(J1585="","No support | ","")&amp;IF(WEEKDAY(B1585,2)&gt;5,"Weekend posting | ","")&amp;IF(COUNTIF(Settings!$A$14:$A$43,B1585)&gt;0,"Holiday posting | ","")&amp;IF(B1585&gt;Settings!$C$8,"Posted after close | ","")&amp;IF(OR(B1585&lt;Settings!$C$6,B1585&gt;Settings!$C$7),"Outside period | ","")&amp;IF(COUNTIF(Settings!$E$14:$E$43,C1585&amp;"")&gt;0,"Sensitive account | ","")&amp;IF(AND(MAX(N(E1585),N(F1585))&gt;=Settings!$C$9,MOD(MAX(N(E1585),N(F1585)),Settings!$C$10)=0),"Round amount | ",""),LEN(IF(K1585="No","Does not balance | ","")&amp;IF(I1585="","Not approved | ",IF(UPPER(TRIM(H1585))=UPPER(TRIM(I1585)),"Self-approved | ",""))&amp;IF(J1585="","No support | ","")&amp;IF(WEEKDAY(B1585,2)&gt;5,"Weekend posting | ","")&amp;IF(COUNTIF(Settings!$A$14:$A$43,B1585)&gt;0,"Holiday posting | ","")&amp;IF(B1585&gt;Settings!$C$8,"Posted after close | ","")&amp;IF(OR(B1585&lt;Settings!$C$6,B1585&gt;Settings!$C$7),"Outside period | ","")&amp;IF(COUNTIF(Settings!$E$14:$E$43,C1585&amp;"")&gt;0,"Sensitive account | ","")&amp;IF(AND(MAX(N(E1585),N(F1585))&gt;=Settings!$C$9,MOD(MAX(N(E1585),N(F1585)),Settings!$C$10)=0),"Round amount | ",""))-3)))</f>
        <v/>
      </c>
      <c r="M1585" s="21" t="str">
        <f aca="false">IF(A1585="","",IF(COUNTIF($A$9:A1585,A1585)=1,MAX($M$8:M1584)+1,""))</f>
        <v/>
      </c>
    </row>
    <row r="1586" customFormat="false" ht="15" hidden="false" customHeight="false" outlineLevel="0" collapsed="false">
      <c r="A1586" s="8"/>
      <c r="B1586" s="17"/>
      <c r="C1586" s="19"/>
      <c r="D1586" s="8"/>
      <c r="E1586" s="18"/>
      <c r="F1586" s="18"/>
      <c r="G1586" s="8"/>
      <c r="H1586" s="8"/>
      <c r="I1586" s="8"/>
      <c r="J1586" s="8"/>
      <c r="K1586" s="10" t="str">
        <f aca="false">IF(A1586="","",IF(ABS(SUMIFS($E$9:$E$2008,$A$9:$A$2008,A1586)-SUMIFS($F$9:$F$2008,$A$9:$A$2008,A1586))&lt;0.5,"Yes","No"))</f>
        <v/>
      </c>
      <c r="L1586" s="10" t="str">
        <f aca="false">IF(A1586="","",IF(IF(K1586="No","Does not balance | ","")&amp;IF(I1586="","Not approved | ",IF(UPPER(TRIM(H1586))=UPPER(TRIM(I1586)),"Self-approved | ",""))&amp;IF(J1586="","No support | ","")&amp;IF(WEEKDAY(B1586,2)&gt;5,"Weekend posting | ","")&amp;IF(COUNTIF(Settings!$A$14:$A$43,B1586)&gt;0,"Holiday posting | ","")&amp;IF(B1586&gt;Settings!$C$8,"Posted after close | ","")&amp;IF(OR(B1586&lt;Settings!$C$6,B1586&gt;Settings!$C$7),"Outside period | ","")&amp;IF(COUNTIF(Settings!$E$14:$E$43,C1586&amp;"")&gt;0,"Sensitive account | ","")&amp;IF(AND(MAX(N(E1586),N(F1586))&gt;=Settings!$C$9,MOD(MAX(N(E1586),N(F1586)),Settings!$C$10)=0),"Round amount | ","")="","",LEFT(IF(K1586="No","Does not balance | ","")&amp;IF(I1586="","Not approved | ",IF(UPPER(TRIM(H1586))=UPPER(TRIM(I1586)),"Self-approved | ",""))&amp;IF(J1586="","No support | ","")&amp;IF(WEEKDAY(B1586,2)&gt;5,"Weekend posting | ","")&amp;IF(COUNTIF(Settings!$A$14:$A$43,B1586)&gt;0,"Holiday posting | ","")&amp;IF(B1586&gt;Settings!$C$8,"Posted after close | ","")&amp;IF(OR(B1586&lt;Settings!$C$6,B1586&gt;Settings!$C$7),"Outside period | ","")&amp;IF(COUNTIF(Settings!$E$14:$E$43,C1586&amp;"")&gt;0,"Sensitive account | ","")&amp;IF(AND(MAX(N(E1586),N(F1586))&gt;=Settings!$C$9,MOD(MAX(N(E1586),N(F1586)),Settings!$C$10)=0),"Round amount | ",""),LEN(IF(K1586="No","Does not balance | ","")&amp;IF(I1586="","Not approved | ",IF(UPPER(TRIM(H1586))=UPPER(TRIM(I1586)),"Self-approved | ",""))&amp;IF(J1586="","No support | ","")&amp;IF(WEEKDAY(B1586,2)&gt;5,"Weekend posting | ","")&amp;IF(COUNTIF(Settings!$A$14:$A$43,B1586)&gt;0,"Holiday posting | ","")&amp;IF(B1586&gt;Settings!$C$8,"Posted after close | ","")&amp;IF(OR(B1586&lt;Settings!$C$6,B1586&gt;Settings!$C$7),"Outside period | ","")&amp;IF(COUNTIF(Settings!$E$14:$E$43,C1586&amp;"")&gt;0,"Sensitive account | ","")&amp;IF(AND(MAX(N(E1586),N(F1586))&gt;=Settings!$C$9,MOD(MAX(N(E1586),N(F1586)),Settings!$C$10)=0),"Round amount | ",""))-3)))</f>
        <v/>
      </c>
      <c r="M1586" s="21" t="str">
        <f aca="false">IF(A1586="","",IF(COUNTIF($A$9:A1586,A1586)=1,MAX($M$8:M1585)+1,""))</f>
        <v/>
      </c>
    </row>
    <row r="1587" customFormat="false" ht="15" hidden="false" customHeight="false" outlineLevel="0" collapsed="false">
      <c r="A1587" s="8"/>
      <c r="B1587" s="17"/>
      <c r="C1587" s="19"/>
      <c r="D1587" s="8"/>
      <c r="E1587" s="18"/>
      <c r="F1587" s="18"/>
      <c r="G1587" s="8"/>
      <c r="H1587" s="8"/>
      <c r="I1587" s="8"/>
      <c r="J1587" s="8"/>
      <c r="K1587" s="10" t="str">
        <f aca="false">IF(A1587="","",IF(ABS(SUMIFS($E$9:$E$2008,$A$9:$A$2008,A1587)-SUMIFS($F$9:$F$2008,$A$9:$A$2008,A1587))&lt;0.5,"Yes","No"))</f>
        <v/>
      </c>
      <c r="L1587" s="10" t="str">
        <f aca="false">IF(A1587="","",IF(IF(K1587="No","Does not balance | ","")&amp;IF(I1587="","Not approved | ",IF(UPPER(TRIM(H1587))=UPPER(TRIM(I1587)),"Self-approved | ",""))&amp;IF(J1587="","No support | ","")&amp;IF(WEEKDAY(B1587,2)&gt;5,"Weekend posting | ","")&amp;IF(COUNTIF(Settings!$A$14:$A$43,B1587)&gt;0,"Holiday posting | ","")&amp;IF(B1587&gt;Settings!$C$8,"Posted after close | ","")&amp;IF(OR(B1587&lt;Settings!$C$6,B1587&gt;Settings!$C$7),"Outside period | ","")&amp;IF(COUNTIF(Settings!$E$14:$E$43,C1587&amp;"")&gt;0,"Sensitive account | ","")&amp;IF(AND(MAX(N(E1587),N(F1587))&gt;=Settings!$C$9,MOD(MAX(N(E1587),N(F1587)),Settings!$C$10)=0),"Round amount | ","")="","",LEFT(IF(K1587="No","Does not balance | ","")&amp;IF(I1587="","Not approved | ",IF(UPPER(TRIM(H1587))=UPPER(TRIM(I1587)),"Self-approved | ",""))&amp;IF(J1587="","No support | ","")&amp;IF(WEEKDAY(B1587,2)&gt;5,"Weekend posting | ","")&amp;IF(COUNTIF(Settings!$A$14:$A$43,B1587)&gt;0,"Holiday posting | ","")&amp;IF(B1587&gt;Settings!$C$8,"Posted after close | ","")&amp;IF(OR(B1587&lt;Settings!$C$6,B1587&gt;Settings!$C$7),"Outside period | ","")&amp;IF(COUNTIF(Settings!$E$14:$E$43,C1587&amp;"")&gt;0,"Sensitive account | ","")&amp;IF(AND(MAX(N(E1587),N(F1587))&gt;=Settings!$C$9,MOD(MAX(N(E1587),N(F1587)),Settings!$C$10)=0),"Round amount | ",""),LEN(IF(K1587="No","Does not balance | ","")&amp;IF(I1587="","Not approved | ",IF(UPPER(TRIM(H1587))=UPPER(TRIM(I1587)),"Self-approved | ",""))&amp;IF(J1587="","No support | ","")&amp;IF(WEEKDAY(B1587,2)&gt;5,"Weekend posting | ","")&amp;IF(COUNTIF(Settings!$A$14:$A$43,B1587)&gt;0,"Holiday posting | ","")&amp;IF(B1587&gt;Settings!$C$8,"Posted after close | ","")&amp;IF(OR(B1587&lt;Settings!$C$6,B1587&gt;Settings!$C$7),"Outside period | ","")&amp;IF(COUNTIF(Settings!$E$14:$E$43,C1587&amp;"")&gt;0,"Sensitive account | ","")&amp;IF(AND(MAX(N(E1587),N(F1587))&gt;=Settings!$C$9,MOD(MAX(N(E1587),N(F1587)),Settings!$C$10)=0),"Round amount | ",""))-3)))</f>
        <v/>
      </c>
      <c r="M1587" s="21" t="str">
        <f aca="false">IF(A1587="","",IF(COUNTIF($A$9:A1587,A1587)=1,MAX($M$8:M1586)+1,""))</f>
        <v/>
      </c>
    </row>
    <row r="1588" customFormat="false" ht="15" hidden="false" customHeight="false" outlineLevel="0" collapsed="false">
      <c r="A1588" s="8"/>
      <c r="B1588" s="17"/>
      <c r="C1588" s="19"/>
      <c r="D1588" s="8"/>
      <c r="E1588" s="18"/>
      <c r="F1588" s="18"/>
      <c r="G1588" s="8"/>
      <c r="H1588" s="8"/>
      <c r="I1588" s="8"/>
      <c r="J1588" s="8"/>
      <c r="K1588" s="10" t="str">
        <f aca="false">IF(A1588="","",IF(ABS(SUMIFS($E$9:$E$2008,$A$9:$A$2008,A1588)-SUMIFS($F$9:$F$2008,$A$9:$A$2008,A1588))&lt;0.5,"Yes","No"))</f>
        <v/>
      </c>
      <c r="L1588" s="10" t="str">
        <f aca="false">IF(A1588="","",IF(IF(K1588="No","Does not balance | ","")&amp;IF(I1588="","Not approved | ",IF(UPPER(TRIM(H1588))=UPPER(TRIM(I1588)),"Self-approved | ",""))&amp;IF(J1588="","No support | ","")&amp;IF(WEEKDAY(B1588,2)&gt;5,"Weekend posting | ","")&amp;IF(COUNTIF(Settings!$A$14:$A$43,B1588)&gt;0,"Holiday posting | ","")&amp;IF(B1588&gt;Settings!$C$8,"Posted after close | ","")&amp;IF(OR(B1588&lt;Settings!$C$6,B1588&gt;Settings!$C$7),"Outside period | ","")&amp;IF(COUNTIF(Settings!$E$14:$E$43,C1588&amp;"")&gt;0,"Sensitive account | ","")&amp;IF(AND(MAX(N(E1588),N(F1588))&gt;=Settings!$C$9,MOD(MAX(N(E1588),N(F1588)),Settings!$C$10)=0),"Round amount | ","")="","",LEFT(IF(K1588="No","Does not balance | ","")&amp;IF(I1588="","Not approved | ",IF(UPPER(TRIM(H1588))=UPPER(TRIM(I1588)),"Self-approved | ",""))&amp;IF(J1588="","No support | ","")&amp;IF(WEEKDAY(B1588,2)&gt;5,"Weekend posting | ","")&amp;IF(COUNTIF(Settings!$A$14:$A$43,B1588)&gt;0,"Holiday posting | ","")&amp;IF(B1588&gt;Settings!$C$8,"Posted after close | ","")&amp;IF(OR(B1588&lt;Settings!$C$6,B1588&gt;Settings!$C$7),"Outside period | ","")&amp;IF(COUNTIF(Settings!$E$14:$E$43,C1588&amp;"")&gt;0,"Sensitive account | ","")&amp;IF(AND(MAX(N(E1588),N(F1588))&gt;=Settings!$C$9,MOD(MAX(N(E1588),N(F1588)),Settings!$C$10)=0),"Round amount | ",""),LEN(IF(K1588="No","Does not balance | ","")&amp;IF(I1588="","Not approved | ",IF(UPPER(TRIM(H1588))=UPPER(TRIM(I1588)),"Self-approved | ",""))&amp;IF(J1588="","No support | ","")&amp;IF(WEEKDAY(B1588,2)&gt;5,"Weekend posting | ","")&amp;IF(COUNTIF(Settings!$A$14:$A$43,B1588)&gt;0,"Holiday posting | ","")&amp;IF(B1588&gt;Settings!$C$8,"Posted after close | ","")&amp;IF(OR(B1588&lt;Settings!$C$6,B1588&gt;Settings!$C$7),"Outside period | ","")&amp;IF(COUNTIF(Settings!$E$14:$E$43,C1588&amp;"")&gt;0,"Sensitive account | ","")&amp;IF(AND(MAX(N(E1588),N(F1588))&gt;=Settings!$C$9,MOD(MAX(N(E1588),N(F1588)),Settings!$C$10)=0),"Round amount | ",""))-3)))</f>
        <v/>
      </c>
      <c r="M1588" s="21" t="str">
        <f aca="false">IF(A1588="","",IF(COUNTIF($A$9:A1588,A1588)=1,MAX($M$8:M1587)+1,""))</f>
        <v/>
      </c>
    </row>
    <row r="1589" customFormat="false" ht="15" hidden="false" customHeight="false" outlineLevel="0" collapsed="false">
      <c r="A1589" s="8"/>
      <c r="B1589" s="17"/>
      <c r="C1589" s="19"/>
      <c r="D1589" s="8"/>
      <c r="E1589" s="18"/>
      <c r="F1589" s="18"/>
      <c r="G1589" s="8"/>
      <c r="H1589" s="8"/>
      <c r="I1589" s="8"/>
      <c r="J1589" s="8"/>
      <c r="K1589" s="10" t="str">
        <f aca="false">IF(A1589="","",IF(ABS(SUMIFS($E$9:$E$2008,$A$9:$A$2008,A1589)-SUMIFS($F$9:$F$2008,$A$9:$A$2008,A1589))&lt;0.5,"Yes","No"))</f>
        <v/>
      </c>
      <c r="L1589" s="10" t="str">
        <f aca="false">IF(A1589="","",IF(IF(K1589="No","Does not balance | ","")&amp;IF(I1589="","Not approved | ",IF(UPPER(TRIM(H1589))=UPPER(TRIM(I1589)),"Self-approved | ",""))&amp;IF(J1589="","No support | ","")&amp;IF(WEEKDAY(B1589,2)&gt;5,"Weekend posting | ","")&amp;IF(COUNTIF(Settings!$A$14:$A$43,B1589)&gt;0,"Holiday posting | ","")&amp;IF(B1589&gt;Settings!$C$8,"Posted after close | ","")&amp;IF(OR(B1589&lt;Settings!$C$6,B1589&gt;Settings!$C$7),"Outside period | ","")&amp;IF(COUNTIF(Settings!$E$14:$E$43,C1589&amp;"")&gt;0,"Sensitive account | ","")&amp;IF(AND(MAX(N(E1589),N(F1589))&gt;=Settings!$C$9,MOD(MAX(N(E1589),N(F1589)),Settings!$C$10)=0),"Round amount | ","")="","",LEFT(IF(K1589="No","Does not balance | ","")&amp;IF(I1589="","Not approved | ",IF(UPPER(TRIM(H1589))=UPPER(TRIM(I1589)),"Self-approved | ",""))&amp;IF(J1589="","No support | ","")&amp;IF(WEEKDAY(B1589,2)&gt;5,"Weekend posting | ","")&amp;IF(COUNTIF(Settings!$A$14:$A$43,B1589)&gt;0,"Holiday posting | ","")&amp;IF(B1589&gt;Settings!$C$8,"Posted after close | ","")&amp;IF(OR(B1589&lt;Settings!$C$6,B1589&gt;Settings!$C$7),"Outside period | ","")&amp;IF(COUNTIF(Settings!$E$14:$E$43,C1589&amp;"")&gt;0,"Sensitive account | ","")&amp;IF(AND(MAX(N(E1589),N(F1589))&gt;=Settings!$C$9,MOD(MAX(N(E1589),N(F1589)),Settings!$C$10)=0),"Round amount | ",""),LEN(IF(K1589="No","Does not balance | ","")&amp;IF(I1589="","Not approved | ",IF(UPPER(TRIM(H1589))=UPPER(TRIM(I1589)),"Self-approved | ",""))&amp;IF(J1589="","No support | ","")&amp;IF(WEEKDAY(B1589,2)&gt;5,"Weekend posting | ","")&amp;IF(COUNTIF(Settings!$A$14:$A$43,B1589)&gt;0,"Holiday posting | ","")&amp;IF(B1589&gt;Settings!$C$8,"Posted after close | ","")&amp;IF(OR(B1589&lt;Settings!$C$6,B1589&gt;Settings!$C$7),"Outside period | ","")&amp;IF(COUNTIF(Settings!$E$14:$E$43,C1589&amp;"")&gt;0,"Sensitive account | ","")&amp;IF(AND(MAX(N(E1589),N(F1589))&gt;=Settings!$C$9,MOD(MAX(N(E1589),N(F1589)),Settings!$C$10)=0),"Round amount | ",""))-3)))</f>
        <v/>
      </c>
      <c r="M1589" s="21" t="str">
        <f aca="false">IF(A1589="","",IF(COUNTIF($A$9:A1589,A1589)=1,MAX($M$8:M1588)+1,""))</f>
        <v/>
      </c>
    </row>
    <row r="1590" customFormat="false" ht="15" hidden="false" customHeight="false" outlineLevel="0" collapsed="false">
      <c r="A1590" s="8"/>
      <c r="B1590" s="17"/>
      <c r="C1590" s="19"/>
      <c r="D1590" s="8"/>
      <c r="E1590" s="18"/>
      <c r="F1590" s="18"/>
      <c r="G1590" s="8"/>
      <c r="H1590" s="8"/>
      <c r="I1590" s="8"/>
      <c r="J1590" s="8"/>
      <c r="K1590" s="10" t="str">
        <f aca="false">IF(A1590="","",IF(ABS(SUMIFS($E$9:$E$2008,$A$9:$A$2008,A1590)-SUMIFS($F$9:$F$2008,$A$9:$A$2008,A1590))&lt;0.5,"Yes","No"))</f>
        <v/>
      </c>
      <c r="L1590" s="10" t="str">
        <f aca="false">IF(A1590="","",IF(IF(K1590="No","Does not balance | ","")&amp;IF(I1590="","Not approved | ",IF(UPPER(TRIM(H1590))=UPPER(TRIM(I1590)),"Self-approved | ",""))&amp;IF(J1590="","No support | ","")&amp;IF(WEEKDAY(B1590,2)&gt;5,"Weekend posting | ","")&amp;IF(COUNTIF(Settings!$A$14:$A$43,B1590)&gt;0,"Holiday posting | ","")&amp;IF(B1590&gt;Settings!$C$8,"Posted after close | ","")&amp;IF(OR(B1590&lt;Settings!$C$6,B1590&gt;Settings!$C$7),"Outside period | ","")&amp;IF(COUNTIF(Settings!$E$14:$E$43,C1590&amp;"")&gt;0,"Sensitive account | ","")&amp;IF(AND(MAX(N(E1590),N(F1590))&gt;=Settings!$C$9,MOD(MAX(N(E1590),N(F1590)),Settings!$C$10)=0),"Round amount | ","")="","",LEFT(IF(K1590="No","Does not balance | ","")&amp;IF(I1590="","Not approved | ",IF(UPPER(TRIM(H1590))=UPPER(TRIM(I1590)),"Self-approved | ",""))&amp;IF(J1590="","No support | ","")&amp;IF(WEEKDAY(B1590,2)&gt;5,"Weekend posting | ","")&amp;IF(COUNTIF(Settings!$A$14:$A$43,B1590)&gt;0,"Holiday posting | ","")&amp;IF(B1590&gt;Settings!$C$8,"Posted after close | ","")&amp;IF(OR(B1590&lt;Settings!$C$6,B1590&gt;Settings!$C$7),"Outside period | ","")&amp;IF(COUNTIF(Settings!$E$14:$E$43,C1590&amp;"")&gt;0,"Sensitive account | ","")&amp;IF(AND(MAX(N(E1590),N(F1590))&gt;=Settings!$C$9,MOD(MAX(N(E1590),N(F1590)),Settings!$C$10)=0),"Round amount | ",""),LEN(IF(K1590="No","Does not balance | ","")&amp;IF(I1590="","Not approved | ",IF(UPPER(TRIM(H1590))=UPPER(TRIM(I1590)),"Self-approved | ",""))&amp;IF(J1590="","No support | ","")&amp;IF(WEEKDAY(B1590,2)&gt;5,"Weekend posting | ","")&amp;IF(COUNTIF(Settings!$A$14:$A$43,B1590)&gt;0,"Holiday posting | ","")&amp;IF(B1590&gt;Settings!$C$8,"Posted after close | ","")&amp;IF(OR(B1590&lt;Settings!$C$6,B1590&gt;Settings!$C$7),"Outside period | ","")&amp;IF(COUNTIF(Settings!$E$14:$E$43,C1590&amp;"")&gt;0,"Sensitive account | ","")&amp;IF(AND(MAX(N(E1590),N(F1590))&gt;=Settings!$C$9,MOD(MAX(N(E1590),N(F1590)),Settings!$C$10)=0),"Round amount | ",""))-3)))</f>
        <v/>
      </c>
      <c r="M1590" s="21" t="str">
        <f aca="false">IF(A1590="","",IF(COUNTIF($A$9:A1590,A1590)=1,MAX($M$8:M1589)+1,""))</f>
        <v/>
      </c>
    </row>
    <row r="1591" customFormat="false" ht="15" hidden="false" customHeight="false" outlineLevel="0" collapsed="false">
      <c r="A1591" s="8"/>
      <c r="B1591" s="17"/>
      <c r="C1591" s="19"/>
      <c r="D1591" s="8"/>
      <c r="E1591" s="18"/>
      <c r="F1591" s="18"/>
      <c r="G1591" s="8"/>
      <c r="H1591" s="8"/>
      <c r="I1591" s="8"/>
      <c r="J1591" s="8"/>
      <c r="K1591" s="10" t="str">
        <f aca="false">IF(A1591="","",IF(ABS(SUMIFS($E$9:$E$2008,$A$9:$A$2008,A1591)-SUMIFS($F$9:$F$2008,$A$9:$A$2008,A1591))&lt;0.5,"Yes","No"))</f>
        <v/>
      </c>
      <c r="L1591" s="10" t="str">
        <f aca="false">IF(A1591="","",IF(IF(K1591="No","Does not balance | ","")&amp;IF(I1591="","Not approved | ",IF(UPPER(TRIM(H1591))=UPPER(TRIM(I1591)),"Self-approved | ",""))&amp;IF(J1591="","No support | ","")&amp;IF(WEEKDAY(B1591,2)&gt;5,"Weekend posting | ","")&amp;IF(COUNTIF(Settings!$A$14:$A$43,B1591)&gt;0,"Holiday posting | ","")&amp;IF(B1591&gt;Settings!$C$8,"Posted after close | ","")&amp;IF(OR(B1591&lt;Settings!$C$6,B1591&gt;Settings!$C$7),"Outside period | ","")&amp;IF(COUNTIF(Settings!$E$14:$E$43,C1591&amp;"")&gt;0,"Sensitive account | ","")&amp;IF(AND(MAX(N(E1591),N(F1591))&gt;=Settings!$C$9,MOD(MAX(N(E1591),N(F1591)),Settings!$C$10)=0),"Round amount | ","")="","",LEFT(IF(K1591="No","Does not balance | ","")&amp;IF(I1591="","Not approved | ",IF(UPPER(TRIM(H1591))=UPPER(TRIM(I1591)),"Self-approved | ",""))&amp;IF(J1591="","No support | ","")&amp;IF(WEEKDAY(B1591,2)&gt;5,"Weekend posting | ","")&amp;IF(COUNTIF(Settings!$A$14:$A$43,B1591)&gt;0,"Holiday posting | ","")&amp;IF(B1591&gt;Settings!$C$8,"Posted after close | ","")&amp;IF(OR(B1591&lt;Settings!$C$6,B1591&gt;Settings!$C$7),"Outside period | ","")&amp;IF(COUNTIF(Settings!$E$14:$E$43,C1591&amp;"")&gt;0,"Sensitive account | ","")&amp;IF(AND(MAX(N(E1591),N(F1591))&gt;=Settings!$C$9,MOD(MAX(N(E1591),N(F1591)),Settings!$C$10)=0),"Round amount | ",""),LEN(IF(K1591="No","Does not balance | ","")&amp;IF(I1591="","Not approved | ",IF(UPPER(TRIM(H1591))=UPPER(TRIM(I1591)),"Self-approved | ",""))&amp;IF(J1591="","No support | ","")&amp;IF(WEEKDAY(B1591,2)&gt;5,"Weekend posting | ","")&amp;IF(COUNTIF(Settings!$A$14:$A$43,B1591)&gt;0,"Holiday posting | ","")&amp;IF(B1591&gt;Settings!$C$8,"Posted after close | ","")&amp;IF(OR(B1591&lt;Settings!$C$6,B1591&gt;Settings!$C$7),"Outside period | ","")&amp;IF(COUNTIF(Settings!$E$14:$E$43,C1591&amp;"")&gt;0,"Sensitive account | ","")&amp;IF(AND(MAX(N(E1591),N(F1591))&gt;=Settings!$C$9,MOD(MAX(N(E1591),N(F1591)),Settings!$C$10)=0),"Round amount | ",""))-3)))</f>
        <v/>
      </c>
      <c r="M1591" s="21" t="str">
        <f aca="false">IF(A1591="","",IF(COUNTIF($A$9:A1591,A1591)=1,MAX($M$8:M1590)+1,""))</f>
        <v/>
      </c>
    </row>
    <row r="1592" customFormat="false" ht="15" hidden="false" customHeight="false" outlineLevel="0" collapsed="false">
      <c r="A1592" s="8"/>
      <c r="B1592" s="17"/>
      <c r="C1592" s="19"/>
      <c r="D1592" s="8"/>
      <c r="E1592" s="18"/>
      <c r="F1592" s="18"/>
      <c r="G1592" s="8"/>
      <c r="H1592" s="8"/>
      <c r="I1592" s="8"/>
      <c r="J1592" s="8"/>
      <c r="K1592" s="10" t="str">
        <f aca="false">IF(A1592="","",IF(ABS(SUMIFS($E$9:$E$2008,$A$9:$A$2008,A1592)-SUMIFS($F$9:$F$2008,$A$9:$A$2008,A1592))&lt;0.5,"Yes","No"))</f>
        <v/>
      </c>
      <c r="L1592" s="10" t="str">
        <f aca="false">IF(A1592="","",IF(IF(K1592="No","Does not balance | ","")&amp;IF(I1592="","Not approved | ",IF(UPPER(TRIM(H1592))=UPPER(TRIM(I1592)),"Self-approved | ",""))&amp;IF(J1592="","No support | ","")&amp;IF(WEEKDAY(B1592,2)&gt;5,"Weekend posting | ","")&amp;IF(COUNTIF(Settings!$A$14:$A$43,B1592)&gt;0,"Holiday posting | ","")&amp;IF(B1592&gt;Settings!$C$8,"Posted after close | ","")&amp;IF(OR(B1592&lt;Settings!$C$6,B1592&gt;Settings!$C$7),"Outside period | ","")&amp;IF(COUNTIF(Settings!$E$14:$E$43,C1592&amp;"")&gt;0,"Sensitive account | ","")&amp;IF(AND(MAX(N(E1592),N(F1592))&gt;=Settings!$C$9,MOD(MAX(N(E1592),N(F1592)),Settings!$C$10)=0),"Round amount | ","")="","",LEFT(IF(K1592="No","Does not balance | ","")&amp;IF(I1592="","Not approved | ",IF(UPPER(TRIM(H1592))=UPPER(TRIM(I1592)),"Self-approved | ",""))&amp;IF(J1592="","No support | ","")&amp;IF(WEEKDAY(B1592,2)&gt;5,"Weekend posting | ","")&amp;IF(COUNTIF(Settings!$A$14:$A$43,B1592)&gt;0,"Holiday posting | ","")&amp;IF(B1592&gt;Settings!$C$8,"Posted after close | ","")&amp;IF(OR(B1592&lt;Settings!$C$6,B1592&gt;Settings!$C$7),"Outside period | ","")&amp;IF(COUNTIF(Settings!$E$14:$E$43,C1592&amp;"")&gt;0,"Sensitive account | ","")&amp;IF(AND(MAX(N(E1592),N(F1592))&gt;=Settings!$C$9,MOD(MAX(N(E1592),N(F1592)),Settings!$C$10)=0),"Round amount | ",""),LEN(IF(K1592="No","Does not balance | ","")&amp;IF(I1592="","Not approved | ",IF(UPPER(TRIM(H1592))=UPPER(TRIM(I1592)),"Self-approved | ",""))&amp;IF(J1592="","No support | ","")&amp;IF(WEEKDAY(B1592,2)&gt;5,"Weekend posting | ","")&amp;IF(COUNTIF(Settings!$A$14:$A$43,B1592)&gt;0,"Holiday posting | ","")&amp;IF(B1592&gt;Settings!$C$8,"Posted after close | ","")&amp;IF(OR(B1592&lt;Settings!$C$6,B1592&gt;Settings!$C$7),"Outside period | ","")&amp;IF(COUNTIF(Settings!$E$14:$E$43,C1592&amp;"")&gt;0,"Sensitive account | ","")&amp;IF(AND(MAX(N(E1592),N(F1592))&gt;=Settings!$C$9,MOD(MAX(N(E1592),N(F1592)),Settings!$C$10)=0),"Round amount | ",""))-3)))</f>
        <v/>
      </c>
      <c r="M1592" s="21" t="str">
        <f aca="false">IF(A1592="","",IF(COUNTIF($A$9:A1592,A1592)=1,MAX($M$8:M1591)+1,""))</f>
        <v/>
      </c>
    </row>
    <row r="1593" customFormat="false" ht="15" hidden="false" customHeight="false" outlineLevel="0" collapsed="false">
      <c r="A1593" s="8"/>
      <c r="B1593" s="17"/>
      <c r="C1593" s="19"/>
      <c r="D1593" s="8"/>
      <c r="E1593" s="18"/>
      <c r="F1593" s="18"/>
      <c r="G1593" s="8"/>
      <c r="H1593" s="8"/>
      <c r="I1593" s="8"/>
      <c r="J1593" s="8"/>
      <c r="K1593" s="10" t="str">
        <f aca="false">IF(A1593="","",IF(ABS(SUMIFS($E$9:$E$2008,$A$9:$A$2008,A1593)-SUMIFS($F$9:$F$2008,$A$9:$A$2008,A1593))&lt;0.5,"Yes","No"))</f>
        <v/>
      </c>
      <c r="L1593" s="10" t="str">
        <f aca="false">IF(A1593="","",IF(IF(K1593="No","Does not balance | ","")&amp;IF(I1593="","Not approved | ",IF(UPPER(TRIM(H1593))=UPPER(TRIM(I1593)),"Self-approved | ",""))&amp;IF(J1593="","No support | ","")&amp;IF(WEEKDAY(B1593,2)&gt;5,"Weekend posting | ","")&amp;IF(COUNTIF(Settings!$A$14:$A$43,B1593)&gt;0,"Holiday posting | ","")&amp;IF(B1593&gt;Settings!$C$8,"Posted after close | ","")&amp;IF(OR(B1593&lt;Settings!$C$6,B1593&gt;Settings!$C$7),"Outside period | ","")&amp;IF(COUNTIF(Settings!$E$14:$E$43,C1593&amp;"")&gt;0,"Sensitive account | ","")&amp;IF(AND(MAX(N(E1593),N(F1593))&gt;=Settings!$C$9,MOD(MAX(N(E1593),N(F1593)),Settings!$C$10)=0),"Round amount | ","")="","",LEFT(IF(K1593="No","Does not balance | ","")&amp;IF(I1593="","Not approved | ",IF(UPPER(TRIM(H1593))=UPPER(TRIM(I1593)),"Self-approved | ",""))&amp;IF(J1593="","No support | ","")&amp;IF(WEEKDAY(B1593,2)&gt;5,"Weekend posting | ","")&amp;IF(COUNTIF(Settings!$A$14:$A$43,B1593)&gt;0,"Holiday posting | ","")&amp;IF(B1593&gt;Settings!$C$8,"Posted after close | ","")&amp;IF(OR(B1593&lt;Settings!$C$6,B1593&gt;Settings!$C$7),"Outside period | ","")&amp;IF(COUNTIF(Settings!$E$14:$E$43,C1593&amp;"")&gt;0,"Sensitive account | ","")&amp;IF(AND(MAX(N(E1593),N(F1593))&gt;=Settings!$C$9,MOD(MAX(N(E1593),N(F1593)),Settings!$C$10)=0),"Round amount | ",""),LEN(IF(K1593="No","Does not balance | ","")&amp;IF(I1593="","Not approved | ",IF(UPPER(TRIM(H1593))=UPPER(TRIM(I1593)),"Self-approved | ",""))&amp;IF(J1593="","No support | ","")&amp;IF(WEEKDAY(B1593,2)&gt;5,"Weekend posting | ","")&amp;IF(COUNTIF(Settings!$A$14:$A$43,B1593)&gt;0,"Holiday posting | ","")&amp;IF(B1593&gt;Settings!$C$8,"Posted after close | ","")&amp;IF(OR(B1593&lt;Settings!$C$6,B1593&gt;Settings!$C$7),"Outside period | ","")&amp;IF(COUNTIF(Settings!$E$14:$E$43,C1593&amp;"")&gt;0,"Sensitive account | ","")&amp;IF(AND(MAX(N(E1593),N(F1593))&gt;=Settings!$C$9,MOD(MAX(N(E1593),N(F1593)),Settings!$C$10)=0),"Round amount | ",""))-3)))</f>
        <v/>
      </c>
      <c r="M1593" s="21" t="str">
        <f aca="false">IF(A1593="","",IF(COUNTIF($A$9:A1593,A1593)=1,MAX($M$8:M1592)+1,""))</f>
        <v/>
      </c>
    </row>
    <row r="1594" customFormat="false" ht="15" hidden="false" customHeight="false" outlineLevel="0" collapsed="false">
      <c r="A1594" s="8"/>
      <c r="B1594" s="17"/>
      <c r="C1594" s="19"/>
      <c r="D1594" s="8"/>
      <c r="E1594" s="18"/>
      <c r="F1594" s="18"/>
      <c r="G1594" s="8"/>
      <c r="H1594" s="8"/>
      <c r="I1594" s="8"/>
      <c r="J1594" s="8"/>
      <c r="K1594" s="10" t="str">
        <f aca="false">IF(A1594="","",IF(ABS(SUMIFS($E$9:$E$2008,$A$9:$A$2008,A1594)-SUMIFS($F$9:$F$2008,$A$9:$A$2008,A1594))&lt;0.5,"Yes","No"))</f>
        <v/>
      </c>
      <c r="L1594" s="10" t="str">
        <f aca="false">IF(A1594="","",IF(IF(K1594="No","Does not balance | ","")&amp;IF(I1594="","Not approved | ",IF(UPPER(TRIM(H1594))=UPPER(TRIM(I1594)),"Self-approved | ",""))&amp;IF(J1594="","No support | ","")&amp;IF(WEEKDAY(B1594,2)&gt;5,"Weekend posting | ","")&amp;IF(COUNTIF(Settings!$A$14:$A$43,B1594)&gt;0,"Holiday posting | ","")&amp;IF(B1594&gt;Settings!$C$8,"Posted after close | ","")&amp;IF(OR(B1594&lt;Settings!$C$6,B1594&gt;Settings!$C$7),"Outside period | ","")&amp;IF(COUNTIF(Settings!$E$14:$E$43,C1594&amp;"")&gt;0,"Sensitive account | ","")&amp;IF(AND(MAX(N(E1594),N(F1594))&gt;=Settings!$C$9,MOD(MAX(N(E1594),N(F1594)),Settings!$C$10)=0),"Round amount | ","")="","",LEFT(IF(K1594="No","Does not balance | ","")&amp;IF(I1594="","Not approved | ",IF(UPPER(TRIM(H1594))=UPPER(TRIM(I1594)),"Self-approved | ",""))&amp;IF(J1594="","No support | ","")&amp;IF(WEEKDAY(B1594,2)&gt;5,"Weekend posting | ","")&amp;IF(COUNTIF(Settings!$A$14:$A$43,B1594)&gt;0,"Holiday posting | ","")&amp;IF(B1594&gt;Settings!$C$8,"Posted after close | ","")&amp;IF(OR(B1594&lt;Settings!$C$6,B1594&gt;Settings!$C$7),"Outside period | ","")&amp;IF(COUNTIF(Settings!$E$14:$E$43,C1594&amp;"")&gt;0,"Sensitive account | ","")&amp;IF(AND(MAX(N(E1594),N(F1594))&gt;=Settings!$C$9,MOD(MAX(N(E1594),N(F1594)),Settings!$C$10)=0),"Round amount | ",""),LEN(IF(K1594="No","Does not balance | ","")&amp;IF(I1594="","Not approved | ",IF(UPPER(TRIM(H1594))=UPPER(TRIM(I1594)),"Self-approved | ",""))&amp;IF(J1594="","No support | ","")&amp;IF(WEEKDAY(B1594,2)&gt;5,"Weekend posting | ","")&amp;IF(COUNTIF(Settings!$A$14:$A$43,B1594)&gt;0,"Holiday posting | ","")&amp;IF(B1594&gt;Settings!$C$8,"Posted after close | ","")&amp;IF(OR(B1594&lt;Settings!$C$6,B1594&gt;Settings!$C$7),"Outside period | ","")&amp;IF(COUNTIF(Settings!$E$14:$E$43,C1594&amp;"")&gt;0,"Sensitive account | ","")&amp;IF(AND(MAX(N(E1594),N(F1594))&gt;=Settings!$C$9,MOD(MAX(N(E1594),N(F1594)),Settings!$C$10)=0),"Round amount | ",""))-3)))</f>
        <v/>
      </c>
      <c r="M1594" s="21" t="str">
        <f aca="false">IF(A1594="","",IF(COUNTIF($A$9:A1594,A1594)=1,MAX($M$8:M1593)+1,""))</f>
        <v/>
      </c>
    </row>
    <row r="1595" customFormat="false" ht="15" hidden="false" customHeight="false" outlineLevel="0" collapsed="false">
      <c r="A1595" s="8"/>
      <c r="B1595" s="17"/>
      <c r="C1595" s="19"/>
      <c r="D1595" s="8"/>
      <c r="E1595" s="18"/>
      <c r="F1595" s="18"/>
      <c r="G1595" s="8"/>
      <c r="H1595" s="8"/>
      <c r="I1595" s="8"/>
      <c r="J1595" s="8"/>
      <c r="K1595" s="10" t="str">
        <f aca="false">IF(A1595="","",IF(ABS(SUMIFS($E$9:$E$2008,$A$9:$A$2008,A1595)-SUMIFS($F$9:$F$2008,$A$9:$A$2008,A1595))&lt;0.5,"Yes","No"))</f>
        <v/>
      </c>
      <c r="L1595" s="10" t="str">
        <f aca="false">IF(A1595="","",IF(IF(K1595="No","Does not balance | ","")&amp;IF(I1595="","Not approved | ",IF(UPPER(TRIM(H1595))=UPPER(TRIM(I1595)),"Self-approved | ",""))&amp;IF(J1595="","No support | ","")&amp;IF(WEEKDAY(B1595,2)&gt;5,"Weekend posting | ","")&amp;IF(COUNTIF(Settings!$A$14:$A$43,B1595)&gt;0,"Holiday posting | ","")&amp;IF(B1595&gt;Settings!$C$8,"Posted after close | ","")&amp;IF(OR(B1595&lt;Settings!$C$6,B1595&gt;Settings!$C$7),"Outside period | ","")&amp;IF(COUNTIF(Settings!$E$14:$E$43,C1595&amp;"")&gt;0,"Sensitive account | ","")&amp;IF(AND(MAX(N(E1595),N(F1595))&gt;=Settings!$C$9,MOD(MAX(N(E1595),N(F1595)),Settings!$C$10)=0),"Round amount | ","")="","",LEFT(IF(K1595="No","Does not balance | ","")&amp;IF(I1595="","Not approved | ",IF(UPPER(TRIM(H1595))=UPPER(TRIM(I1595)),"Self-approved | ",""))&amp;IF(J1595="","No support | ","")&amp;IF(WEEKDAY(B1595,2)&gt;5,"Weekend posting | ","")&amp;IF(COUNTIF(Settings!$A$14:$A$43,B1595)&gt;0,"Holiday posting | ","")&amp;IF(B1595&gt;Settings!$C$8,"Posted after close | ","")&amp;IF(OR(B1595&lt;Settings!$C$6,B1595&gt;Settings!$C$7),"Outside period | ","")&amp;IF(COUNTIF(Settings!$E$14:$E$43,C1595&amp;"")&gt;0,"Sensitive account | ","")&amp;IF(AND(MAX(N(E1595),N(F1595))&gt;=Settings!$C$9,MOD(MAX(N(E1595),N(F1595)),Settings!$C$10)=0),"Round amount | ",""),LEN(IF(K1595="No","Does not balance | ","")&amp;IF(I1595="","Not approved | ",IF(UPPER(TRIM(H1595))=UPPER(TRIM(I1595)),"Self-approved | ",""))&amp;IF(J1595="","No support | ","")&amp;IF(WEEKDAY(B1595,2)&gt;5,"Weekend posting | ","")&amp;IF(COUNTIF(Settings!$A$14:$A$43,B1595)&gt;0,"Holiday posting | ","")&amp;IF(B1595&gt;Settings!$C$8,"Posted after close | ","")&amp;IF(OR(B1595&lt;Settings!$C$6,B1595&gt;Settings!$C$7),"Outside period | ","")&amp;IF(COUNTIF(Settings!$E$14:$E$43,C1595&amp;"")&gt;0,"Sensitive account | ","")&amp;IF(AND(MAX(N(E1595),N(F1595))&gt;=Settings!$C$9,MOD(MAX(N(E1595),N(F1595)),Settings!$C$10)=0),"Round amount | ",""))-3)))</f>
        <v/>
      </c>
      <c r="M1595" s="21" t="str">
        <f aca="false">IF(A1595="","",IF(COUNTIF($A$9:A1595,A1595)=1,MAX($M$8:M1594)+1,""))</f>
        <v/>
      </c>
    </row>
    <row r="1596" customFormat="false" ht="15" hidden="false" customHeight="false" outlineLevel="0" collapsed="false">
      <c r="A1596" s="8"/>
      <c r="B1596" s="17"/>
      <c r="C1596" s="19"/>
      <c r="D1596" s="8"/>
      <c r="E1596" s="18"/>
      <c r="F1596" s="18"/>
      <c r="G1596" s="8"/>
      <c r="H1596" s="8"/>
      <c r="I1596" s="8"/>
      <c r="J1596" s="8"/>
      <c r="K1596" s="10" t="str">
        <f aca="false">IF(A1596="","",IF(ABS(SUMIFS($E$9:$E$2008,$A$9:$A$2008,A1596)-SUMIFS($F$9:$F$2008,$A$9:$A$2008,A1596))&lt;0.5,"Yes","No"))</f>
        <v/>
      </c>
      <c r="L1596" s="10" t="str">
        <f aca="false">IF(A1596="","",IF(IF(K1596="No","Does not balance | ","")&amp;IF(I1596="","Not approved | ",IF(UPPER(TRIM(H1596))=UPPER(TRIM(I1596)),"Self-approved | ",""))&amp;IF(J1596="","No support | ","")&amp;IF(WEEKDAY(B1596,2)&gt;5,"Weekend posting | ","")&amp;IF(COUNTIF(Settings!$A$14:$A$43,B1596)&gt;0,"Holiday posting | ","")&amp;IF(B1596&gt;Settings!$C$8,"Posted after close | ","")&amp;IF(OR(B1596&lt;Settings!$C$6,B1596&gt;Settings!$C$7),"Outside period | ","")&amp;IF(COUNTIF(Settings!$E$14:$E$43,C1596&amp;"")&gt;0,"Sensitive account | ","")&amp;IF(AND(MAX(N(E1596),N(F1596))&gt;=Settings!$C$9,MOD(MAX(N(E1596),N(F1596)),Settings!$C$10)=0),"Round amount | ","")="","",LEFT(IF(K1596="No","Does not balance | ","")&amp;IF(I1596="","Not approved | ",IF(UPPER(TRIM(H1596))=UPPER(TRIM(I1596)),"Self-approved | ",""))&amp;IF(J1596="","No support | ","")&amp;IF(WEEKDAY(B1596,2)&gt;5,"Weekend posting | ","")&amp;IF(COUNTIF(Settings!$A$14:$A$43,B1596)&gt;0,"Holiday posting | ","")&amp;IF(B1596&gt;Settings!$C$8,"Posted after close | ","")&amp;IF(OR(B1596&lt;Settings!$C$6,B1596&gt;Settings!$C$7),"Outside period | ","")&amp;IF(COUNTIF(Settings!$E$14:$E$43,C1596&amp;"")&gt;0,"Sensitive account | ","")&amp;IF(AND(MAX(N(E1596),N(F1596))&gt;=Settings!$C$9,MOD(MAX(N(E1596),N(F1596)),Settings!$C$10)=0),"Round amount | ",""),LEN(IF(K1596="No","Does not balance | ","")&amp;IF(I1596="","Not approved | ",IF(UPPER(TRIM(H1596))=UPPER(TRIM(I1596)),"Self-approved | ",""))&amp;IF(J1596="","No support | ","")&amp;IF(WEEKDAY(B1596,2)&gt;5,"Weekend posting | ","")&amp;IF(COUNTIF(Settings!$A$14:$A$43,B1596)&gt;0,"Holiday posting | ","")&amp;IF(B1596&gt;Settings!$C$8,"Posted after close | ","")&amp;IF(OR(B1596&lt;Settings!$C$6,B1596&gt;Settings!$C$7),"Outside period | ","")&amp;IF(COUNTIF(Settings!$E$14:$E$43,C1596&amp;"")&gt;0,"Sensitive account | ","")&amp;IF(AND(MAX(N(E1596),N(F1596))&gt;=Settings!$C$9,MOD(MAX(N(E1596),N(F1596)),Settings!$C$10)=0),"Round amount | ",""))-3)))</f>
        <v/>
      </c>
      <c r="M1596" s="21" t="str">
        <f aca="false">IF(A1596="","",IF(COUNTIF($A$9:A1596,A1596)=1,MAX($M$8:M1595)+1,""))</f>
        <v/>
      </c>
    </row>
    <row r="1597" customFormat="false" ht="15" hidden="false" customHeight="false" outlineLevel="0" collapsed="false">
      <c r="A1597" s="8"/>
      <c r="B1597" s="17"/>
      <c r="C1597" s="19"/>
      <c r="D1597" s="8"/>
      <c r="E1597" s="18"/>
      <c r="F1597" s="18"/>
      <c r="G1597" s="8"/>
      <c r="H1597" s="8"/>
      <c r="I1597" s="8"/>
      <c r="J1597" s="8"/>
      <c r="K1597" s="10" t="str">
        <f aca="false">IF(A1597="","",IF(ABS(SUMIFS($E$9:$E$2008,$A$9:$A$2008,A1597)-SUMIFS($F$9:$F$2008,$A$9:$A$2008,A1597))&lt;0.5,"Yes","No"))</f>
        <v/>
      </c>
      <c r="L1597" s="10" t="str">
        <f aca="false">IF(A1597="","",IF(IF(K1597="No","Does not balance | ","")&amp;IF(I1597="","Not approved | ",IF(UPPER(TRIM(H1597))=UPPER(TRIM(I1597)),"Self-approved | ",""))&amp;IF(J1597="","No support | ","")&amp;IF(WEEKDAY(B1597,2)&gt;5,"Weekend posting | ","")&amp;IF(COUNTIF(Settings!$A$14:$A$43,B1597)&gt;0,"Holiday posting | ","")&amp;IF(B1597&gt;Settings!$C$8,"Posted after close | ","")&amp;IF(OR(B1597&lt;Settings!$C$6,B1597&gt;Settings!$C$7),"Outside period | ","")&amp;IF(COUNTIF(Settings!$E$14:$E$43,C1597&amp;"")&gt;0,"Sensitive account | ","")&amp;IF(AND(MAX(N(E1597),N(F1597))&gt;=Settings!$C$9,MOD(MAX(N(E1597),N(F1597)),Settings!$C$10)=0),"Round amount | ","")="","",LEFT(IF(K1597="No","Does not balance | ","")&amp;IF(I1597="","Not approved | ",IF(UPPER(TRIM(H1597))=UPPER(TRIM(I1597)),"Self-approved | ",""))&amp;IF(J1597="","No support | ","")&amp;IF(WEEKDAY(B1597,2)&gt;5,"Weekend posting | ","")&amp;IF(COUNTIF(Settings!$A$14:$A$43,B1597)&gt;0,"Holiday posting | ","")&amp;IF(B1597&gt;Settings!$C$8,"Posted after close | ","")&amp;IF(OR(B1597&lt;Settings!$C$6,B1597&gt;Settings!$C$7),"Outside period | ","")&amp;IF(COUNTIF(Settings!$E$14:$E$43,C1597&amp;"")&gt;0,"Sensitive account | ","")&amp;IF(AND(MAX(N(E1597),N(F1597))&gt;=Settings!$C$9,MOD(MAX(N(E1597),N(F1597)),Settings!$C$10)=0),"Round amount | ",""),LEN(IF(K1597="No","Does not balance | ","")&amp;IF(I1597="","Not approved | ",IF(UPPER(TRIM(H1597))=UPPER(TRIM(I1597)),"Self-approved | ",""))&amp;IF(J1597="","No support | ","")&amp;IF(WEEKDAY(B1597,2)&gt;5,"Weekend posting | ","")&amp;IF(COUNTIF(Settings!$A$14:$A$43,B1597)&gt;0,"Holiday posting | ","")&amp;IF(B1597&gt;Settings!$C$8,"Posted after close | ","")&amp;IF(OR(B1597&lt;Settings!$C$6,B1597&gt;Settings!$C$7),"Outside period | ","")&amp;IF(COUNTIF(Settings!$E$14:$E$43,C1597&amp;"")&gt;0,"Sensitive account | ","")&amp;IF(AND(MAX(N(E1597),N(F1597))&gt;=Settings!$C$9,MOD(MAX(N(E1597),N(F1597)),Settings!$C$10)=0),"Round amount | ",""))-3)))</f>
        <v/>
      </c>
      <c r="M1597" s="21" t="str">
        <f aca="false">IF(A1597="","",IF(COUNTIF($A$9:A1597,A1597)=1,MAX($M$8:M1596)+1,""))</f>
        <v/>
      </c>
    </row>
    <row r="1598" customFormat="false" ht="15" hidden="false" customHeight="false" outlineLevel="0" collapsed="false">
      <c r="A1598" s="8"/>
      <c r="B1598" s="17"/>
      <c r="C1598" s="19"/>
      <c r="D1598" s="8"/>
      <c r="E1598" s="18"/>
      <c r="F1598" s="18"/>
      <c r="G1598" s="8"/>
      <c r="H1598" s="8"/>
      <c r="I1598" s="8"/>
      <c r="J1598" s="8"/>
      <c r="K1598" s="10" t="str">
        <f aca="false">IF(A1598="","",IF(ABS(SUMIFS($E$9:$E$2008,$A$9:$A$2008,A1598)-SUMIFS($F$9:$F$2008,$A$9:$A$2008,A1598))&lt;0.5,"Yes","No"))</f>
        <v/>
      </c>
      <c r="L1598" s="10" t="str">
        <f aca="false">IF(A1598="","",IF(IF(K1598="No","Does not balance | ","")&amp;IF(I1598="","Not approved | ",IF(UPPER(TRIM(H1598))=UPPER(TRIM(I1598)),"Self-approved | ",""))&amp;IF(J1598="","No support | ","")&amp;IF(WEEKDAY(B1598,2)&gt;5,"Weekend posting | ","")&amp;IF(COUNTIF(Settings!$A$14:$A$43,B1598)&gt;0,"Holiday posting | ","")&amp;IF(B1598&gt;Settings!$C$8,"Posted after close | ","")&amp;IF(OR(B1598&lt;Settings!$C$6,B1598&gt;Settings!$C$7),"Outside period | ","")&amp;IF(COUNTIF(Settings!$E$14:$E$43,C1598&amp;"")&gt;0,"Sensitive account | ","")&amp;IF(AND(MAX(N(E1598),N(F1598))&gt;=Settings!$C$9,MOD(MAX(N(E1598),N(F1598)),Settings!$C$10)=0),"Round amount | ","")="","",LEFT(IF(K1598="No","Does not balance | ","")&amp;IF(I1598="","Not approved | ",IF(UPPER(TRIM(H1598))=UPPER(TRIM(I1598)),"Self-approved | ",""))&amp;IF(J1598="","No support | ","")&amp;IF(WEEKDAY(B1598,2)&gt;5,"Weekend posting | ","")&amp;IF(COUNTIF(Settings!$A$14:$A$43,B1598)&gt;0,"Holiday posting | ","")&amp;IF(B1598&gt;Settings!$C$8,"Posted after close | ","")&amp;IF(OR(B1598&lt;Settings!$C$6,B1598&gt;Settings!$C$7),"Outside period | ","")&amp;IF(COUNTIF(Settings!$E$14:$E$43,C1598&amp;"")&gt;0,"Sensitive account | ","")&amp;IF(AND(MAX(N(E1598),N(F1598))&gt;=Settings!$C$9,MOD(MAX(N(E1598),N(F1598)),Settings!$C$10)=0),"Round amount | ",""),LEN(IF(K1598="No","Does not balance | ","")&amp;IF(I1598="","Not approved | ",IF(UPPER(TRIM(H1598))=UPPER(TRIM(I1598)),"Self-approved | ",""))&amp;IF(J1598="","No support | ","")&amp;IF(WEEKDAY(B1598,2)&gt;5,"Weekend posting | ","")&amp;IF(COUNTIF(Settings!$A$14:$A$43,B1598)&gt;0,"Holiday posting | ","")&amp;IF(B1598&gt;Settings!$C$8,"Posted after close | ","")&amp;IF(OR(B1598&lt;Settings!$C$6,B1598&gt;Settings!$C$7),"Outside period | ","")&amp;IF(COUNTIF(Settings!$E$14:$E$43,C1598&amp;"")&gt;0,"Sensitive account | ","")&amp;IF(AND(MAX(N(E1598),N(F1598))&gt;=Settings!$C$9,MOD(MAX(N(E1598),N(F1598)),Settings!$C$10)=0),"Round amount | ",""))-3)))</f>
        <v/>
      </c>
      <c r="M1598" s="21" t="str">
        <f aca="false">IF(A1598="","",IF(COUNTIF($A$9:A1598,A1598)=1,MAX($M$8:M1597)+1,""))</f>
        <v/>
      </c>
    </row>
    <row r="1599" customFormat="false" ht="15" hidden="false" customHeight="false" outlineLevel="0" collapsed="false">
      <c r="A1599" s="8"/>
      <c r="B1599" s="17"/>
      <c r="C1599" s="19"/>
      <c r="D1599" s="8"/>
      <c r="E1599" s="18"/>
      <c r="F1599" s="18"/>
      <c r="G1599" s="8"/>
      <c r="H1599" s="8"/>
      <c r="I1599" s="8"/>
      <c r="J1599" s="8"/>
      <c r="K1599" s="10" t="str">
        <f aca="false">IF(A1599="","",IF(ABS(SUMIFS($E$9:$E$2008,$A$9:$A$2008,A1599)-SUMIFS($F$9:$F$2008,$A$9:$A$2008,A1599))&lt;0.5,"Yes","No"))</f>
        <v/>
      </c>
      <c r="L1599" s="10" t="str">
        <f aca="false">IF(A1599="","",IF(IF(K1599="No","Does not balance | ","")&amp;IF(I1599="","Not approved | ",IF(UPPER(TRIM(H1599))=UPPER(TRIM(I1599)),"Self-approved | ",""))&amp;IF(J1599="","No support | ","")&amp;IF(WEEKDAY(B1599,2)&gt;5,"Weekend posting | ","")&amp;IF(COUNTIF(Settings!$A$14:$A$43,B1599)&gt;0,"Holiday posting | ","")&amp;IF(B1599&gt;Settings!$C$8,"Posted after close | ","")&amp;IF(OR(B1599&lt;Settings!$C$6,B1599&gt;Settings!$C$7),"Outside period | ","")&amp;IF(COUNTIF(Settings!$E$14:$E$43,C1599&amp;"")&gt;0,"Sensitive account | ","")&amp;IF(AND(MAX(N(E1599),N(F1599))&gt;=Settings!$C$9,MOD(MAX(N(E1599),N(F1599)),Settings!$C$10)=0),"Round amount | ","")="","",LEFT(IF(K1599="No","Does not balance | ","")&amp;IF(I1599="","Not approved | ",IF(UPPER(TRIM(H1599))=UPPER(TRIM(I1599)),"Self-approved | ",""))&amp;IF(J1599="","No support | ","")&amp;IF(WEEKDAY(B1599,2)&gt;5,"Weekend posting | ","")&amp;IF(COUNTIF(Settings!$A$14:$A$43,B1599)&gt;0,"Holiday posting | ","")&amp;IF(B1599&gt;Settings!$C$8,"Posted after close | ","")&amp;IF(OR(B1599&lt;Settings!$C$6,B1599&gt;Settings!$C$7),"Outside period | ","")&amp;IF(COUNTIF(Settings!$E$14:$E$43,C1599&amp;"")&gt;0,"Sensitive account | ","")&amp;IF(AND(MAX(N(E1599),N(F1599))&gt;=Settings!$C$9,MOD(MAX(N(E1599),N(F1599)),Settings!$C$10)=0),"Round amount | ",""),LEN(IF(K1599="No","Does not balance | ","")&amp;IF(I1599="","Not approved | ",IF(UPPER(TRIM(H1599))=UPPER(TRIM(I1599)),"Self-approved | ",""))&amp;IF(J1599="","No support | ","")&amp;IF(WEEKDAY(B1599,2)&gt;5,"Weekend posting | ","")&amp;IF(COUNTIF(Settings!$A$14:$A$43,B1599)&gt;0,"Holiday posting | ","")&amp;IF(B1599&gt;Settings!$C$8,"Posted after close | ","")&amp;IF(OR(B1599&lt;Settings!$C$6,B1599&gt;Settings!$C$7),"Outside period | ","")&amp;IF(COUNTIF(Settings!$E$14:$E$43,C1599&amp;"")&gt;0,"Sensitive account | ","")&amp;IF(AND(MAX(N(E1599),N(F1599))&gt;=Settings!$C$9,MOD(MAX(N(E1599),N(F1599)),Settings!$C$10)=0),"Round amount | ",""))-3)))</f>
        <v/>
      </c>
      <c r="M1599" s="21" t="str">
        <f aca="false">IF(A1599="","",IF(COUNTIF($A$9:A1599,A1599)=1,MAX($M$8:M1598)+1,""))</f>
        <v/>
      </c>
    </row>
    <row r="1600" customFormat="false" ht="15" hidden="false" customHeight="false" outlineLevel="0" collapsed="false">
      <c r="A1600" s="8"/>
      <c r="B1600" s="17"/>
      <c r="C1600" s="19"/>
      <c r="D1600" s="8"/>
      <c r="E1600" s="18"/>
      <c r="F1600" s="18"/>
      <c r="G1600" s="8"/>
      <c r="H1600" s="8"/>
      <c r="I1600" s="8"/>
      <c r="J1600" s="8"/>
      <c r="K1600" s="10" t="str">
        <f aca="false">IF(A1600="","",IF(ABS(SUMIFS($E$9:$E$2008,$A$9:$A$2008,A1600)-SUMIFS($F$9:$F$2008,$A$9:$A$2008,A1600))&lt;0.5,"Yes","No"))</f>
        <v/>
      </c>
      <c r="L1600" s="10" t="str">
        <f aca="false">IF(A1600="","",IF(IF(K1600="No","Does not balance | ","")&amp;IF(I1600="","Not approved | ",IF(UPPER(TRIM(H1600))=UPPER(TRIM(I1600)),"Self-approved | ",""))&amp;IF(J1600="","No support | ","")&amp;IF(WEEKDAY(B1600,2)&gt;5,"Weekend posting | ","")&amp;IF(COUNTIF(Settings!$A$14:$A$43,B1600)&gt;0,"Holiday posting | ","")&amp;IF(B1600&gt;Settings!$C$8,"Posted after close | ","")&amp;IF(OR(B1600&lt;Settings!$C$6,B1600&gt;Settings!$C$7),"Outside period | ","")&amp;IF(COUNTIF(Settings!$E$14:$E$43,C1600&amp;"")&gt;0,"Sensitive account | ","")&amp;IF(AND(MAX(N(E1600),N(F1600))&gt;=Settings!$C$9,MOD(MAX(N(E1600),N(F1600)),Settings!$C$10)=0),"Round amount | ","")="","",LEFT(IF(K1600="No","Does not balance | ","")&amp;IF(I1600="","Not approved | ",IF(UPPER(TRIM(H1600))=UPPER(TRIM(I1600)),"Self-approved | ",""))&amp;IF(J1600="","No support | ","")&amp;IF(WEEKDAY(B1600,2)&gt;5,"Weekend posting | ","")&amp;IF(COUNTIF(Settings!$A$14:$A$43,B1600)&gt;0,"Holiday posting | ","")&amp;IF(B1600&gt;Settings!$C$8,"Posted after close | ","")&amp;IF(OR(B1600&lt;Settings!$C$6,B1600&gt;Settings!$C$7),"Outside period | ","")&amp;IF(COUNTIF(Settings!$E$14:$E$43,C1600&amp;"")&gt;0,"Sensitive account | ","")&amp;IF(AND(MAX(N(E1600),N(F1600))&gt;=Settings!$C$9,MOD(MAX(N(E1600),N(F1600)),Settings!$C$10)=0),"Round amount | ",""),LEN(IF(K1600="No","Does not balance | ","")&amp;IF(I1600="","Not approved | ",IF(UPPER(TRIM(H1600))=UPPER(TRIM(I1600)),"Self-approved | ",""))&amp;IF(J1600="","No support | ","")&amp;IF(WEEKDAY(B1600,2)&gt;5,"Weekend posting | ","")&amp;IF(COUNTIF(Settings!$A$14:$A$43,B1600)&gt;0,"Holiday posting | ","")&amp;IF(B1600&gt;Settings!$C$8,"Posted after close | ","")&amp;IF(OR(B1600&lt;Settings!$C$6,B1600&gt;Settings!$C$7),"Outside period | ","")&amp;IF(COUNTIF(Settings!$E$14:$E$43,C1600&amp;"")&gt;0,"Sensitive account | ","")&amp;IF(AND(MAX(N(E1600),N(F1600))&gt;=Settings!$C$9,MOD(MAX(N(E1600),N(F1600)),Settings!$C$10)=0),"Round amount | ",""))-3)))</f>
        <v/>
      </c>
      <c r="M1600" s="21" t="str">
        <f aca="false">IF(A1600="","",IF(COUNTIF($A$9:A1600,A1600)=1,MAX($M$8:M1599)+1,""))</f>
        <v/>
      </c>
    </row>
    <row r="1601" customFormat="false" ht="15" hidden="false" customHeight="false" outlineLevel="0" collapsed="false">
      <c r="A1601" s="8"/>
      <c r="B1601" s="17"/>
      <c r="C1601" s="19"/>
      <c r="D1601" s="8"/>
      <c r="E1601" s="18"/>
      <c r="F1601" s="18"/>
      <c r="G1601" s="8"/>
      <c r="H1601" s="8"/>
      <c r="I1601" s="8"/>
      <c r="J1601" s="8"/>
      <c r="K1601" s="10" t="str">
        <f aca="false">IF(A1601="","",IF(ABS(SUMIFS($E$9:$E$2008,$A$9:$A$2008,A1601)-SUMIFS($F$9:$F$2008,$A$9:$A$2008,A1601))&lt;0.5,"Yes","No"))</f>
        <v/>
      </c>
      <c r="L1601" s="10" t="str">
        <f aca="false">IF(A1601="","",IF(IF(K1601="No","Does not balance | ","")&amp;IF(I1601="","Not approved | ",IF(UPPER(TRIM(H1601))=UPPER(TRIM(I1601)),"Self-approved | ",""))&amp;IF(J1601="","No support | ","")&amp;IF(WEEKDAY(B1601,2)&gt;5,"Weekend posting | ","")&amp;IF(COUNTIF(Settings!$A$14:$A$43,B1601)&gt;0,"Holiday posting | ","")&amp;IF(B1601&gt;Settings!$C$8,"Posted after close | ","")&amp;IF(OR(B1601&lt;Settings!$C$6,B1601&gt;Settings!$C$7),"Outside period | ","")&amp;IF(COUNTIF(Settings!$E$14:$E$43,C1601&amp;"")&gt;0,"Sensitive account | ","")&amp;IF(AND(MAX(N(E1601),N(F1601))&gt;=Settings!$C$9,MOD(MAX(N(E1601),N(F1601)),Settings!$C$10)=0),"Round amount | ","")="","",LEFT(IF(K1601="No","Does not balance | ","")&amp;IF(I1601="","Not approved | ",IF(UPPER(TRIM(H1601))=UPPER(TRIM(I1601)),"Self-approved | ",""))&amp;IF(J1601="","No support | ","")&amp;IF(WEEKDAY(B1601,2)&gt;5,"Weekend posting | ","")&amp;IF(COUNTIF(Settings!$A$14:$A$43,B1601)&gt;0,"Holiday posting | ","")&amp;IF(B1601&gt;Settings!$C$8,"Posted after close | ","")&amp;IF(OR(B1601&lt;Settings!$C$6,B1601&gt;Settings!$C$7),"Outside period | ","")&amp;IF(COUNTIF(Settings!$E$14:$E$43,C1601&amp;"")&gt;0,"Sensitive account | ","")&amp;IF(AND(MAX(N(E1601),N(F1601))&gt;=Settings!$C$9,MOD(MAX(N(E1601),N(F1601)),Settings!$C$10)=0),"Round amount | ",""),LEN(IF(K1601="No","Does not balance | ","")&amp;IF(I1601="","Not approved | ",IF(UPPER(TRIM(H1601))=UPPER(TRIM(I1601)),"Self-approved | ",""))&amp;IF(J1601="","No support | ","")&amp;IF(WEEKDAY(B1601,2)&gt;5,"Weekend posting | ","")&amp;IF(COUNTIF(Settings!$A$14:$A$43,B1601)&gt;0,"Holiday posting | ","")&amp;IF(B1601&gt;Settings!$C$8,"Posted after close | ","")&amp;IF(OR(B1601&lt;Settings!$C$6,B1601&gt;Settings!$C$7),"Outside period | ","")&amp;IF(COUNTIF(Settings!$E$14:$E$43,C1601&amp;"")&gt;0,"Sensitive account | ","")&amp;IF(AND(MAX(N(E1601),N(F1601))&gt;=Settings!$C$9,MOD(MAX(N(E1601),N(F1601)),Settings!$C$10)=0),"Round amount | ",""))-3)))</f>
        <v/>
      </c>
      <c r="M1601" s="21" t="str">
        <f aca="false">IF(A1601="","",IF(COUNTIF($A$9:A1601,A1601)=1,MAX($M$8:M1600)+1,""))</f>
        <v/>
      </c>
    </row>
    <row r="1602" customFormat="false" ht="15" hidden="false" customHeight="false" outlineLevel="0" collapsed="false">
      <c r="A1602" s="8"/>
      <c r="B1602" s="17"/>
      <c r="C1602" s="19"/>
      <c r="D1602" s="8"/>
      <c r="E1602" s="18"/>
      <c r="F1602" s="18"/>
      <c r="G1602" s="8"/>
      <c r="H1602" s="8"/>
      <c r="I1602" s="8"/>
      <c r="J1602" s="8"/>
      <c r="K1602" s="10" t="str">
        <f aca="false">IF(A1602="","",IF(ABS(SUMIFS($E$9:$E$2008,$A$9:$A$2008,A1602)-SUMIFS($F$9:$F$2008,$A$9:$A$2008,A1602))&lt;0.5,"Yes","No"))</f>
        <v/>
      </c>
      <c r="L1602" s="10" t="str">
        <f aca="false">IF(A1602="","",IF(IF(K1602="No","Does not balance | ","")&amp;IF(I1602="","Not approved | ",IF(UPPER(TRIM(H1602))=UPPER(TRIM(I1602)),"Self-approved | ",""))&amp;IF(J1602="","No support | ","")&amp;IF(WEEKDAY(B1602,2)&gt;5,"Weekend posting | ","")&amp;IF(COUNTIF(Settings!$A$14:$A$43,B1602)&gt;0,"Holiday posting | ","")&amp;IF(B1602&gt;Settings!$C$8,"Posted after close | ","")&amp;IF(OR(B1602&lt;Settings!$C$6,B1602&gt;Settings!$C$7),"Outside period | ","")&amp;IF(COUNTIF(Settings!$E$14:$E$43,C1602&amp;"")&gt;0,"Sensitive account | ","")&amp;IF(AND(MAX(N(E1602),N(F1602))&gt;=Settings!$C$9,MOD(MAX(N(E1602),N(F1602)),Settings!$C$10)=0),"Round amount | ","")="","",LEFT(IF(K1602="No","Does not balance | ","")&amp;IF(I1602="","Not approved | ",IF(UPPER(TRIM(H1602))=UPPER(TRIM(I1602)),"Self-approved | ",""))&amp;IF(J1602="","No support | ","")&amp;IF(WEEKDAY(B1602,2)&gt;5,"Weekend posting | ","")&amp;IF(COUNTIF(Settings!$A$14:$A$43,B1602)&gt;0,"Holiday posting | ","")&amp;IF(B1602&gt;Settings!$C$8,"Posted after close | ","")&amp;IF(OR(B1602&lt;Settings!$C$6,B1602&gt;Settings!$C$7),"Outside period | ","")&amp;IF(COUNTIF(Settings!$E$14:$E$43,C1602&amp;"")&gt;0,"Sensitive account | ","")&amp;IF(AND(MAX(N(E1602),N(F1602))&gt;=Settings!$C$9,MOD(MAX(N(E1602),N(F1602)),Settings!$C$10)=0),"Round amount | ",""),LEN(IF(K1602="No","Does not balance | ","")&amp;IF(I1602="","Not approved | ",IF(UPPER(TRIM(H1602))=UPPER(TRIM(I1602)),"Self-approved | ",""))&amp;IF(J1602="","No support | ","")&amp;IF(WEEKDAY(B1602,2)&gt;5,"Weekend posting | ","")&amp;IF(COUNTIF(Settings!$A$14:$A$43,B1602)&gt;0,"Holiday posting | ","")&amp;IF(B1602&gt;Settings!$C$8,"Posted after close | ","")&amp;IF(OR(B1602&lt;Settings!$C$6,B1602&gt;Settings!$C$7),"Outside period | ","")&amp;IF(COUNTIF(Settings!$E$14:$E$43,C1602&amp;"")&gt;0,"Sensitive account | ","")&amp;IF(AND(MAX(N(E1602),N(F1602))&gt;=Settings!$C$9,MOD(MAX(N(E1602),N(F1602)),Settings!$C$10)=0),"Round amount | ",""))-3)))</f>
        <v/>
      </c>
      <c r="M1602" s="21" t="str">
        <f aca="false">IF(A1602="","",IF(COUNTIF($A$9:A1602,A1602)=1,MAX($M$8:M1601)+1,""))</f>
        <v/>
      </c>
    </row>
    <row r="1603" customFormat="false" ht="15" hidden="false" customHeight="false" outlineLevel="0" collapsed="false">
      <c r="A1603" s="8"/>
      <c r="B1603" s="17"/>
      <c r="C1603" s="19"/>
      <c r="D1603" s="8"/>
      <c r="E1603" s="18"/>
      <c r="F1603" s="18"/>
      <c r="G1603" s="8"/>
      <c r="H1603" s="8"/>
      <c r="I1603" s="8"/>
      <c r="J1603" s="8"/>
      <c r="K1603" s="10" t="str">
        <f aca="false">IF(A1603="","",IF(ABS(SUMIFS($E$9:$E$2008,$A$9:$A$2008,A1603)-SUMIFS($F$9:$F$2008,$A$9:$A$2008,A1603))&lt;0.5,"Yes","No"))</f>
        <v/>
      </c>
      <c r="L1603" s="10" t="str">
        <f aca="false">IF(A1603="","",IF(IF(K1603="No","Does not balance | ","")&amp;IF(I1603="","Not approved | ",IF(UPPER(TRIM(H1603))=UPPER(TRIM(I1603)),"Self-approved | ",""))&amp;IF(J1603="","No support | ","")&amp;IF(WEEKDAY(B1603,2)&gt;5,"Weekend posting | ","")&amp;IF(COUNTIF(Settings!$A$14:$A$43,B1603)&gt;0,"Holiday posting | ","")&amp;IF(B1603&gt;Settings!$C$8,"Posted after close | ","")&amp;IF(OR(B1603&lt;Settings!$C$6,B1603&gt;Settings!$C$7),"Outside period | ","")&amp;IF(COUNTIF(Settings!$E$14:$E$43,C1603&amp;"")&gt;0,"Sensitive account | ","")&amp;IF(AND(MAX(N(E1603),N(F1603))&gt;=Settings!$C$9,MOD(MAX(N(E1603),N(F1603)),Settings!$C$10)=0),"Round amount | ","")="","",LEFT(IF(K1603="No","Does not balance | ","")&amp;IF(I1603="","Not approved | ",IF(UPPER(TRIM(H1603))=UPPER(TRIM(I1603)),"Self-approved | ",""))&amp;IF(J1603="","No support | ","")&amp;IF(WEEKDAY(B1603,2)&gt;5,"Weekend posting | ","")&amp;IF(COUNTIF(Settings!$A$14:$A$43,B1603)&gt;0,"Holiday posting | ","")&amp;IF(B1603&gt;Settings!$C$8,"Posted after close | ","")&amp;IF(OR(B1603&lt;Settings!$C$6,B1603&gt;Settings!$C$7),"Outside period | ","")&amp;IF(COUNTIF(Settings!$E$14:$E$43,C1603&amp;"")&gt;0,"Sensitive account | ","")&amp;IF(AND(MAX(N(E1603),N(F1603))&gt;=Settings!$C$9,MOD(MAX(N(E1603),N(F1603)),Settings!$C$10)=0),"Round amount | ",""),LEN(IF(K1603="No","Does not balance | ","")&amp;IF(I1603="","Not approved | ",IF(UPPER(TRIM(H1603))=UPPER(TRIM(I1603)),"Self-approved | ",""))&amp;IF(J1603="","No support | ","")&amp;IF(WEEKDAY(B1603,2)&gt;5,"Weekend posting | ","")&amp;IF(COUNTIF(Settings!$A$14:$A$43,B1603)&gt;0,"Holiday posting | ","")&amp;IF(B1603&gt;Settings!$C$8,"Posted after close | ","")&amp;IF(OR(B1603&lt;Settings!$C$6,B1603&gt;Settings!$C$7),"Outside period | ","")&amp;IF(COUNTIF(Settings!$E$14:$E$43,C1603&amp;"")&gt;0,"Sensitive account | ","")&amp;IF(AND(MAX(N(E1603),N(F1603))&gt;=Settings!$C$9,MOD(MAX(N(E1603),N(F1603)),Settings!$C$10)=0),"Round amount | ",""))-3)))</f>
        <v/>
      </c>
      <c r="M1603" s="21" t="str">
        <f aca="false">IF(A1603="","",IF(COUNTIF($A$9:A1603,A1603)=1,MAX($M$8:M1602)+1,""))</f>
        <v/>
      </c>
    </row>
    <row r="1604" customFormat="false" ht="15" hidden="false" customHeight="false" outlineLevel="0" collapsed="false">
      <c r="A1604" s="8"/>
      <c r="B1604" s="17"/>
      <c r="C1604" s="19"/>
      <c r="D1604" s="8"/>
      <c r="E1604" s="18"/>
      <c r="F1604" s="18"/>
      <c r="G1604" s="8"/>
      <c r="H1604" s="8"/>
      <c r="I1604" s="8"/>
      <c r="J1604" s="8"/>
      <c r="K1604" s="10" t="str">
        <f aca="false">IF(A1604="","",IF(ABS(SUMIFS($E$9:$E$2008,$A$9:$A$2008,A1604)-SUMIFS($F$9:$F$2008,$A$9:$A$2008,A1604))&lt;0.5,"Yes","No"))</f>
        <v/>
      </c>
      <c r="L1604" s="10" t="str">
        <f aca="false">IF(A1604="","",IF(IF(K1604="No","Does not balance | ","")&amp;IF(I1604="","Not approved | ",IF(UPPER(TRIM(H1604))=UPPER(TRIM(I1604)),"Self-approved | ",""))&amp;IF(J1604="","No support | ","")&amp;IF(WEEKDAY(B1604,2)&gt;5,"Weekend posting | ","")&amp;IF(COUNTIF(Settings!$A$14:$A$43,B1604)&gt;0,"Holiday posting | ","")&amp;IF(B1604&gt;Settings!$C$8,"Posted after close | ","")&amp;IF(OR(B1604&lt;Settings!$C$6,B1604&gt;Settings!$C$7),"Outside period | ","")&amp;IF(COUNTIF(Settings!$E$14:$E$43,C1604&amp;"")&gt;0,"Sensitive account | ","")&amp;IF(AND(MAX(N(E1604),N(F1604))&gt;=Settings!$C$9,MOD(MAX(N(E1604),N(F1604)),Settings!$C$10)=0),"Round amount | ","")="","",LEFT(IF(K1604="No","Does not balance | ","")&amp;IF(I1604="","Not approved | ",IF(UPPER(TRIM(H1604))=UPPER(TRIM(I1604)),"Self-approved | ",""))&amp;IF(J1604="","No support | ","")&amp;IF(WEEKDAY(B1604,2)&gt;5,"Weekend posting | ","")&amp;IF(COUNTIF(Settings!$A$14:$A$43,B1604)&gt;0,"Holiday posting | ","")&amp;IF(B1604&gt;Settings!$C$8,"Posted after close | ","")&amp;IF(OR(B1604&lt;Settings!$C$6,B1604&gt;Settings!$C$7),"Outside period | ","")&amp;IF(COUNTIF(Settings!$E$14:$E$43,C1604&amp;"")&gt;0,"Sensitive account | ","")&amp;IF(AND(MAX(N(E1604),N(F1604))&gt;=Settings!$C$9,MOD(MAX(N(E1604),N(F1604)),Settings!$C$10)=0),"Round amount | ",""),LEN(IF(K1604="No","Does not balance | ","")&amp;IF(I1604="","Not approved | ",IF(UPPER(TRIM(H1604))=UPPER(TRIM(I1604)),"Self-approved | ",""))&amp;IF(J1604="","No support | ","")&amp;IF(WEEKDAY(B1604,2)&gt;5,"Weekend posting | ","")&amp;IF(COUNTIF(Settings!$A$14:$A$43,B1604)&gt;0,"Holiday posting | ","")&amp;IF(B1604&gt;Settings!$C$8,"Posted after close | ","")&amp;IF(OR(B1604&lt;Settings!$C$6,B1604&gt;Settings!$C$7),"Outside period | ","")&amp;IF(COUNTIF(Settings!$E$14:$E$43,C1604&amp;"")&gt;0,"Sensitive account | ","")&amp;IF(AND(MAX(N(E1604),N(F1604))&gt;=Settings!$C$9,MOD(MAX(N(E1604),N(F1604)),Settings!$C$10)=0),"Round amount | ",""))-3)))</f>
        <v/>
      </c>
      <c r="M1604" s="21" t="str">
        <f aca="false">IF(A1604="","",IF(COUNTIF($A$9:A1604,A1604)=1,MAX($M$8:M1603)+1,""))</f>
        <v/>
      </c>
    </row>
    <row r="1605" customFormat="false" ht="15" hidden="false" customHeight="false" outlineLevel="0" collapsed="false">
      <c r="A1605" s="8"/>
      <c r="B1605" s="17"/>
      <c r="C1605" s="19"/>
      <c r="D1605" s="8"/>
      <c r="E1605" s="18"/>
      <c r="F1605" s="18"/>
      <c r="G1605" s="8"/>
      <c r="H1605" s="8"/>
      <c r="I1605" s="8"/>
      <c r="J1605" s="8"/>
      <c r="K1605" s="10" t="str">
        <f aca="false">IF(A1605="","",IF(ABS(SUMIFS($E$9:$E$2008,$A$9:$A$2008,A1605)-SUMIFS($F$9:$F$2008,$A$9:$A$2008,A1605))&lt;0.5,"Yes","No"))</f>
        <v/>
      </c>
      <c r="L1605" s="10" t="str">
        <f aca="false">IF(A1605="","",IF(IF(K1605="No","Does not balance | ","")&amp;IF(I1605="","Not approved | ",IF(UPPER(TRIM(H1605))=UPPER(TRIM(I1605)),"Self-approved | ",""))&amp;IF(J1605="","No support | ","")&amp;IF(WEEKDAY(B1605,2)&gt;5,"Weekend posting | ","")&amp;IF(COUNTIF(Settings!$A$14:$A$43,B1605)&gt;0,"Holiday posting | ","")&amp;IF(B1605&gt;Settings!$C$8,"Posted after close | ","")&amp;IF(OR(B1605&lt;Settings!$C$6,B1605&gt;Settings!$C$7),"Outside period | ","")&amp;IF(COUNTIF(Settings!$E$14:$E$43,C1605&amp;"")&gt;0,"Sensitive account | ","")&amp;IF(AND(MAX(N(E1605),N(F1605))&gt;=Settings!$C$9,MOD(MAX(N(E1605),N(F1605)),Settings!$C$10)=0),"Round amount | ","")="","",LEFT(IF(K1605="No","Does not balance | ","")&amp;IF(I1605="","Not approved | ",IF(UPPER(TRIM(H1605))=UPPER(TRIM(I1605)),"Self-approved | ",""))&amp;IF(J1605="","No support | ","")&amp;IF(WEEKDAY(B1605,2)&gt;5,"Weekend posting | ","")&amp;IF(COUNTIF(Settings!$A$14:$A$43,B1605)&gt;0,"Holiday posting | ","")&amp;IF(B1605&gt;Settings!$C$8,"Posted after close | ","")&amp;IF(OR(B1605&lt;Settings!$C$6,B1605&gt;Settings!$C$7),"Outside period | ","")&amp;IF(COUNTIF(Settings!$E$14:$E$43,C1605&amp;"")&gt;0,"Sensitive account | ","")&amp;IF(AND(MAX(N(E1605),N(F1605))&gt;=Settings!$C$9,MOD(MAX(N(E1605),N(F1605)),Settings!$C$10)=0),"Round amount | ",""),LEN(IF(K1605="No","Does not balance | ","")&amp;IF(I1605="","Not approved | ",IF(UPPER(TRIM(H1605))=UPPER(TRIM(I1605)),"Self-approved | ",""))&amp;IF(J1605="","No support | ","")&amp;IF(WEEKDAY(B1605,2)&gt;5,"Weekend posting | ","")&amp;IF(COUNTIF(Settings!$A$14:$A$43,B1605)&gt;0,"Holiday posting | ","")&amp;IF(B1605&gt;Settings!$C$8,"Posted after close | ","")&amp;IF(OR(B1605&lt;Settings!$C$6,B1605&gt;Settings!$C$7),"Outside period | ","")&amp;IF(COUNTIF(Settings!$E$14:$E$43,C1605&amp;"")&gt;0,"Sensitive account | ","")&amp;IF(AND(MAX(N(E1605),N(F1605))&gt;=Settings!$C$9,MOD(MAX(N(E1605),N(F1605)),Settings!$C$10)=0),"Round amount | ",""))-3)))</f>
        <v/>
      </c>
      <c r="M1605" s="21" t="str">
        <f aca="false">IF(A1605="","",IF(COUNTIF($A$9:A1605,A1605)=1,MAX($M$8:M1604)+1,""))</f>
        <v/>
      </c>
    </row>
    <row r="1606" customFormat="false" ht="15" hidden="false" customHeight="false" outlineLevel="0" collapsed="false">
      <c r="A1606" s="8"/>
      <c r="B1606" s="17"/>
      <c r="C1606" s="19"/>
      <c r="D1606" s="8"/>
      <c r="E1606" s="18"/>
      <c r="F1606" s="18"/>
      <c r="G1606" s="8"/>
      <c r="H1606" s="8"/>
      <c r="I1606" s="8"/>
      <c r="J1606" s="8"/>
      <c r="K1606" s="10" t="str">
        <f aca="false">IF(A1606="","",IF(ABS(SUMIFS($E$9:$E$2008,$A$9:$A$2008,A1606)-SUMIFS($F$9:$F$2008,$A$9:$A$2008,A1606))&lt;0.5,"Yes","No"))</f>
        <v/>
      </c>
      <c r="L1606" s="10" t="str">
        <f aca="false">IF(A1606="","",IF(IF(K1606="No","Does not balance | ","")&amp;IF(I1606="","Not approved | ",IF(UPPER(TRIM(H1606))=UPPER(TRIM(I1606)),"Self-approved | ",""))&amp;IF(J1606="","No support | ","")&amp;IF(WEEKDAY(B1606,2)&gt;5,"Weekend posting | ","")&amp;IF(COUNTIF(Settings!$A$14:$A$43,B1606)&gt;0,"Holiday posting | ","")&amp;IF(B1606&gt;Settings!$C$8,"Posted after close | ","")&amp;IF(OR(B1606&lt;Settings!$C$6,B1606&gt;Settings!$C$7),"Outside period | ","")&amp;IF(COUNTIF(Settings!$E$14:$E$43,C1606&amp;"")&gt;0,"Sensitive account | ","")&amp;IF(AND(MAX(N(E1606),N(F1606))&gt;=Settings!$C$9,MOD(MAX(N(E1606),N(F1606)),Settings!$C$10)=0),"Round amount | ","")="","",LEFT(IF(K1606="No","Does not balance | ","")&amp;IF(I1606="","Not approved | ",IF(UPPER(TRIM(H1606))=UPPER(TRIM(I1606)),"Self-approved | ",""))&amp;IF(J1606="","No support | ","")&amp;IF(WEEKDAY(B1606,2)&gt;5,"Weekend posting | ","")&amp;IF(COUNTIF(Settings!$A$14:$A$43,B1606)&gt;0,"Holiday posting | ","")&amp;IF(B1606&gt;Settings!$C$8,"Posted after close | ","")&amp;IF(OR(B1606&lt;Settings!$C$6,B1606&gt;Settings!$C$7),"Outside period | ","")&amp;IF(COUNTIF(Settings!$E$14:$E$43,C1606&amp;"")&gt;0,"Sensitive account | ","")&amp;IF(AND(MAX(N(E1606),N(F1606))&gt;=Settings!$C$9,MOD(MAX(N(E1606),N(F1606)),Settings!$C$10)=0),"Round amount | ",""),LEN(IF(K1606="No","Does not balance | ","")&amp;IF(I1606="","Not approved | ",IF(UPPER(TRIM(H1606))=UPPER(TRIM(I1606)),"Self-approved | ",""))&amp;IF(J1606="","No support | ","")&amp;IF(WEEKDAY(B1606,2)&gt;5,"Weekend posting | ","")&amp;IF(COUNTIF(Settings!$A$14:$A$43,B1606)&gt;0,"Holiday posting | ","")&amp;IF(B1606&gt;Settings!$C$8,"Posted after close | ","")&amp;IF(OR(B1606&lt;Settings!$C$6,B1606&gt;Settings!$C$7),"Outside period | ","")&amp;IF(COUNTIF(Settings!$E$14:$E$43,C1606&amp;"")&gt;0,"Sensitive account | ","")&amp;IF(AND(MAX(N(E1606),N(F1606))&gt;=Settings!$C$9,MOD(MAX(N(E1606),N(F1606)),Settings!$C$10)=0),"Round amount | ",""))-3)))</f>
        <v/>
      </c>
      <c r="M1606" s="21" t="str">
        <f aca="false">IF(A1606="","",IF(COUNTIF($A$9:A1606,A1606)=1,MAX($M$8:M1605)+1,""))</f>
        <v/>
      </c>
    </row>
    <row r="1607" customFormat="false" ht="15" hidden="false" customHeight="false" outlineLevel="0" collapsed="false">
      <c r="A1607" s="8"/>
      <c r="B1607" s="17"/>
      <c r="C1607" s="19"/>
      <c r="D1607" s="8"/>
      <c r="E1607" s="18"/>
      <c r="F1607" s="18"/>
      <c r="G1607" s="8"/>
      <c r="H1607" s="8"/>
      <c r="I1607" s="8"/>
      <c r="J1607" s="8"/>
      <c r="K1607" s="10" t="str">
        <f aca="false">IF(A1607="","",IF(ABS(SUMIFS($E$9:$E$2008,$A$9:$A$2008,A1607)-SUMIFS($F$9:$F$2008,$A$9:$A$2008,A1607))&lt;0.5,"Yes","No"))</f>
        <v/>
      </c>
      <c r="L1607" s="10" t="str">
        <f aca="false">IF(A1607="","",IF(IF(K1607="No","Does not balance | ","")&amp;IF(I1607="","Not approved | ",IF(UPPER(TRIM(H1607))=UPPER(TRIM(I1607)),"Self-approved | ",""))&amp;IF(J1607="","No support | ","")&amp;IF(WEEKDAY(B1607,2)&gt;5,"Weekend posting | ","")&amp;IF(COUNTIF(Settings!$A$14:$A$43,B1607)&gt;0,"Holiday posting | ","")&amp;IF(B1607&gt;Settings!$C$8,"Posted after close | ","")&amp;IF(OR(B1607&lt;Settings!$C$6,B1607&gt;Settings!$C$7),"Outside period | ","")&amp;IF(COUNTIF(Settings!$E$14:$E$43,C1607&amp;"")&gt;0,"Sensitive account | ","")&amp;IF(AND(MAX(N(E1607),N(F1607))&gt;=Settings!$C$9,MOD(MAX(N(E1607),N(F1607)),Settings!$C$10)=0),"Round amount | ","")="","",LEFT(IF(K1607="No","Does not balance | ","")&amp;IF(I1607="","Not approved | ",IF(UPPER(TRIM(H1607))=UPPER(TRIM(I1607)),"Self-approved | ",""))&amp;IF(J1607="","No support | ","")&amp;IF(WEEKDAY(B1607,2)&gt;5,"Weekend posting | ","")&amp;IF(COUNTIF(Settings!$A$14:$A$43,B1607)&gt;0,"Holiday posting | ","")&amp;IF(B1607&gt;Settings!$C$8,"Posted after close | ","")&amp;IF(OR(B1607&lt;Settings!$C$6,B1607&gt;Settings!$C$7),"Outside period | ","")&amp;IF(COUNTIF(Settings!$E$14:$E$43,C1607&amp;"")&gt;0,"Sensitive account | ","")&amp;IF(AND(MAX(N(E1607),N(F1607))&gt;=Settings!$C$9,MOD(MAX(N(E1607),N(F1607)),Settings!$C$10)=0),"Round amount | ",""),LEN(IF(K1607="No","Does not balance | ","")&amp;IF(I1607="","Not approved | ",IF(UPPER(TRIM(H1607))=UPPER(TRIM(I1607)),"Self-approved | ",""))&amp;IF(J1607="","No support | ","")&amp;IF(WEEKDAY(B1607,2)&gt;5,"Weekend posting | ","")&amp;IF(COUNTIF(Settings!$A$14:$A$43,B1607)&gt;0,"Holiday posting | ","")&amp;IF(B1607&gt;Settings!$C$8,"Posted after close | ","")&amp;IF(OR(B1607&lt;Settings!$C$6,B1607&gt;Settings!$C$7),"Outside period | ","")&amp;IF(COUNTIF(Settings!$E$14:$E$43,C1607&amp;"")&gt;0,"Sensitive account | ","")&amp;IF(AND(MAX(N(E1607),N(F1607))&gt;=Settings!$C$9,MOD(MAX(N(E1607),N(F1607)),Settings!$C$10)=0),"Round amount | ",""))-3)))</f>
        <v/>
      </c>
      <c r="M1607" s="21" t="str">
        <f aca="false">IF(A1607="","",IF(COUNTIF($A$9:A1607,A1607)=1,MAX($M$8:M1606)+1,""))</f>
        <v/>
      </c>
    </row>
    <row r="1608" customFormat="false" ht="15" hidden="false" customHeight="false" outlineLevel="0" collapsed="false">
      <c r="A1608" s="8"/>
      <c r="B1608" s="17"/>
      <c r="C1608" s="19"/>
      <c r="D1608" s="8"/>
      <c r="E1608" s="18"/>
      <c r="F1608" s="18"/>
      <c r="G1608" s="8"/>
      <c r="H1608" s="8"/>
      <c r="I1608" s="8"/>
      <c r="J1608" s="8"/>
      <c r="K1608" s="10" t="str">
        <f aca="false">IF(A1608="","",IF(ABS(SUMIFS($E$9:$E$2008,$A$9:$A$2008,A1608)-SUMIFS($F$9:$F$2008,$A$9:$A$2008,A1608))&lt;0.5,"Yes","No"))</f>
        <v/>
      </c>
      <c r="L1608" s="10" t="str">
        <f aca="false">IF(A1608="","",IF(IF(K1608="No","Does not balance | ","")&amp;IF(I1608="","Not approved | ",IF(UPPER(TRIM(H1608))=UPPER(TRIM(I1608)),"Self-approved | ",""))&amp;IF(J1608="","No support | ","")&amp;IF(WEEKDAY(B1608,2)&gt;5,"Weekend posting | ","")&amp;IF(COUNTIF(Settings!$A$14:$A$43,B1608)&gt;0,"Holiday posting | ","")&amp;IF(B1608&gt;Settings!$C$8,"Posted after close | ","")&amp;IF(OR(B1608&lt;Settings!$C$6,B1608&gt;Settings!$C$7),"Outside period | ","")&amp;IF(COUNTIF(Settings!$E$14:$E$43,C1608&amp;"")&gt;0,"Sensitive account | ","")&amp;IF(AND(MAX(N(E1608),N(F1608))&gt;=Settings!$C$9,MOD(MAX(N(E1608),N(F1608)),Settings!$C$10)=0),"Round amount | ","")="","",LEFT(IF(K1608="No","Does not balance | ","")&amp;IF(I1608="","Not approved | ",IF(UPPER(TRIM(H1608))=UPPER(TRIM(I1608)),"Self-approved | ",""))&amp;IF(J1608="","No support | ","")&amp;IF(WEEKDAY(B1608,2)&gt;5,"Weekend posting | ","")&amp;IF(COUNTIF(Settings!$A$14:$A$43,B1608)&gt;0,"Holiday posting | ","")&amp;IF(B1608&gt;Settings!$C$8,"Posted after close | ","")&amp;IF(OR(B1608&lt;Settings!$C$6,B1608&gt;Settings!$C$7),"Outside period | ","")&amp;IF(COUNTIF(Settings!$E$14:$E$43,C1608&amp;"")&gt;0,"Sensitive account | ","")&amp;IF(AND(MAX(N(E1608),N(F1608))&gt;=Settings!$C$9,MOD(MAX(N(E1608),N(F1608)),Settings!$C$10)=0),"Round amount | ",""),LEN(IF(K1608="No","Does not balance | ","")&amp;IF(I1608="","Not approved | ",IF(UPPER(TRIM(H1608))=UPPER(TRIM(I1608)),"Self-approved | ",""))&amp;IF(J1608="","No support | ","")&amp;IF(WEEKDAY(B1608,2)&gt;5,"Weekend posting | ","")&amp;IF(COUNTIF(Settings!$A$14:$A$43,B1608)&gt;0,"Holiday posting | ","")&amp;IF(B1608&gt;Settings!$C$8,"Posted after close | ","")&amp;IF(OR(B1608&lt;Settings!$C$6,B1608&gt;Settings!$C$7),"Outside period | ","")&amp;IF(COUNTIF(Settings!$E$14:$E$43,C1608&amp;"")&gt;0,"Sensitive account | ","")&amp;IF(AND(MAX(N(E1608),N(F1608))&gt;=Settings!$C$9,MOD(MAX(N(E1608),N(F1608)),Settings!$C$10)=0),"Round amount | ",""))-3)))</f>
        <v/>
      </c>
      <c r="M1608" s="21" t="str">
        <f aca="false">IF(A1608="","",IF(COUNTIF($A$9:A1608,A1608)=1,MAX($M$8:M1607)+1,""))</f>
        <v/>
      </c>
    </row>
    <row r="1609" customFormat="false" ht="15" hidden="false" customHeight="false" outlineLevel="0" collapsed="false">
      <c r="A1609" s="8"/>
      <c r="B1609" s="17"/>
      <c r="C1609" s="19"/>
      <c r="D1609" s="8"/>
      <c r="E1609" s="18"/>
      <c r="F1609" s="18"/>
      <c r="G1609" s="8"/>
      <c r="H1609" s="8"/>
      <c r="I1609" s="8"/>
      <c r="J1609" s="8"/>
      <c r="K1609" s="10" t="str">
        <f aca="false">IF(A1609="","",IF(ABS(SUMIFS($E$9:$E$2008,$A$9:$A$2008,A1609)-SUMIFS($F$9:$F$2008,$A$9:$A$2008,A1609))&lt;0.5,"Yes","No"))</f>
        <v/>
      </c>
      <c r="L1609" s="10" t="str">
        <f aca="false">IF(A1609="","",IF(IF(K1609="No","Does not balance | ","")&amp;IF(I1609="","Not approved | ",IF(UPPER(TRIM(H1609))=UPPER(TRIM(I1609)),"Self-approved | ",""))&amp;IF(J1609="","No support | ","")&amp;IF(WEEKDAY(B1609,2)&gt;5,"Weekend posting | ","")&amp;IF(COUNTIF(Settings!$A$14:$A$43,B1609)&gt;0,"Holiday posting | ","")&amp;IF(B1609&gt;Settings!$C$8,"Posted after close | ","")&amp;IF(OR(B1609&lt;Settings!$C$6,B1609&gt;Settings!$C$7),"Outside period | ","")&amp;IF(COUNTIF(Settings!$E$14:$E$43,C1609&amp;"")&gt;0,"Sensitive account | ","")&amp;IF(AND(MAX(N(E1609),N(F1609))&gt;=Settings!$C$9,MOD(MAX(N(E1609),N(F1609)),Settings!$C$10)=0),"Round amount | ","")="","",LEFT(IF(K1609="No","Does not balance | ","")&amp;IF(I1609="","Not approved | ",IF(UPPER(TRIM(H1609))=UPPER(TRIM(I1609)),"Self-approved | ",""))&amp;IF(J1609="","No support | ","")&amp;IF(WEEKDAY(B1609,2)&gt;5,"Weekend posting | ","")&amp;IF(COUNTIF(Settings!$A$14:$A$43,B1609)&gt;0,"Holiday posting | ","")&amp;IF(B1609&gt;Settings!$C$8,"Posted after close | ","")&amp;IF(OR(B1609&lt;Settings!$C$6,B1609&gt;Settings!$C$7),"Outside period | ","")&amp;IF(COUNTIF(Settings!$E$14:$E$43,C1609&amp;"")&gt;0,"Sensitive account | ","")&amp;IF(AND(MAX(N(E1609),N(F1609))&gt;=Settings!$C$9,MOD(MAX(N(E1609),N(F1609)),Settings!$C$10)=0),"Round amount | ",""),LEN(IF(K1609="No","Does not balance | ","")&amp;IF(I1609="","Not approved | ",IF(UPPER(TRIM(H1609))=UPPER(TRIM(I1609)),"Self-approved | ",""))&amp;IF(J1609="","No support | ","")&amp;IF(WEEKDAY(B1609,2)&gt;5,"Weekend posting | ","")&amp;IF(COUNTIF(Settings!$A$14:$A$43,B1609)&gt;0,"Holiday posting | ","")&amp;IF(B1609&gt;Settings!$C$8,"Posted after close | ","")&amp;IF(OR(B1609&lt;Settings!$C$6,B1609&gt;Settings!$C$7),"Outside period | ","")&amp;IF(COUNTIF(Settings!$E$14:$E$43,C1609&amp;"")&gt;0,"Sensitive account | ","")&amp;IF(AND(MAX(N(E1609),N(F1609))&gt;=Settings!$C$9,MOD(MAX(N(E1609),N(F1609)),Settings!$C$10)=0),"Round amount | ",""))-3)))</f>
        <v/>
      </c>
      <c r="M1609" s="21" t="str">
        <f aca="false">IF(A1609="","",IF(COUNTIF($A$9:A1609,A1609)=1,MAX($M$8:M1608)+1,""))</f>
        <v/>
      </c>
    </row>
    <row r="1610" customFormat="false" ht="15" hidden="false" customHeight="false" outlineLevel="0" collapsed="false">
      <c r="A1610" s="8"/>
      <c r="B1610" s="17"/>
      <c r="C1610" s="19"/>
      <c r="D1610" s="8"/>
      <c r="E1610" s="18"/>
      <c r="F1610" s="18"/>
      <c r="G1610" s="8"/>
      <c r="H1610" s="8"/>
      <c r="I1610" s="8"/>
      <c r="J1610" s="8"/>
      <c r="K1610" s="10" t="str">
        <f aca="false">IF(A1610="","",IF(ABS(SUMIFS($E$9:$E$2008,$A$9:$A$2008,A1610)-SUMIFS($F$9:$F$2008,$A$9:$A$2008,A1610))&lt;0.5,"Yes","No"))</f>
        <v/>
      </c>
      <c r="L1610" s="10" t="str">
        <f aca="false">IF(A1610="","",IF(IF(K1610="No","Does not balance | ","")&amp;IF(I1610="","Not approved | ",IF(UPPER(TRIM(H1610))=UPPER(TRIM(I1610)),"Self-approved | ",""))&amp;IF(J1610="","No support | ","")&amp;IF(WEEKDAY(B1610,2)&gt;5,"Weekend posting | ","")&amp;IF(COUNTIF(Settings!$A$14:$A$43,B1610)&gt;0,"Holiday posting | ","")&amp;IF(B1610&gt;Settings!$C$8,"Posted after close | ","")&amp;IF(OR(B1610&lt;Settings!$C$6,B1610&gt;Settings!$C$7),"Outside period | ","")&amp;IF(COUNTIF(Settings!$E$14:$E$43,C1610&amp;"")&gt;0,"Sensitive account | ","")&amp;IF(AND(MAX(N(E1610),N(F1610))&gt;=Settings!$C$9,MOD(MAX(N(E1610),N(F1610)),Settings!$C$10)=0),"Round amount | ","")="","",LEFT(IF(K1610="No","Does not balance | ","")&amp;IF(I1610="","Not approved | ",IF(UPPER(TRIM(H1610))=UPPER(TRIM(I1610)),"Self-approved | ",""))&amp;IF(J1610="","No support | ","")&amp;IF(WEEKDAY(B1610,2)&gt;5,"Weekend posting | ","")&amp;IF(COUNTIF(Settings!$A$14:$A$43,B1610)&gt;0,"Holiday posting | ","")&amp;IF(B1610&gt;Settings!$C$8,"Posted after close | ","")&amp;IF(OR(B1610&lt;Settings!$C$6,B1610&gt;Settings!$C$7),"Outside period | ","")&amp;IF(COUNTIF(Settings!$E$14:$E$43,C1610&amp;"")&gt;0,"Sensitive account | ","")&amp;IF(AND(MAX(N(E1610),N(F1610))&gt;=Settings!$C$9,MOD(MAX(N(E1610),N(F1610)),Settings!$C$10)=0),"Round amount | ",""),LEN(IF(K1610="No","Does not balance | ","")&amp;IF(I1610="","Not approved | ",IF(UPPER(TRIM(H1610))=UPPER(TRIM(I1610)),"Self-approved | ",""))&amp;IF(J1610="","No support | ","")&amp;IF(WEEKDAY(B1610,2)&gt;5,"Weekend posting | ","")&amp;IF(COUNTIF(Settings!$A$14:$A$43,B1610)&gt;0,"Holiday posting | ","")&amp;IF(B1610&gt;Settings!$C$8,"Posted after close | ","")&amp;IF(OR(B1610&lt;Settings!$C$6,B1610&gt;Settings!$C$7),"Outside period | ","")&amp;IF(COUNTIF(Settings!$E$14:$E$43,C1610&amp;"")&gt;0,"Sensitive account | ","")&amp;IF(AND(MAX(N(E1610),N(F1610))&gt;=Settings!$C$9,MOD(MAX(N(E1610),N(F1610)),Settings!$C$10)=0),"Round amount | ",""))-3)))</f>
        <v/>
      </c>
      <c r="M1610" s="21" t="str">
        <f aca="false">IF(A1610="","",IF(COUNTIF($A$9:A1610,A1610)=1,MAX($M$8:M1609)+1,""))</f>
        <v/>
      </c>
    </row>
    <row r="1611" customFormat="false" ht="15" hidden="false" customHeight="false" outlineLevel="0" collapsed="false">
      <c r="A1611" s="8"/>
      <c r="B1611" s="17"/>
      <c r="C1611" s="19"/>
      <c r="D1611" s="8"/>
      <c r="E1611" s="18"/>
      <c r="F1611" s="18"/>
      <c r="G1611" s="8"/>
      <c r="H1611" s="8"/>
      <c r="I1611" s="8"/>
      <c r="J1611" s="8"/>
      <c r="K1611" s="10" t="str">
        <f aca="false">IF(A1611="","",IF(ABS(SUMIFS($E$9:$E$2008,$A$9:$A$2008,A1611)-SUMIFS($F$9:$F$2008,$A$9:$A$2008,A1611))&lt;0.5,"Yes","No"))</f>
        <v/>
      </c>
      <c r="L1611" s="10" t="str">
        <f aca="false">IF(A1611="","",IF(IF(K1611="No","Does not balance | ","")&amp;IF(I1611="","Not approved | ",IF(UPPER(TRIM(H1611))=UPPER(TRIM(I1611)),"Self-approved | ",""))&amp;IF(J1611="","No support | ","")&amp;IF(WEEKDAY(B1611,2)&gt;5,"Weekend posting | ","")&amp;IF(COUNTIF(Settings!$A$14:$A$43,B1611)&gt;0,"Holiday posting | ","")&amp;IF(B1611&gt;Settings!$C$8,"Posted after close | ","")&amp;IF(OR(B1611&lt;Settings!$C$6,B1611&gt;Settings!$C$7),"Outside period | ","")&amp;IF(COUNTIF(Settings!$E$14:$E$43,C1611&amp;"")&gt;0,"Sensitive account | ","")&amp;IF(AND(MAX(N(E1611),N(F1611))&gt;=Settings!$C$9,MOD(MAX(N(E1611),N(F1611)),Settings!$C$10)=0),"Round amount | ","")="","",LEFT(IF(K1611="No","Does not balance | ","")&amp;IF(I1611="","Not approved | ",IF(UPPER(TRIM(H1611))=UPPER(TRIM(I1611)),"Self-approved | ",""))&amp;IF(J1611="","No support | ","")&amp;IF(WEEKDAY(B1611,2)&gt;5,"Weekend posting | ","")&amp;IF(COUNTIF(Settings!$A$14:$A$43,B1611)&gt;0,"Holiday posting | ","")&amp;IF(B1611&gt;Settings!$C$8,"Posted after close | ","")&amp;IF(OR(B1611&lt;Settings!$C$6,B1611&gt;Settings!$C$7),"Outside period | ","")&amp;IF(COUNTIF(Settings!$E$14:$E$43,C1611&amp;"")&gt;0,"Sensitive account | ","")&amp;IF(AND(MAX(N(E1611),N(F1611))&gt;=Settings!$C$9,MOD(MAX(N(E1611),N(F1611)),Settings!$C$10)=0),"Round amount | ",""),LEN(IF(K1611="No","Does not balance | ","")&amp;IF(I1611="","Not approved | ",IF(UPPER(TRIM(H1611))=UPPER(TRIM(I1611)),"Self-approved | ",""))&amp;IF(J1611="","No support | ","")&amp;IF(WEEKDAY(B1611,2)&gt;5,"Weekend posting | ","")&amp;IF(COUNTIF(Settings!$A$14:$A$43,B1611)&gt;0,"Holiday posting | ","")&amp;IF(B1611&gt;Settings!$C$8,"Posted after close | ","")&amp;IF(OR(B1611&lt;Settings!$C$6,B1611&gt;Settings!$C$7),"Outside period | ","")&amp;IF(COUNTIF(Settings!$E$14:$E$43,C1611&amp;"")&gt;0,"Sensitive account | ","")&amp;IF(AND(MAX(N(E1611),N(F1611))&gt;=Settings!$C$9,MOD(MAX(N(E1611),N(F1611)),Settings!$C$10)=0),"Round amount | ",""))-3)))</f>
        <v/>
      </c>
      <c r="M1611" s="21" t="str">
        <f aca="false">IF(A1611="","",IF(COUNTIF($A$9:A1611,A1611)=1,MAX($M$8:M1610)+1,""))</f>
        <v/>
      </c>
    </row>
    <row r="1612" customFormat="false" ht="15" hidden="false" customHeight="false" outlineLevel="0" collapsed="false">
      <c r="A1612" s="8"/>
      <c r="B1612" s="17"/>
      <c r="C1612" s="19"/>
      <c r="D1612" s="8"/>
      <c r="E1612" s="18"/>
      <c r="F1612" s="18"/>
      <c r="G1612" s="8"/>
      <c r="H1612" s="8"/>
      <c r="I1612" s="8"/>
      <c r="J1612" s="8"/>
      <c r="K1612" s="10" t="str">
        <f aca="false">IF(A1612="","",IF(ABS(SUMIFS($E$9:$E$2008,$A$9:$A$2008,A1612)-SUMIFS($F$9:$F$2008,$A$9:$A$2008,A1612))&lt;0.5,"Yes","No"))</f>
        <v/>
      </c>
      <c r="L1612" s="10" t="str">
        <f aca="false">IF(A1612="","",IF(IF(K1612="No","Does not balance | ","")&amp;IF(I1612="","Not approved | ",IF(UPPER(TRIM(H1612))=UPPER(TRIM(I1612)),"Self-approved | ",""))&amp;IF(J1612="","No support | ","")&amp;IF(WEEKDAY(B1612,2)&gt;5,"Weekend posting | ","")&amp;IF(COUNTIF(Settings!$A$14:$A$43,B1612)&gt;0,"Holiday posting | ","")&amp;IF(B1612&gt;Settings!$C$8,"Posted after close | ","")&amp;IF(OR(B1612&lt;Settings!$C$6,B1612&gt;Settings!$C$7),"Outside period | ","")&amp;IF(COUNTIF(Settings!$E$14:$E$43,C1612&amp;"")&gt;0,"Sensitive account | ","")&amp;IF(AND(MAX(N(E1612),N(F1612))&gt;=Settings!$C$9,MOD(MAX(N(E1612),N(F1612)),Settings!$C$10)=0),"Round amount | ","")="","",LEFT(IF(K1612="No","Does not balance | ","")&amp;IF(I1612="","Not approved | ",IF(UPPER(TRIM(H1612))=UPPER(TRIM(I1612)),"Self-approved | ",""))&amp;IF(J1612="","No support | ","")&amp;IF(WEEKDAY(B1612,2)&gt;5,"Weekend posting | ","")&amp;IF(COUNTIF(Settings!$A$14:$A$43,B1612)&gt;0,"Holiday posting | ","")&amp;IF(B1612&gt;Settings!$C$8,"Posted after close | ","")&amp;IF(OR(B1612&lt;Settings!$C$6,B1612&gt;Settings!$C$7),"Outside period | ","")&amp;IF(COUNTIF(Settings!$E$14:$E$43,C1612&amp;"")&gt;0,"Sensitive account | ","")&amp;IF(AND(MAX(N(E1612),N(F1612))&gt;=Settings!$C$9,MOD(MAX(N(E1612),N(F1612)),Settings!$C$10)=0),"Round amount | ",""),LEN(IF(K1612="No","Does not balance | ","")&amp;IF(I1612="","Not approved | ",IF(UPPER(TRIM(H1612))=UPPER(TRIM(I1612)),"Self-approved | ",""))&amp;IF(J1612="","No support | ","")&amp;IF(WEEKDAY(B1612,2)&gt;5,"Weekend posting | ","")&amp;IF(COUNTIF(Settings!$A$14:$A$43,B1612)&gt;0,"Holiday posting | ","")&amp;IF(B1612&gt;Settings!$C$8,"Posted after close | ","")&amp;IF(OR(B1612&lt;Settings!$C$6,B1612&gt;Settings!$C$7),"Outside period | ","")&amp;IF(COUNTIF(Settings!$E$14:$E$43,C1612&amp;"")&gt;0,"Sensitive account | ","")&amp;IF(AND(MAX(N(E1612),N(F1612))&gt;=Settings!$C$9,MOD(MAX(N(E1612),N(F1612)),Settings!$C$10)=0),"Round amount | ",""))-3)))</f>
        <v/>
      </c>
      <c r="M1612" s="21" t="str">
        <f aca="false">IF(A1612="","",IF(COUNTIF($A$9:A1612,A1612)=1,MAX($M$8:M1611)+1,""))</f>
        <v/>
      </c>
    </row>
    <row r="1613" customFormat="false" ht="15" hidden="false" customHeight="false" outlineLevel="0" collapsed="false">
      <c r="A1613" s="8"/>
      <c r="B1613" s="17"/>
      <c r="C1613" s="19"/>
      <c r="D1613" s="8"/>
      <c r="E1613" s="18"/>
      <c r="F1613" s="18"/>
      <c r="G1613" s="8"/>
      <c r="H1613" s="8"/>
      <c r="I1613" s="8"/>
      <c r="J1613" s="8"/>
      <c r="K1613" s="10" t="str">
        <f aca="false">IF(A1613="","",IF(ABS(SUMIFS($E$9:$E$2008,$A$9:$A$2008,A1613)-SUMIFS($F$9:$F$2008,$A$9:$A$2008,A1613))&lt;0.5,"Yes","No"))</f>
        <v/>
      </c>
      <c r="L1613" s="10" t="str">
        <f aca="false">IF(A1613="","",IF(IF(K1613="No","Does not balance | ","")&amp;IF(I1613="","Not approved | ",IF(UPPER(TRIM(H1613))=UPPER(TRIM(I1613)),"Self-approved | ",""))&amp;IF(J1613="","No support | ","")&amp;IF(WEEKDAY(B1613,2)&gt;5,"Weekend posting | ","")&amp;IF(COUNTIF(Settings!$A$14:$A$43,B1613)&gt;0,"Holiday posting | ","")&amp;IF(B1613&gt;Settings!$C$8,"Posted after close | ","")&amp;IF(OR(B1613&lt;Settings!$C$6,B1613&gt;Settings!$C$7),"Outside period | ","")&amp;IF(COUNTIF(Settings!$E$14:$E$43,C1613&amp;"")&gt;0,"Sensitive account | ","")&amp;IF(AND(MAX(N(E1613),N(F1613))&gt;=Settings!$C$9,MOD(MAX(N(E1613),N(F1613)),Settings!$C$10)=0),"Round amount | ","")="","",LEFT(IF(K1613="No","Does not balance | ","")&amp;IF(I1613="","Not approved | ",IF(UPPER(TRIM(H1613))=UPPER(TRIM(I1613)),"Self-approved | ",""))&amp;IF(J1613="","No support | ","")&amp;IF(WEEKDAY(B1613,2)&gt;5,"Weekend posting | ","")&amp;IF(COUNTIF(Settings!$A$14:$A$43,B1613)&gt;0,"Holiday posting | ","")&amp;IF(B1613&gt;Settings!$C$8,"Posted after close | ","")&amp;IF(OR(B1613&lt;Settings!$C$6,B1613&gt;Settings!$C$7),"Outside period | ","")&amp;IF(COUNTIF(Settings!$E$14:$E$43,C1613&amp;"")&gt;0,"Sensitive account | ","")&amp;IF(AND(MAX(N(E1613),N(F1613))&gt;=Settings!$C$9,MOD(MAX(N(E1613),N(F1613)),Settings!$C$10)=0),"Round amount | ",""),LEN(IF(K1613="No","Does not balance | ","")&amp;IF(I1613="","Not approved | ",IF(UPPER(TRIM(H1613))=UPPER(TRIM(I1613)),"Self-approved | ",""))&amp;IF(J1613="","No support | ","")&amp;IF(WEEKDAY(B1613,2)&gt;5,"Weekend posting | ","")&amp;IF(COUNTIF(Settings!$A$14:$A$43,B1613)&gt;0,"Holiday posting | ","")&amp;IF(B1613&gt;Settings!$C$8,"Posted after close | ","")&amp;IF(OR(B1613&lt;Settings!$C$6,B1613&gt;Settings!$C$7),"Outside period | ","")&amp;IF(COUNTIF(Settings!$E$14:$E$43,C1613&amp;"")&gt;0,"Sensitive account | ","")&amp;IF(AND(MAX(N(E1613),N(F1613))&gt;=Settings!$C$9,MOD(MAX(N(E1613),N(F1613)),Settings!$C$10)=0),"Round amount | ",""))-3)))</f>
        <v/>
      </c>
      <c r="M1613" s="21" t="str">
        <f aca="false">IF(A1613="","",IF(COUNTIF($A$9:A1613,A1613)=1,MAX($M$8:M1612)+1,""))</f>
        <v/>
      </c>
    </row>
    <row r="1614" customFormat="false" ht="15" hidden="false" customHeight="false" outlineLevel="0" collapsed="false">
      <c r="A1614" s="8"/>
      <c r="B1614" s="17"/>
      <c r="C1614" s="19"/>
      <c r="D1614" s="8"/>
      <c r="E1614" s="18"/>
      <c r="F1614" s="18"/>
      <c r="G1614" s="8"/>
      <c r="H1614" s="8"/>
      <c r="I1614" s="8"/>
      <c r="J1614" s="8"/>
      <c r="K1614" s="10" t="str">
        <f aca="false">IF(A1614="","",IF(ABS(SUMIFS($E$9:$E$2008,$A$9:$A$2008,A1614)-SUMIFS($F$9:$F$2008,$A$9:$A$2008,A1614))&lt;0.5,"Yes","No"))</f>
        <v/>
      </c>
      <c r="L1614" s="10" t="str">
        <f aca="false">IF(A1614="","",IF(IF(K1614="No","Does not balance | ","")&amp;IF(I1614="","Not approved | ",IF(UPPER(TRIM(H1614))=UPPER(TRIM(I1614)),"Self-approved | ",""))&amp;IF(J1614="","No support | ","")&amp;IF(WEEKDAY(B1614,2)&gt;5,"Weekend posting | ","")&amp;IF(COUNTIF(Settings!$A$14:$A$43,B1614)&gt;0,"Holiday posting | ","")&amp;IF(B1614&gt;Settings!$C$8,"Posted after close | ","")&amp;IF(OR(B1614&lt;Settings!$C$6,B1614&gt;Settings!$C$7),"Outside period | ","")&amp;IF(COUNTIF(Settings!$E$14:$E$43,C1614&amp;"")&gt;0,"Sensitive account | ","")&amp;IF(AND(MAX(N(E1614),N(F1614))&gt;=Settings!$C$9,MOD(MAX(N(E1614),N(F1614)),Settings!$C$10)=0),"Round amount | ","")="","",LEFT(IF(K1614="No","Does not balance | ","")&amp;IF(I1614="","Not approved | ",IF(UPPER(TRIM(H1614))=UPPER(TRIM(I1614)),"Self-approved | ",""))&amp;IF(J1614="","No support | ","")&amp;IF(WEEKDAY(B1614,2)&gt;5,"Weekend posting | ","")&amp;IF(COUNTIF(Settings!$A$14:$A$43,B1614)&gt;0,"Holiday posting | ","")&amp;IF(B1614&gt;Settings!$C$8,"Posted after close | ","")&amp;IF(OR(B1614&lt;Settings!$C$6,B1614&gt;Settings!$C$7),"Outside period | ","")&amp;IF(COUNTIF(Settings!$E$14:$E$43,C1614&amp;"")&gt;0,"Sensitive account | ","")&amp;IF(AND(MAX(N(E1614),N(F1614))&gt;=Settings!$C$9,MOD(MAX(N(E1614),N(F1614)),Settings!$C$10)=0),"Round amount | ",""),LEN(IF(K1614="No","Does not balance | ","")&amp;IF(I1614="","Not approved | ",IF(UPPER(TRIM(H1614))=UPPER(TRIM(I1614)),"Self-approved | ",""))&amp;IF(J1614="","No support | ","")&amp;IF(WEEKDAY(B1614,2)&gt;5,"Weekend posting | ","")&amp;IF(COUNTIF(Settings!$A$14:$A$43,B1614)&gt;0,"Holiday posting | ","")&amp;IF(B1614&gt;Settings!$C$8,"Posted after close | ","")&amp;IF(OR(B1614&lt;Settings!$C$6,B1614&gt;Settings!$C$7),"Outside period | ","")&amp;IF(COUNTIF(Settings!$E$14:$E$43,C1614&amp;"")&gt;0,"Sensitive account | ","")&amp;IF(AND(MAX(N(E1614),N(F1614))&gt;=Settings!$C$9,MOD(MAX(N(E1614),N(F1614)),Settings!$C$10)=0),"Round amount | ",""))-3)))</f>
        <v/>
      </c>
      <c r="M1614" s="21" t="str">
        <f aca="false">IF(A1614="","",IF(COUNTIF($A$9:A1614,A1614)=1,MAX($M$8:M1613)+1,""))</f>
        <v/>
      </c>
    </row>
    <row r="1615" customFormat="false" ht="15" hidden="false" customHeight="false" outlineLevel="0" collapsed="false">
      <c r="A1615" s="8"/>
      <c r="B1615" s="17"/>
      <c r="C1615" s="19"/>
      <c r="D1615" s="8"/>
      <c r="E1615" s="18"/>
      <c r="F1615" s="18"/>
      <c r="G1615" s="8"/>
      <c r="H1615" s="8"/>
      <c r="I1615" s="8"/>
      <c r="J1615" s="8"/>
      <c r="K1615" s="10" t="str">
        <f aca="false">IF(A1615="","",IF(ABS(SUMIFS($E$9:$E$2008,$A$9:$A$2008,A1615)-SUMIFS($F$9:$F$2008,$A$9:$A$2008,A1615))&lt;0.5,"Yes","No"))</f>
        <v/>
      </c>
      <c r="L1615" s="10" t="str">
        <f aca="false">IF(A1615="","",IF(IF(K1615="No","Does not balance | ","")&amp;IF(I1615="","Not approved | ",IF(UPPER(TRIM(H1615))=UPPER(TRIM(I1615)),"Self-approved | ",""))&amp;IF(J1615="","No support | ","")&amp;IF(WEEKDAY(B1615,2)&gt;5,"Weekend posting | ","")&amp;IF(COUNTIF(Settings!$A$14:$A$43,B1615)&gt;0,"Holiday posting | ","")&amp;IF(B1615&gt;Settings!$C$8,"Posted after close | ","")&amp;IF(OR(B1615&lt;Settings!$C$6,B1615&gt;Settings!$C$7),"Outside period | ","")&amp;IF(COUNTIF(Settings!$E$14:$E$43,C1615&amp;"")&gt;0,"Sensitive account | ","")&amp;IF(AND(MAX(N(E1615),N(F1615))&gt;=Settings!$C$9,MOD(MAX(N(E1615),N(F1615)),Settings!$C$10)=0),"Round amount | ","")="","",LEFT(IF(K1615="No","Does not balance | ","")&amp;IF(I1615="","Not approved | ",IF(UPPER(TRIM(H1615))=UPPER(TRIM(I1615)),"Self-approved | ",""))&amp;IF(J1615="","No support | ","")&amp;IF(WEEKDAY(B1615,2)&gt;5,"Weekend posting | ","")&amp;IF(COUNTIF(Settings!$A$14:$A$43,B1615)&gt;0,"Holiday posting | ","")&amp;IF(B1615&gt;Settings!$C$8,"Posted after close | ","")&amp;IF(OR(B1615&lt;Settings!$C$6,B1615&gt;Settings!$C$7),"Outside period | ","")&amp;IF(COUNTIF(Settings!$E$14:$E$43,C1615&amp;"")&gt;0,"Sensitive account | ","")&amp;IF(AND(MAX(N(E1615),N(F1615))&gt;=Settings!$C$9,MOD(MAX(N(E1615),N(F1615)),Settings!$C$10)=0),"Round amount | ",""),LEN(IF(K1615="No","Does not balance | ","")&amp;IF(I1615="","Not approved | ",IF(UPPER(TRIM(H1615))=UPPER(TRIM(I1615)),"Self-approved | ",""))&amp;IF(J1615="","No support | ","")&amp;IF(WEEKDAY(B1615,2)&gt;5,"Weekend posting | ","")&amp;IF(COUNTIF(Settings!$A$14:$A$43,B1615)&gt;0,"Holiday posting | ","")&amp;IF(B1615&gt;Settings!$C$8,"Posted after close | ","")&amp;IF(OR(B1615&lt;Settings!$C$6,B1615&gt;Settings!$C$7),"Outside period | ","")&amp;IF(COUNTIF(Settings!$E$14:$E$43,C1615&amp;"")&gt;0,"Sensitive account | ","")&amp;IF(AND(MAX(N(E1615),N(F1615))&gt;=Settings!$C$9,MOD(MAX(N(E1615),N(F1615)),Settings!$C$10)=0),"Round amount | ",""))-3)))</f>
        <v/>
      </c>
      <c r="M1615" s="21" t="str">
        <f aca="false">IF(A1615="","",IF(COUNTIF($A$9:A1615,A1615)=1,MAX($M$8:M1614)+1,""))</f>
        <v/>
      </c>
    </row>
    <row r="1616" customFormat="false" ht="15" hidden="false" customHeight="false" outlineLevel="0" collapsed="false">
      <c r="A1616" s="8"/>
      <c r="B1616" s="17"/>
      <c r="C1616" s="19"/>
      <c r="D1616" s="8"/>
      <c r="E1616" s="18"/>
      <c r="F1616" s="18"/>
      <c r="G1616" s="8"/>
      <c r="H1616" s="8"/>
      <c r="I1616" s="8"/>
      <c r="J1616" s="8"/>
      <c r="K1616" s="10" t="str">
        <f aca="false">IF(A1616="","",IF(ABS(SUMIFS($E$9:$E$2008,$A$9:$A$2008,A1616)-SUMIFS($F$9:$F$2008,$A$9:$A$2008,A1616))&lt;0.5,"Yes","No"))</f>
        <v/>
      </c>
      <c r="L1616" s="10" t="str">
        <f aca="false">IF(A1616="","",IF(IF(K1616="No","Does not balance | ","")&amp;IF(I1616="","Not approved | ",IF(UPPER(TRIM(H1616))=UPPER(TRIM(I1616)),"Self-approved | ",""))&amp;IF(J1616="","No support | ","")&amp;IF(WEEKDAY(B1616,2)&gt;5,"Weekend posting | ","")&amp;IF(COUNTIF(Settings!$A$14:$A$43,B1616)&gt;0,"Holiday posting | ","")&amp;IF(B1616&gt;Settings!$C$8,"Posted after close | ","")&amp;IF(OR(B1616&lt;Settings!$C$6,B1616&gt;Settings!$C$7),"Outside period | ","")&amp;IF(COUNTIF(Settings!$E$14:$E$43,C1616&amp;"")&gt;0,"Sensitive account | ","")&amp;IF(AND(MAX(N(E1616),N(F1616))&gt;=Settings!$C$9,MOD(MAX(N(E1616),N(F1616)),Settings!$C$10)=0),"Round amount | ","")="","",LEFT(IF(K1616="No","Does not balance | ","")&amp;IF(I1616="","Not approved | ",IF(UPPER(TRIM(H1616))=UPPER(TRIM(I1616)),"Self-approved | ",""))&amp;IF(J1616="","No support | ","")&amp;IF(WEEKDAY(B1616,2)&gt;5,"Weekend posting | ","")&amp;IF(COUNTIF(Settings!$A$14:$A$43,B1616)&gt;0,"Holiday posting | ","")&amp;IF(B1616&gt;Settings!$C$8,"Posted after close | ","")&amp;IF(OR(B1616&lt;Settings!$C$6,B1616&gt;Settings!$C$7),"Outside period | ","")&amp;IF(COUNTIF(Settings!$E$14:$E$43,C1616&amp;"")&gt;0,"Sensitive account | ","")&amp;IF(AND(MAX(N(E1616),N(F1616))&gt;=Settings!$C$9,MOD(MAX(N(E1616),N(F1616)),Settings!$C$10)=0),"Round amount | ",""),LEN(IF(K1616="No","Does not balance | ","")&amp;IF(I1616="","Not approved | ",IF(UPPER(TRIM(H1616))=UPPER(TRIM(I1616)),"Self-approved | ",""))&amp;IF(J1616="","No support | ","")&amp;IF(WEEKDAY(B1616,2)&gt;5,"Weekend posting | ","")&amp;IF(COUNTIF(Settings!$A$14:$A$43,B1616)&gt;0,"Holiday posting | ","")&amp;IF(B1616&gt;Settings!$C$8,"Posted after close | ","")&amp;IF(OR(B1616&lt;Settings!$C$6,B1616&gt;Settings!$C$7),"Outside period | ","")&amp;IF(COUNTIF(Settings!$E$14:$E$43,C1616&amp;"")&gt;0,"Sensitive account | ","")&amp;IF(AND(MAX(N(E1616),N(F1616))&gt;=Settings!$C$9,MOD(MAX(N(E1616),N(F1616)),Settings!$C$10)=0),"Round amount | ",""))-3)))</f>
        <v/>
      </c>
      <c r="M1616" s="21" t="str">
        <f aca="false">IF(A1616="","",IF(COUNTIF($A$9:A1616,A1616)=1,MAX($M$8:M1615)+1,""))</f>
        <v/>
      </c>
    </row>
    <row r="1617" customFormat="false" ht="15" hidden="false" customHeight="false" outlineLevel="0" collapsed="false">
      <c r="A1617" s="8"/>
      <c r="B1617" s="17"/>
      <c r="C1617" s="19"/>
      <c r="D1617" s="8"/>
      <c r="E1617" s="18"/>
      <c r="F1617" s="18"/>
      <c r="G1617" s="8"/>
      <c r="H1617" s="8"/>
      <c r="I1617" s="8"/>
      <c r="J1617" s="8"/>
      <c r="K1617" s="10" t="str">
        <f aca="false">IF(A1617="","",IF(ABS(SUMIFS($E$9:$E$2008,$A$9:$A$2008,A1617)-SUMIFS($F$9:$F$2008,$A$9:$A$2008,A1617))&lt;0.5,"Yes","No"))</f>
        <v/>
      </c>
      <c r="L1617" s="10" t="str">
        <f aca="false">IF(A1617="","",IF(IF(K1617="No","Does not balance | ","")&amp;IF(I1617="","Not approved | ",IF(UPPER(TRIM(H1617))=UPPER(TRIM(I1617)),"Self-approved | ",""))&amp;IF(J1617="","No support | ","")&amp;IF(WEEKDAY(B1617,2)&gt;5,"Weekend posting | ","")&amp;IF(COUNTIF(Settings!$A$14:$A$43,B1617)&gt;0,"Holiday posting | ","")&amp;IF(B1617&gt;Settings!$C$8,"Posted after close | ","")&amp;IF(OR(B1617&lt;Settings!$C$6,B1617&gt;Settings!$C$7),"Outside period | ","")&amp;IF(COUNTIF(Settings!$E$14:$E$43,C1617&amp;"")&gt;0,"Sensitive account | ","")&amp;IF(AND(MAX(N(E1617),N(F1617))&gt;=Settings!$C$9,MOD(MAX(N(E1617),N(F1617)),Settings!$C$10)=0),"Round amount | ","")="","",LEFT(IF(K1617="No","Does not balance | ","")&amp;IF(I1617="","Not approved | ",IF(UPPER(TRIM(H1617))=UPPER(TRIM(I1617)),"Self-approved | ",""))&amp;IF(J1617="","No support | ","")&amp;IF(WEEKDAY(B1617,2)&gt;5,"Weekend posting | ","")&amp;IF(COUNTIF(Settings!$A$14:$A$43,B1617)&gt;0,"Holiday posting | ","")&amp;IF(B1617&gt;Settings!$C$8,"Posted after close | ","")&amp;IF(OR(B1617&lt;Settings!$C$6,B1617&gt;Settings!$C$7),"Outside period | ","")&amp;IF(COUNTIF(Settings!$E$14:$E$43,C1617&amp;"")&gt;0,"Sensitive account | ","")&amp;IF(AND(MAX(N(E1617),N(F1617))&gt;=Settings!$C$9,MOD(MAX(N(E1617),N(F1617)),Settings!$C$10)=0),"Round amount | ",""),LEN(IF(K1617="No","Does not balance | ","")&amp;IF(I1617="","Not approved | ",IF(UPPER(TRIM(H1617))=UPPER(TRIM(I1617)),"Self-approved | ",""))&amp;IF(J1617="","No support | ","")&amp;IF(WEEKDAY(B1617,2)&gt;5,"Weekend posting | ","")&amp;IF(COUNTIF(Settings!$A$14:$A$43,B1617)&gt;0,"Holiday posting | ","")&amp;IF(B1617&gt;Settings!$C$8,"Posted after close | ","")&amp;IF(OR(B1617&lt;Settings!$C$6,B1617&gt;Settings!$C$7),"Outside period | ","")&amp;IF(COUNTIF(Settings!$E$14:$E$43,C1617&amp;"")&gt;0,"Sensitive account | ","")&amp;IF(AND(MAX(N(E1617),N(F1617))&gt;=Settings!$C$9,MOD(MAX(N(E1617),N(F1617)),Settings!$C$10)=0),"Round amount | ",""))-3)))</f>
        <v/>
      </c>
      <c r="M1617" s="21" t="str">
        <f aca="false">IF(A1617="","",IF(COUNTIF($A$9:A1617,A1617)=1,MAX($M$8:M1616)+1,""))</f>
        <v/>
      </c>
    </row>
    <row r="1618" customFormat="false" ht="15" hidden="false" customHeight="false" outlineLevel="0" collapsed="false">
      <c r="A1618" s="8"/>
      <c r="B1618" s="17"/>
      <c r="C1618" s="19"/>
      <c r="D1618" s="8"/>
      <c r="E1618" s="18"/>
      <c r="F1618" s="18"/>
      <c r="G1618" s="8"/>
      <c r="H1618" s="8"/>
      <c r="I1618" s="8"/>
      <c r="J1618" s="8"/>
      <c r="K1618" s="10" t="str">
        <f aca="false">IF(A1618="","",IF(ABS(SUMIFS($E$9:$E$2008,$A$9:$A$2008,A1618)-SUMIFS($F$9:$F$2008,$A$9:$A$2008,A1618))&lt;0.5,"Yes","No"))</f>
        <v/>
      </c>
      <c r="L1618" s="10" t="str">
        <f aca="false">IF(A1618="","",IF(IF(K1618="No","Does not balance | ","")&amp;IF(I1618="","Not approved | ",IF(UPPER(TRIM(H1618))=UPPER(TRIM(I1618)),"Self-approved | ",""))&amp;IF(J1618="","No support | ","")&amp;IF(WEEKDAY(B1618,2)&gt;5,"Weekend posting | ","")&amp;IF(COUNTIF(Settings!$A$14:$A$43,B1618)&gt;0,"Holiday posting | ","")&amp;IF(B1618&gt;Settings!$C$8,"Posted after close | ","")&amp;IF(OR(B1618&lt;Settings!$C$6,B1618&gt;Settings!$C$7),"Outside period | ","")&amp;IF(COUNTIF(Settings!$E$14:$E$43,C1618&amp;"")&gt;0,"Sensitive account | ","")&amp;IF(AND(MAX(N(E1618),N(F1618))&gt;=Settings!$C$9,MOD(MAX(N(E1618),N(F1618)),Settings!$C$10)=0),"Round amount | ","")="","",LEFT(IF(K1618="No","Does not balance | ","")&amp;IF(I1618="","Not approved | ",IF(UPPER(TRIM(H1618))=UPPER(TRIM(I1618)),"Self-approved | ",""))&amp;IF(J1618="","No support | ","")&amp;IF(WEEKDAY(B1618,2)&gt;5,"Weekend posting | ","")&amp;IF(COUNTIF(Settings!$A$14:$A$43,B1618)&gt;0,"Holiday posting | ","")&amp;IF(B1618&gt;Settings!$C$8,"Posted after close | ","")&amp;IF(OR(B1618&lt;Settings!$C$6,B1618&gt;Settings!$C$7),"Outside period | ","")&amp;IF(COUNTIF(Settings!$E$14:$E$43,C1618&amp;"")&gt;0,"Sensitive account | ","")&amp;IF(AND(MAX(N(E1618),N(F1618))&gt;=Settings!$C$9,MOD(MAX(N(E1618),N(F1618)),Settings!$C$10)=0),"Round amount | ",""),LEN(IF(K1618="No","Does not balance | ","")&amp;IF(I1618="","Not approved | ",IF(UPPER(TRIM(H1618))=UPPER(TRIM(I1618)),"Self-approved | ",""))&amp;IF(J1618="","No support | ","")&amp;IF(WEEKDAY(B1618,2)&gt;5,"Weekend posting | ","")&amp;IF(COUNTIF(Settings!$A$14:$A$43,B1618)&gt;0,"Holiday posting | ","")&amp;IF(B1618&gt;Settings!$C$8,"Posted after close | ","")&amp;IF(OR(B1618&lt;Settings!$C$6,B1618&gt;Settings!$C$7),"Outside period | ","")&amp;IF(COUNTIF(Settings!$E$14:$E$43,C1618&amp;"")&gt;0,"Sensitive account | ","")&amp;IF(AND(MAX(N(E1618),N(F1618))&gt;=Settings!$C$9,MOD(MAX(N(E1618),N(F1618)),Settings!$C$10)=0),"Round amount | ",""))-3)))</f>
        <v/>
      </c>
      <c r="M1618" s="21" t="str">
        <f aca="false">IF(A1618="","",IF(COUNTIF($A$9:A1618,A1618)=1,MAX($M$8:M1617)+1,""))</f>
        <v/>
      </c>
    </row>
    <row r="1619" customFormat="false" ht="15" hidden="false" customHeight="false" outlineLevel="0" collapsed="false">
      <c r="A1619" s="8"/>
      <c r="B1619" s="17"/>
      <c r="C1619" s="19"/>
      <c r="D1619" s="8"/>
      <c r="E1619" s="18"/>
      <c r="F1619" s="18"/>
      <c r="G1619" s="8"/>
      <c r="H1619" s="8"/>
      <c r="I1619" s="8"/>
      <c r="J1619" s="8"/>
      <c r="K1619" s="10" t="str">
        <f aca="false">IF(A1619="","",IF(ABS(SUMIFS($E$9:$E$2008,$A$9:$A$2008,A1619)-SUMIFS($F$9:$F$2008,$A$9:$A$2008,A1619))&lt;0.5,"Yes","No"))</f>
        <v/>
      </c>
      <c r="L1619" s="10" t="str">
        <f aca="false">IF(A1619="","",IF(IF(K1619="No","Does not balance | ","")&amp;IF(I1619="","Not approved | ",IF(UPPER(TRIM(H1619))=UPPER(TRIM(I1619)),"Self-approved | ",""))&amp;IF(J1619="","No support | ","")&amp;IF(WEEKDAY(B1619,2)&gt;5,"Weekend posting | ","")&amp;IF(COUNTIF(Settings!$A$14:$A$43,B1619)&gt;0,"Holiday posting | ","")&amp;IF(B1619&gt;Settings!$C$8,"Posted after close | ","")&amp;IF(OR(B1619&lt;Settings!$C$6,B1619&gt;Settings!$C$7),"Outside period | ","")&amp;IF(COUNTIF(Settings!$E$14:$E$43,C1619&amp;"")&gt;0,"Sensitive account | ","")&amp;IF(AND(MAX(N(E1619),N(F1619))&gt;=Settings!$C$9,MOD(MAX(N(E1619),N(F1619)),Settings!$C$10)=0),"Round amount | ","")="","",LEFT(IF(K1619="No","Does not balance | ","")&amp;IF(I1619="","Not approved | ",IF(UPPER(TRIM(H1619))=UPPER(TRIM(I1619)),"Self-approved | ",""))&amp;IF(J1619="","No support | ","")&amp;IF(WEEKDAY(B1619,2)&gt;5,"Weekend posting | ","")&amp;IF(COUNTIF(Settings!$A$14:$A$43,B1619)&gt;0,"Holiday posting | ","")&amp;IF(B1619&gt;Settings!$C$8,"Posted after close | ","")&amp;IF(OR(B1619&lt;Settings!$C$6,B1619&gt;Settings!$C$7),"Outside period | ","")&amp;IF(COUNTIF(Settings!$E$14:$E$43,C1619&amp;"")&gt;0,"Sensitive account | ","")&amp;IF(AND(MAX(N(E1619),N(F1619))&gt;=Settings!$C$9,MOD(MAX(N(E1619),N(F1619)),Settings!$C$10)=0),"Round amount | ",""),LEN(IF(K1619="No","Does not balance | ","")&amp;IF(I1619="","Not approved | ",IF(UPPER(TRIM(H1619))=UPPER(TRIM(I1619)),"Self-approved | ",""))&amp;IF(J1619="","No support | ","")&amp;IF(WEEKDAY(B1619,2)&gt;5,"Weekend posting | ","")&amp;IF(COUNTIF(Settings!$A$14:$A$43,B1619)&gt;0,"Holiday posting | ","")&amp;IF(B1619&gt;Settings!$C$8,"Posted after close | ","")&amp;IF(OR(B1619&lt;Settings!$C$6,B1619&gt;Settings!$C$7),"Outside period | ","")&amp;IF(COUNTIF(Settings!$E$14:$E$43,C1619&amp;"")&gt;0,"Sensitive account | ","")&amp;IF(AND(MAX(N(E1619),N(F1619))&gt;=Settings!$C$9,MOD(MAX(N(E1619),N(F1619)),Settings!$C$10)=0),"Round amount | ",""))-3)))</f>
        <v/>
      </c>
      <c r="M1619" s="21" t="str">
        <f aca="false">IF(A1619="","",IF(COUNTIF($A$9:A1619,A1619)=1,MAX($M$8:M1618)+1,""))</f>
        <v/>
      </c>
    </row>
    <row r="1620" customFormat="false" ht="15" hidden="false" customHeight="false" outlineLevel="0" collapsed="false">
      <c r="A1620" s="8"/>
      <c r="B1620" s="17"/>
      <c r="C1620" s="19"/>
      <c r="D1620" s="8"/>
      <c r="E1620" s="18"/>
      <c r="F1620" s="18"/>
      <c r="G1620" s="8"/>
      <c r="H1620" s="8"/>
      <c r="I1620" s="8"/>
      <c r="J1620" s="8"/>
      <c r="K1620" s="10" t="str">
        <f aca="false">IF(A1620="","",IF(ABS(SUMIFS($E$9:$E$2008,$A$9:$A$2008,A1620)-SUMIFS($F$9:$F$2008,$A$9:$A$2008,A1620))&lt;0.5,"Yes","No"))</f>
        <v/>
      </c>
      <c r="L1620" s="10" t="str">
        <f aca="false">IF(A1620="","",IF(IF(K1620="No","Does not balance | ","")&amp;IF(I1620="","Not approved | ",IF(UPPER(TRIM(H1620))=UPPER(TRIM(I1620)),"Self-approved | ",""))&amp;IF(J1620="","No support | ","")&amp;IF(WEEKDAY(B1620,2)&gt;5,"Weekend posting | ","")&amp;IF(COUNTIF(Settings!$A$14:$A$43,B1620)&gt;0,"Holiday posting | ","")&amp;IF(B1620&gt;Settings!$C$8,"Posted after close | ","")&amp;IF(OR(B1620&lt;Settings!$C$6,B1620&gt;Settings!$C$7),"Outside period | ","")&amp;IF(COUNTIF(Settings!$E$14:$E$43,C1620&amp;"")&gt;0,"Sensitive account | ","")&amp;IF(AND(MAX(N(E1620),N(F1620))&gt;=Settings!$C$9,MOD(MAX(N(E1620),N(F1620)),Settings!$C$10)=0),"Round amount | ","")="","",LEFT(IF(K1620="No","Does not balance | ","")&amp;IF(I1620="","Not approved | ",IF(UPPER(TRIM(H1620))=UPPER(TRIM(I1620)),"Self-approved | ",""))&amp;IF(J1620="","No support | ","")&amp;IF(WEEKDAY(B1620,2)&gt;5,"Weekend posting | ","")&amp;IF(COUNTIF(Settings!$A$14:$A$43,B1620)&gt;0,"Holiday posting | ","")&amp;IF(B1620&gt;Settings!$C$8,"Posted after close | ","")&amp;IF(OR(B1620&lt;Settings!$C$6,B1620&gt;Settings!$C$7),"Outside period | ","")&amp;IF(COUNTIF(Settings!$E$14:$E$43,C1620&amp;"")&gt;0,"Sensitive account | ","")&amp;IF(AND(MAX(N(E1620),N(F1620))&gt;=Settings!$C$9,MOD(MAX(N(E1620),N(F1620)),Settings!$C$10)=0),"Round amount | ",""),LEN(IF(K1620="No","Does not balance | ","")&amp;IF(I1620="","Not approved | ",IF(UPPER(TRIM(H1620))=UPPER(TRIM(I1620)),"Self-approved | ",""))&amp;IF(J1620="","No support | ","")&amp;IF(WEEKDAY(B1620,2)&gt;5,"Weekend posting | ","")&amp;IF(COUNTIF(Settings!$A$14:$A$43,B1620)&gt;0,"Holiday posting | ","")&amp;IF(B1620&gt;Settings!$C$8,"Posted after close | ","")&amp;IF(OR(B1620&lt;Settings!$C$6,B1620&gt;Settings!$C$7),"Outside period | ","")&amp;IF(COUNTIF(Settings!$E$14:$E$43,C1620&amp;"")&gt;0,"Sensitive account | ","")&amp;IF(AND(MAX(N(E1620),N(F1620))&gt;=Settings!$C$9,MOD(MAX(N(E1620),N(F1620)),Settings!$C$10)=0),"Round amount | ",""))-3)))</f>
        <v/>
      </c>
      <c r="M1620" s="21" t="str">
        <f aca="false">IF(A1620="","",IF(COUNTIF($A$9:A1620,A1620)=1,MAX($M$8:M1619)+1,""))</f>
        <v/>
      </c>
    </row>
    <row r="1621" customFormat="false" ht="15" hidden="false" customHeight="false" outlineLevel="0" collapsed="false">
      <c r="A1621" s="8"/>
      <c r="B1621" s="17"/>
      <c r="C1621" s="19"/>
      <c r="D1621" s="8"/>
      <c r="E1621" s="18"/>
      <c r="F1621" s="18"/>
      <c r="G1621" s="8"/>
      <c r="H1621" s="8"/>
      <c r="I1621" s="8"/>
      <c r="J1621" s="8"/>
      <c r="K1621" s="10" t="str">
        <f aca="false">IF(A1621="","",IF(ABS(SUMIFS($E$9:$E$2008,$A$9:$A$2008,A1621)-SUMIFS($F$9:$F$2008,$A$9:$A$2008,A1621))&lt;0.5,"Yes","No"))</f>
        <v/>
      </c>
      <c r="L1621" s="10" t="str">
        <f aca="false">IF(A1621="","",IF(IF(K1621="No","Does not balance | ","")&amp;IF(I1621="","Not approved | ",IF(UPPER(TRIM(H1621))=UPPER(TRIM(I1621)),"Self-approved | ",""))&amp;IF(J1621="","No support | ","")&amp;IF(WEEKDAY(B1621,2)&gt;5,"Weekend posting | ","")&amp;IF(COUNTIF(Settings!$A$14:$A$43,B1621)&gt;0,"Holiday posting | ","")&amp;IF(B1621&gt;Settings!$C$8,"Posted after close | ","")&amp;IF(OR(B1621&lt;Settings!$C$6,B1621&gt;Settings!$C$7),"Outside period | ","")&amp;IF(COUNTIF(Settings!$E$14:$E$43,C1621&amp;"")&gt;0,"Sensitive account | ","")&amp;IF(AND(MAX(N(E1621),N(F1621))&gt;=Settings!$C$9,MOD(MAX(N(E1621),N(F1621)),Settings!$C$10)=0),"Round amount | ","")="","",LEFT(IF(K1621="No","Does not balance | ","")&amp;IF(I1621="","Not approved | ",IF(UPPER(TRIM(H1621))=UPPER(TRIM(I1621)),"Self-approved | ",""))&amp;IF(J1621="","No support | ","")&amp;IF(WEEKDAY(B1621,2)&gt;5,"Weekend posting | ","")&amp;IF(COUNTIF(Settings!$A$14:$A$43,B1621)&gt;0,"Holiday posting | ","")&amp;IF(B1621&gt;Settings!$C$8,"Posted after close | ","")&amp;IF(OR(B1621&lt;Settings!$C$6,B1621&gt;Settings!$C$7),"Outside period | ","")&amp;IF(COUNTIF(Settings!$E$14:$E$43,C1621&amp;"")&gt;0,"Sensitive account | ","")&amp;IF(AND(MAX(N(E1621),N(F1621))&gt;=Settings!$C$9,MOD(MAX(N(E1621),N(F1621)),Settings!$C$10)=0),"Round amount | ",""),LEN(IF(K1621="No","Does not balance | ","")&amp;IF(I1621="","Not approved | ",IF(UPPER(TRIM(H1621))=UPPER(TRIM(I1621)),"Self-approved | ",""))&amp;IF(J1621="","No support | ","")&amp;IF(WEEKDAY(B1621,2)&gt;5,"Weekend posting | ","")&amp;IF(COUNTIF(Settings!$A$14:$A$43,B1621)&gt;0,"Holiday posting | ","")&amp;IF(B1621&gt;Settings!$C$8,"Posted after close | ","")&amp;IF(OR(B1621&lt;Settings!$C$6,B1621&gt;Settings!$C$7),"Outside period | ","")&amp;IF(COUNTIF(Settings!$E$14:$E$43,C1621&amp;"")&gt;0,"Sensitive account | ","")&amp;IF(AND(MAX(N(E1621),N(F1621))&gt;=Settings!$C$9,MOD(MAX(N(E1621),N(F1621)),Settings!$C$10)=0),"Round amount | ",""))-3)))</f>
        <v/>
      </c>
      <c r="M1621" s="21" t="str">
        <f aca="false">IF(A1621="","",IF(COUNTIF($A$9:A1621,A1621)=1,MAX($M$8:M1620)+1,""))</f>
        <v/>
      </c>
    </row>
    <row r="1622" customFormat="false" ht="15" hidden="false" customHeight="false" outlineLevel="0" collapsed="false">
      <c r="A1622" s="8"/>
      <c r="B1622" s="17"/>
      <c r="C1622" s="19"/>
      <c r="D1622" s="8"/>
      <c r="E1622" s="18"/>
      <c r="F1622" s="18"/>
      <c r="G1622" s="8"/>
      <c r="H1622" s="8"/>
      <c r="I1622" s="8"/>
      <c r="J1622" s="8"/>
      <c r="K1622" s="10" t="str">
        <f aca="false">IF(A1622="","",IF(ABS(SUMIFS($E$9:$E$2008,$A$9:$A$2008,A1622)-SUMIFS($F$9:$F$2008,$A$9:$A$2008,A1622))&lt;0.5,"Yes","No"))</f>
        <v/>
      </c>
      <c r="L1622" s="10" t="str">
        <f aca="false">IF(A1622="","",IF(IF(K1622="No","Does not balance | ","")&amp;IF(I1622="","Not approved | ",IF(UPPER(TRIM(H1622))=UPPER(TRIM(I1622)),"Self-approved | ",""))&amp;IF(J1622="","No support | ","")&amp;IF(WEEKDAY(B1622,2)&gt;5,"Weekend posting | ","")&amp;IF(COUNTIF(Settings!$A$14:$A$43,B1622)&gt;0,"Holiday posting | ","")&amp;IF(B1622&gt;Settings!$C$8,"Posted after close | ","")&amp;IF(OR(B1622&lt;Settings!$C$6,B1622&gt;Settings!$C$7),"Outside period | ","")&amp;IF(COUNTIF(Settings!$E$14:$E$43,C1622&amp;"")&gt;0,"Sensitive account | ","")&amp;IF(AND(MAX(N(E1622),N(F1622))&gt;=Settings!$C$9,MOD(MAX(N(E1622),N(F1622)),Settings!$C$10)=0),"Round amount | ","")="","",LEFT(IF(K1622="No","Does not balance | ","")&amp;IF(I1622="","Not approved | ",IF(UPPER(TRIM(H1622))=UPPER(TRIM(I1622)),"Self-approved | ",""))&amp;IF(J1622="","No support | ","")&amp;IF(WEEKDAY(B1622,2)&gt;5,"Weekend posting | ","")&amp;IF(COUNTIF(Settings!$A$14:$A$43,B1622)&gt;0,"Holiday posting | ","")&amp;IF(B1622&gt;Settings!$C$8,"Posted after close | ","")&amp;IF(OR(B1622&lt;Settings!$C$6,B1622&gt;Settings!$C$7),"Outside period | ","")&amp;IF(COUNTIF(Settings!$E$14:$E$43,C1622&amp;"")&gt;0,"Sensitive account | ","")&amp;IF(AND(MAX(N(E1622),N(F1622))&gt;=Settings!$C$9,MOD(MAX(N(E1622),N(F1622)),Settings!$C$10)=0),"Round amount | ",""),LEN(IF(K1622="No","Does not balance | ","")&amp;IF(I1622="","Not approved | ",IF(UPPER(TRIM(H1622))=UPPER(TRIM(I1622)),"Self-approved | ",""))&amp;IF(J1622="","No support | ","")&amp;IF(WEEKDAY(B1622,2)&gt;5,"Weekend posting | ","")&amp;IF(COUNTIF(Settings!$A$14:$A$43,B1622)&gt;0,"Holiday posting | ","")&amp;IF(B1622&gt;Settings!$C$8,"Posted after close | ","")&amp;IF(OR(B1622&lt;Settings!$C$6,B1622&gt;Settings!$C$7),"Outside period | ","")&amp;IF(COUNTIF(Settings!$E$14:$E$43,C1622&amp;"")&gt;0,"Sensitive account | ","")&amp;IF(AND(MAX(N(E1622),N(F1622))&gt;=Settings!$C$9,MOD(MAX(N(E1622),N(F1622)),Settings!$C$10)=0),"Round amount | ",""))-3)))</f>
        <v/>
      </c>
      <c r="M1622" s="21" t="str">
        <f aca="false">IF(A1622="","",IF(COUNTIF($A$9:A1622,A1622)=1,MAX($M$8:M1621)+1,""))</f>
        <v/>
      </c>
    </row>
    <row r="1623" customFormat="false" ht="15" hidden="false" customHeight="false" outlineLevel="0" collapsed="false">
      <c r="A1623" s="8"/>
      <c r="B1623" s="17"/>
      <c r="C1623" s="19"/>
      <c r="D1623" s="8"/>
      <c r="E1623" s="18"/>
      <c r="F1623" s="18"/>
      <c r="G1623" s="8"/>
      <c r="H1623" s="8"/>
      <c r="I1623" s="8"/>
      <c r="J1623" s="8"/>
      <c r="K1623" s="10" t="str">
        <f aca="false">IF(A1623="","",IF(ABS(SUMIFS($E$9:$E$2008,$A$9:$A$2008,A1623)-SUMIFS($F$9:$F$2008,$A$9:$A$2008,A1623))&lt;0.5,"Yes","No"))</f>
        <v/>
      </c>
      <c r="L1623" s="10" t="str">
        <f aca="false">IF(A1623="","",IF(IF(K1623="No","Does not balance | ","")&amp;IF(I1623="","Not approved | ",IF(UPPER(TRIM(H1623))=UPPER(TRIM(I1623)),"Self-approved | ",""))&amp;IF(J1623="","No support | ","")&amp;IF(WEEKDAY(B1623,2)&gt;5,"Weekend posting | ","")&amp;IF(COUNTIF(Settings!$A$14:$A$43,B1623)&gt;0,"Holiday posting | ","")&amp;IF(B1623&gt;Settings!$C$8,"Posted after close | ","")&amp;IF(OR(B1623&lt;Settings!$C$6,B1623&gt;Settings!$C$7),"Outside period | ","")&amp;IF(COUNTIF(Settings!$E$14:$E$43,C1623&amp;"")&gt;0,"Sensitive account | ","")&amp;IF(AND(MAX(N(E1623),N(F1623))&gt;=Settings!$C$9,MOD(MAX(N(E1623),N(F1623)),Settings!$C$10)=0),"Round amount | ","")="","",LEFT(IF(K1623="No","Does not balance | ","")&amp;IF(I1623="","Not approved | ",IF(UPPER(TRIM(H1623))=UPPER(TRIM(I1623)),"Self-approved | ",""))&amp;IF(J1623="","No support | ","")&amp;IF(WEEKDAY(B1623,2)&gt;5,"Weekend posting | ","")&amp;IF(COUNTIF(Settings!$A$14:$A$43,B1623)&gt;0,"Holiday posting | ","")&amp;IF(B1623&gt;Settings!$C$8,"Posted after close | ","")&amp;IF(OR(B1623&lt;Settings!$C$6,B1623&gt;Settings!$C$7),"Outside period | ","")&amp;IF(COUNTIF(Settings!$E$14:$E$43,C1623&amp;"")&gt;0,"Sensitive account | ","")&amp;IF(AND(MAX(N(E1623),N(F1623))&gt;=Settings!$C$9,MOD(MAX(N(E1623),N(F1623)),Settings!$C$10)=0),"Round amount | ",""),LEN(IF(K1623="No","Does not balance | ","")&amp;IF(I1623="","Not approved | ",IF(UPPER(TRIM(H1623))=UPPER(TRIM(I1623)),"Self-approved | ",""))&amp;IF(J1623="","No support | ","")&amp;IF(WEEKDAY(B1623,2)&gt;5,"Weekend posting | ","")&amp;IF(COUNTIF(Settings!$A$14:$A$43,B1623)&gt;0,"Holiday posting | ","")&amp;IF(B1623&gt;Settings!$C$8,"Posted after close | ","")&amp;IF(OR(B1623&lt;Settings!$C$6,B1623&gt;Settings!$C$7),"Outside period | ","")&amp;IF(COUNTIF(Settings!$E$14:$E$43,C1623&amp;"")&gt;0,"Sensitive account | ","")&amp;IF(AND(MAX(N(E1623),N(F1623))&gt;=Settings!$C$9,MOD(MAX(N(E1623),N(F1623)),Settings!$C$10)=0),"Round amount | ",""))-3)))</f>
        <v/>
      </c>
      <c r="M1623" s="21" t="str">
        <f aca="false">IF(A1623="","",IF(COUNTIF($A$9:A1623,A1623)=1,MAX($M$8:M1622)+1,""))</f>
        <v/>
      </c>
    </row>
    <row r="1624" customFormat="false" ht="15" hidden="false" customHeight="false" outlineLevel="0" collapsed="false">
      <c r="A1624" s="8"/>
      <c r="B1624" s="17"/>
      <c r="C1624" s="19"/>
      <c r="D1624" s="8"/>
      <c r="E1624" s="18"/>
      <c r="F1624" s="18"/>
      <c r="G1624" s="8"/>
      <c r="H1624" s="8"/>
      <c r="I1624" s="8"/>
      <c r="J1624" s="8"/>
      <c r="K1624" s="10" t="str">
        <f aca="false">IF(A1624="","",IF(ABS(SUMIFS($E$9:$E$2008,$A$9:$A$2008,A1624)-SUMIFS($F$9:$F$2008,$A$9:$A$2008,A1624))&lt;0.5,"Yes","No"))</f>
        <v/>
      </c>
      <c r="L1624" s="10" t="str">
        <f aca="false">IF(A1624="","",IF(IF(K1624="No","Does not balance | ","")&amp;IF(I1624="","Not approved | ",IF(UPPER(TRIM(H1624))=UPPER(TRIM(I1624)),"Self-approved | ",""))&amp;IF(J1624="","No support | ","")&amp;IF(WEEKDAY(B1624,2)&gt;5,"Weekend posting | ","")&amp;IF(COUNTIF(Settings!$A$14:$A$43,B1624)&gt;0,"Holiday posting | ","")&amp;IF(B1624&gt;Settings!$C$8,"Posted after close | ","")&amp;IF(OR(B1624&lt;Settings!$C$6,B1624&gt;Settings!$C$7),"Outside period | ","")&amp;IF(COUNTIF(Settings!$E$14:$E$43,C1624&amp;"")&gt;0,"Sensitive account | ","")&amp;IF(AND(MAX(N(E1624),N(F1624))&gt;=Settings!$C$9,MOD(MAX(N(E1624),N(F1624)),Settings!$C$10)=0),"Round amount | ","")="","",LEFT(IF(K1624="No","Does not balance | ","")&amp;IF(I1624="","Not approved | ",IF(UPPER(TRIM(H1624))=UPPER(TRIM(I1624)),"Self-approved | ",""))&amp;IF(J1624="","No support | ","")&amp;IF(WEEKDAY(B1624,2)&gt;5,"Weekend posting | ","")&amp;IF(COUNTIF(Settings!$A$14:$A$43,B1624)&gt;0,"Holiday posting | ","")&amp;IF(B1624&gt;Settings!$C$8,"Posted after close | ","")&amp;IF(OR(B1624&lt;Settings!$C$6,B1624&gt;Settings!$C$7),"Outside period | ","")&amp;IF(COUNTIF(Settings!$E$14:$E$43,C1624&amp;"")&gt;0,"Sensitive account | ","")&amp;IF(AND(MAX(N(E1624),N(F1624))&gt;=Settings!$C$9,MOD(MAX(N(E1624),N(F1624)),Settings!$C$10)=0),"Round amount | ",""),LEN(IF(K1624="No","Does not balance | ","")&amp;IF(I1624="","Not approved | ",IF(UPPER(TRIM(H1624))=UPPER(TRIM(I1624)),"Self-approved | ",""))&amp;IF(J1624="","No support | ","")&amp;IF(WEEKDAY(B1624,2)&gt;5,"Weekend posting | ","")&amp;IF(COUNTIF(Settings!$A$14:$A$43,B1624)&gt;0,"Holiday posting | ","")&amp;IF(B1624&gt;Settings!$C$8,"Posted after close | ","")&amp;IF(OR(B1624&lt;Settings!$C$6,B1624&gt;Settings!$C$7),"Outside period | ","")&amp;IF(COUNTIF(Settings!$E$14:$E$43,C1624&amp;"")&gt;0,"Sensitive account | ","")&amp;IF(AND(MAX(N(E1624),N(F1624))&gt;=Settings!$C$9,MOD(MAX(N(E1624),N(F1624)),Settings!$C$10)=0),"Round amount | ",""))-3)))</f>
        <v/>
      </c>
      <c r="M1624" s="21" t="str">
        <f aca="false">IF(A1624="","",IF(COUNTIF($A$9:A1624,A1624)=1,MAX($M$8:M1623)+1,""))</f>
        <v/>
      </c>
    </row>
    <row r="1625" customFormat="false" ht="15" hidden="false" customHeight="false" outlineLevel="0" collapsed="false">
      <c r="A1625" s="8"/>
      <c r="B1625" s="17"/>
      <c r="C1625" s="19"/>
      <c r="D1625" s="8"/>
      <c r="E1625" s="18"/>
      <c r="F1625" s="18"/>
      <c r="G1625" s="8"/>
      <c r="H1625" s="8"/>
      <c r="I1625" s="8"/>
      <c r="J1625" s="8"/>
      <c r="K1625" s="10" t="str">
        <f aca="false">IF(A1625="","",IF(ABS(SUMIFS($E$9:$E$2008,$A$9:$A$2008,A1625)-SUMIFS($F$9:$F$2008,$A$9:$A$2008,A1625))&lt;0.5,"Yes","No"))</f>
        <v/>
      </c>
      <c r="L1625" s="10" t="str">
        <f aca="false">IF(A1625="","",IF(IF(K1625="No","Does not balance | ","")&amp;IF(I1625="","Not approved | ",IF(UPPER(TRIM(H1625))=UPPER(TRIM(I1625)),"Self-approved | ",""))&amp;IF(J1625="","No support | ","")&amp;IF(WEEKDAY(B1625,2)&gt;5,"Weekend posting | ","")&amp;IF(COUNTIF(Settings!$A$14:$A$43,B1625)&gt;0,"Holiday posting | ","")&amp;IF(B1625&gt;Settings!$C$8,"Posted after close | ","")&amp;IF(OR(B1625&lt;Settings!$C$6,B1625&gt;Settings!$C$7),"Outside period | ","")&amp;IF(COUNTIF(Settings!$E$14:$E$43,C1625&amp;"")&gt;0,"Sensitive account | ","")&amp;IF(AND(MAX(N(E1625),N(F1625))&gt;=Settings!$C$9,MOD(MAX(N(E1625),N(F1625)),Settings!$C$10)=0),"Round amount | ","")="","",LEFT(IF(K1625="No","Does not balance | ","")&amp;IF(I1625="","Not approved | ",IF(UPPER(TRIM(H1625))=UPPER(TRIM(I1625)),"Self-approved | ",""))&amp;IF(J1625="","No support | ","")&amp;IF(WEEKDAY(B1625,2)&gt;5,"Weekend posting | ","")&amp;IF(COUNTIF(Settings!$A$14:$A$43,B1625)&gt;0,"Holiday posting | ","")&amp;IF(B1625&gt;Settings!$C$8,"Posted after close | ","")&amp;IF(OR(B1625&lt;Settings!$C$6,B1625&gt;Settings!$C$7),"Outside period | ","")&amp;IF(COUNTIF(Settings!$E$14:$E$43,C1625&amp;"")&gt;0,"Sensitive account | ","")&amp;IF(AND(MAX(N(E1625),N(F1625))&gt;=Settings!$C$9,MOD(MAX(N(E1625),N(F1625)),Settings!$C$10)=0),"Round amount | ",""),LEN(IF(K1625="No","Does not balance | ","")&amp;IF(I1625="","Not approved | ",IF(UPPER(TRIM(H1625))=UPPER(TRIM(I1625)),"Self-approved | ",""))&amp;IF(J1625="","No support | ","")&amp;IF(WEEKDAY(B1625,2)&gt;5,"Weekend posting | ","")&amp;IF(COUNTIF(Settings!$A$14:$A$43,B1625)&gt;0,"Holiday posting | ","")&amp;IF(B1625&gt;Settings!$C$8,"Posted after close | ","")&amp;IF(OR(B1625&lt;Settings!$C$6,B1625&gt;Settings!$C$7),"Outside period | ","")&amp;IF(COUNTIF(Settings!$E$14:$E$43,C1625&amp;"")&gt;0,"Sensitive account | ","")&amp;IF(AND(MAX(N(E1625),N(F1625))&gt;=Settings!$C$9,MOD(MAX(N(E1625),N(F1625)),Settings!$C$10)=0),"Round amount | ",""))-3)))</f>
        <v/>
      </c>
      <c r="M1625" s="21" t="str">
        <f aca="false">IF(A1625="","",IF(COUNTIF($A$9:A1625,A1625)=1,MAX($M$8:M1624)+1,""))</f>
        <v/>
      </c>
    </row>
    <row r="1626" customFormat="false" ht="15" hidden="false" customHeight="false" outlineLevel="0" collapsed="false">
      <c r="A1626" s="8"/>
      <c r="B1626" s="17"/>
      <c r="C1626" s="19"/>
      <c r="D1626" s="8"/>
      <c r="E1626" s="18"/>
      <c r="F1626" s="18"/>
      <c r="G1626" s="8"/>
      <c r="H1626" s="8"/>
      <c r="I1626" s="8"/>
      <c r="J1626" s="8"/>
      <c r="K1626" s="10" t="str">
        <f aca="false">IF(A1626="","",IF(ABS(SUMIFS($E$9:$E$2008,$A$9:$A$2008,A1626)-SUMIFS($F$9:$F$2008,$A$9:$A$2008,A1626))&lt;0.5,"Yes","No"))</f>
        <v/>
      </c>
      <c r="L1626" s="10" t="str">
        <f aca="false">IF(A1626="","",IF(IF(K1626="No","Does not balance | ","")&amp;IF(I1626="","Not approved | ",IF(UPPER(TRIM(H1626))=UPPER(TRIM(I1626)),"Self-approved | ",""))&amp;IF(J1626="","No support | ","")&amp;IF(WEEKDAY(B1626,2)&gt;5,"Weekend posting | ","")&amp;IF(COUNTIF(Settings!$A$14:$A$43,B1626)&gt;0,"Holiday posting | ","")&amp;IF(B1626&gt;Settings!$C$8,"Posted after close | ","")&amp;IF(OR(B1626&lt;Settings!$C$6,B1626&gt;Settings!$C$7),"Outside period | ","")&amp;IF(COUNTIF(Settings!$E$14:$E$43,C1626&amp;"")&gt;0,"Sensitive account | ","")&amp;IF(AND(MAX(N(E1626),N(F1626))&gt;=Settings!$C$9,MOD(MAX(N(E1626),N(F1626)),Settings!$C$10)=0),"Round amount | ","")="","",LEFT(IF(K1626="No","Does not balance | ","")&amp;IF(I1626="","Not approved | ",IF(UPPER(TRIM(H1626))=UPPER(TRIM(I1626)),"Self-approved | ",""))&amp;IF(J1626="","No support | ","")&amp;IF(WEEKDAY(B1626,2)&gt;5,"Weekend posting | ","")&amp;IF(COUNTIF(Settings!$A$14:$A$43,B1626)&gt;0,"Holiday posting | ","")&amp;IF(B1626&gt;Settings!$C$8,"Posted after close | ","")&amp;IF(OR(B1626&lt;Settings!$C$6,B1626&gt;Settings!$C$7),"Outside period | ","")&amp;IF(COUNTIF(Settings!$E$14:$E$43,C1626&amp;"")&gt;0,"Sensitive account | ","")&amp;IF(AND(MAX(N(E1626),N(F1626))&gt;=Settings!$C$9,MOD(MAX(N(E1626),N(F1626)),Settings!$C$10)=0),"Round amount | ",""),LEN(IF(K1626="No","Does not balance | ","")&amp;IF(I1626="","Not approved | ",IF(UPPER(TRIM(H1626))=UPPER(TRIM(I1626)),"Self-approved | ",""))&amp;IF(J1626="","No support | ","")&amp;IF(WEEKDAY(B1626,2)&gt;5,"Weekend posting | ","")&amp;IF(COUNTIF(Settings!$A$14:$A$43,B1626)&gt;0,"Holiday posting | ","")&amp;IF(B1626&gt;Settings!$C$8,"Posted after close | ","")&amp;IF(OR(B1626&lt;Settings!$C$6,B1626&gt;Settings!$C$7),"Outside period | ","")&amp;IF(COUNTIF(Settings!$E$14:$E$43,C1626&amp;"")&gt;0,"Sensitive account | ","")&amp;IF(AND(MAX(N(E1626),N(F1626))&gt;=Settings!$C$9,MOD(MAX(N(E1626),N(F1626)),Settings!$C$10)=0),"Round amount | ",""))-3)))</f>
        <v/>
      </c>
      <c r="M1626" s="21" t="str">
        <f aca="false">IF(A1626="","",IF(COUNTIF($A$9:A1626,A1626)=1,MAX($M$8:M1625)+1,""))</f>
        <v/>
      </c>
    </row>
    <row r="1627" customFormat="false" ht="15" hidden="false" customHeight="false" outlineLevel="0" collapsed="false">
      <c r="A1627" s="8"/>
      <c r="B1627" s="17"/>
      <c r="C1627" s="19"/>
      <c r="D1627" s="8"/>
      <c r="E1627" s="18"/>
      <c r="F1627" s="18"/>
      <c r="G1627" s="8"/>
      <c r="H1627" s="8"/>
      <c r="I1627" s="8"/>
      <c r="J1627" s="8"/>
      <c r="K1627" s="10" t="str">
        <f aca="false">IF(A1627="","",IF(ABS(SUMIFS($E$9:$E$2008,$A$9:$A$2008,A1627)-SUMIFS($F$9:$F$2008,$A$9:$A$2008,A1627))&lt;0.5,"Yes","No"))</f>
        <v/>
      </c>
      <c r="L1627" s="10" t="str">
        <f aca="false">IF(A1627="","",IF(IF(K1627="No","Does not balance | ","")&amp;IF(I1627="","Not approved | ",IF(UPPER(TRIM(H1627))=UPPER(TRIM(I1627)),"Self-approved | ",""))&amp;IF(J1627="","No support | ","")&amp;IF(WEEKDAY(B1627,2)&gt;5,"Weekend posting | ","")&amp;IF(COUNTIF(Settings!$A$14:$A$43,B1627)&gt;0,"Holiday posting | ","")&amp;IF(B1627&gt;Settings!$C$8,"Posted after close | ","")&amp;IF(OR(B1627&lt;Settings!$C$6,B1627&gt;Settings!$C$7),"Outside period | ","")&amp;IF(COUNTIF(Settings!$E$14:$E$43,C1627&amp;"")&gt;0,"Sensitive account | ","")&amp;IF(AND(MAX(N(E1627),N(F1627))&gt;=Settings!$C$9,MOD(MAX(N(E1627),N(F1627)),Settings!$C$10)=0),"Round amount | ","")="","",LEFT(IF(K1627="No","Does not balance | ","")&amp;IF(I1627="","Not approved | ",IF(UPPER(TRIM(H1627))=UPPER(TRIM(I1627)),"Self-approved | ",""))&amp;IF(J1627="","No support | ","")&amp;IF(WEEKDAY(B1627,2)&gt;5,"Weekend posting | ","")&amp;IF(COUNTIF(Settings!$A$14:$A$43,B1627)&gt;0,"Holiday posting | ","")&amp;IF(B1627&gt;Settings!$C$8,"Posted after close | ","")&amp;IF(OR(B1627&lt;Settings!$C$6,B1627&gt;Settings!$C$7),"Outside period | ","")&amp;IF(COUNTIF(Settings!$E$14:$E$43,C1627&amp;"")&gt;0,"Sensitive account | ","")&amp;IF(AND(MAX(N(E1627),N(F1627))&gt;=Settings!$C$9,MOD(MAX(N(E1627),N(F1627)),Settings!$C$10)=0),"Round amount | ",""),LEN(IF(K1627="No","Does not balance | ","")&amp;IF(I1627="","Not approved | ",IF(UPPER(TRIM(H1627))=UPPER(TRIM(I1627)),"Self-approved | ",""))&amp;IF(J1627="","No support | ","")&amp;IF(WEEKDAY(B1627,2)&gt;5,"Weekend posting | ","")&amp;IF(COUNTIF(Settings!$A$14:$A$43,B1627)&gt;0,"Holiday posting | ","")&amp;IF(B1627&gt;Settings!$C$8,"Posted after close | ","")&amp;IF(OR(B1627&lt;Settings!$C$6,B1627&gt;Settings!$C$7),"Outside period | ","")&amp;IF(COUNTIF(Settings!$E$14:$E$43,C1627&amp;"")&gt;0,"Sensitive account | ","")&amp;IF(AND(MAX(N(E1627),N(F1627))&gt;=Settings!$C$9,MOD(MAX(N(E1627),N(F1627)),Settings!$C$10)=0),"Round amount | ",""))-3)))</f>
        <v/>
      </c>
      <c r="M1627" s="21" t="str">
        <f aca="false">IF(A1627="","",IF(COUNTIF($A$9:A1627,A1627)=1,MAX($M$8:M1626)+1,""))</f>
        <v/>
      </c>
    </row>
    <row r="1628" customFormat="false" ht="15" hidden="false" customHeight="false" outlineLevel="0" collapsed="false">
      <c r="A1628" s="8"/>
      <c r="B1628" s="17"/>
      <c r="C1628" s="19"/>
      <c r="D1628" s="8"/>
      <c r="E1628" s="18"/>
      <c r="F1628" s="18"/>
      <c r="G1628" s="8"/>
      <c r="H1628" s="8"/>
      <c r="I1628" s="8"/>
      <c r="J1628" s="8"/>
      <c r="K1628" s="10" t="str">
        <f aca="false">IF(A1628="","",IF(ABS(SUMIFS($E$9:$E$2008,$A$9:$A$2008,A1628)-SUMIFS($F$9:$F$2008,$A$9:$A$2008,A1628))&lt;0.5,"Yes","No"))</f>
        <v/>
      </c>
      <c r="L1628" s="10" t="str">
        <f aca="false">IF(A1628="","",IF(IF(K1628="No","Does not balance | ","")&amp;IF(I1628="","Not approved | ",IF(UPPER(TRIM(H1628))=UPPER(TRIM(I1628)),"Self-approved | ",""))&amp;IF(J1628="","No support | ","")&amp;IF(WEEKDAY(B1628,2)&gt;5,"Weekend posting | ","")&amp;IF(COUNTIF(Settings!$A$14:$A$43,B1628)&gt;0,"Holiday posting | ","")&amp;IF(B1628&gt;Settings!$C$8,"Posted after close | ","")&amp;IF(OR(B1628&lt;Settings!$C$6,B1628&gt;Settings!$C$7),"Outside period | ","")&amp;IF(COUNTIF(Settings!$E$14:$E$43,C1628&amp;"")&gt;0,"Sensitive account | ","")&amp;IF(AND(MAX(N(E1628),N(F1628))&gt;=Settings!$C$9,MOD(MAX(N(E1628),N(F1628)),Settings!$C$10)=0),"Round amount | ","")="","",LEFT(IF(K1628="No","Does not balance | ","")&amp;IF(I1628="","Not approved | ",IF(UPPER(TRIM(H1628))=UPPER(TRIM(I1628)),"Self-approved | ",""))&amp;IF(J1628="","No support | ","")&amp;IF(WEEKDAY(B1628,2)&gt;5,"Weekend posting | ","")&amp;IF(COUNTIF(Settings!$A$14:$A$43,B1628)&gt;0,"Holiday posting | ","")&amp;IF(B1628&gt;Settings!$C$8,"Posted after close | ","")&amp;IF(OR(B1628&lt;Settings!$C$6,B1628&gt;Settings!$C$7),"Outside period | ","")&amp;IF(COUNTIF(Settings!$E$14:$E$43,C1628&amp;"")&gt;0,"Sensitive account | ","")&amp;IF(AND(MAX(N(E1628),N(F1628))&gt;=Settings!$C$9,MOD(MAX(N(E1628),N(F1628)),Settings!$C$10)=0),"Round amount | ",""),LEN(IF(K1628="No","Does not balance | ","")&amp;IF(I1628="","Not approved | ",IF(UPPER(TRIM(H1628))=UPPER(TRIM(I1628)),"Self-approved | ",""))&amp;IF(J1628="","No support | ","")&amp;IF(WEEKDAY(B1628,2)&gt;5,"Weekend posting | ","")&amp;IF(COUNTIF(Settings!$A$14:$A$43,B1628)&gt;0,"Holiday posting | ","")&amp;IF(B1628&gt;Settings!$C$8,"Posted after close | ","")&amp;IF(OR(B1628&lt;Settings!$C$6,B1628&gt;Settings!$C$7),"Outside period | ","")&amp;IF(COUNTIF(Settings!$E$14:$E$43,C1628&amp;"")&gt;0,"Sensitive account | ","")&amp;IF(AND(MAX(N(E1628),N(F1628))&gt;=Settings!$C$9,MOD(MAX(N(E1628),N(F1628)),Settings!$C$10)=0),"Round amount | ",""))-3)))</f>
        <v/>
      </c>
      <c r="M1628" s="21" t="str">
        <f aca="false">IF(A1628="","",IF(COUNTIF($A$9:A1628,A1628)=1,MAX($M$8:M1627)+1,""))</f>
        <v/>
      </c>
    </row>
    <row r="1629" customFormat="false" ht="15" hidden="false" customHeight="false" outlineLevel="0" collapsed="false">
      <c r="A1629" s="8"/>
      <c r="B1629" s="17"/>
      <c r="C1629" s="19"/>
      <c r="D1629" s="8"/>
      <c r="E1629" s="18"/>
      <c r="F1629" s="18"/>
      <c r="G1629" s="8"/>
      <c r="H1629" s="8"/>
      <c r="I1629" s="8"/>
      <c r="J1629" s="8"/>
      <c r="K1629" s="10" t="str">
        <f aca="false">IF(A1629="","",IF(ABS(SUMIFS($E$9:$E$2008,$A$9:$A$2008,A1629)-SUMIFS($F$9:$F$2008,$A$9:$A$2008,A1629))&lt;0.5,"Yes","No"))</f>
        <v/>
      </c>
      <c r="L1629" s="10" t="str">
        <f aca="false">IF(A1629="","",IF(IF(K1629="No","Does not balance | ","")&amp;IF(I1629="","Not approved | ",IF(UPPER(TRIM(H1629))=UPPER(TRIM(I1629)),"Self-approved | ",""))&amp;IF(J1629="","No support | ","")&amp;IF(WEEKDAY(B1629,2)&gt;5,"Weekend posting | ","")&amp;IF(COUNTIF(Settings!$A$14:$A$43,B1629)&gt;0,"Holiday posting | ","")&amp;IF(B1629&gt;Settings!$C$8,"Posted after close | ","")&amp;IF(OR(B1629&lt;Settings!$C$6,B1629&gt;Settings!$C$7),"Outside period | ","")&amp;IF(COUNTIF(Settings!$E$14:$E$43,C1629&amp;"")&gt;0,"Sensitive account | ","")&amp;IF(AND(MAX(N(E1629),N(F1629))&gt;=Settings!$C$9,MOD(MAX(N(E1629),N(F1629)),Settings!$C$10)=0),"Round amount | ","")="","",LEFT(IF(K1629="No","Does not balance | ","")&amp;IF(I1629="","Not approved | ",IF(UPPER(TRIM(H1629))=UPPER(TRIM(I1629)),"Self-approved | ",""))&amp;IF(J1629="","No support | ","")&amp;IF(WEEKDAY(B1629,2)&gt;5,"Weekend posting | ","")&amp;IF(COUNTIF(Settings!$A$14:$A$43,B1629)&gt;0,"Holiday posting | ","")&amp;IF(B1629&gt;Settings!$C$8,"Posted after close | ","")&amp;IF(OR(B1629&lt;Settings!$C$6,B1629&gt;Settings!$C$7),"Outside period | ","")&amp;IF(COUNTIF(Settings!$E$14:$E$43,C1629&amp;"")&gt;0,"Sensitive account | ","")&amp;IF(AND(MAX(N(E1629),N(F1629))&gt;=Settings!$C$9,MOD(MAX(N(E1629),N(F1629)),Settings!$C$10)=0),"Round amount | ",""),LEN(IF(K1629="No","Does not balance | ","")&amp;IF(I1629="","Not approved | ",IF(UPPER(TRIM(H1629))=UPPER(TRIM(I1629)),"Self-approved | ",""))&amp;IF(J1629="","No support | ","")&amp;IF(WEEKDAY(B1629,2)&gt;5,"Weekend posting | ","")&amp;IF(COUNTIF(Settings!$A$14:$A$43,B1629)&gt;0,"Holiday posting | ","")&amp;IF(B1629&gt;Settings!$C$8,"Posted after close | ","")&amp;IF(OR(B1629&lt;Settings!$C$6,B1629&gt;Settings!$C$7),"Outside period | ","")&amp;IF(COUNTIF(Settings!$E$14:$E$43,C1629&amp;"")&gt;0,"Sensitive account | ","")&amp;IF(AND(MAX(N(E1629),N(F1629))&gt;=Settings!$C$9,MOD(MAX(N(E1629),N(F1629)),Settings!$C$10)=0),"Round amount | ",""))-3)))</f>
        <v/>
      </c>
      <c r="M1629" s="21" t="str">
        <f aca="false">IF(A1629="","",IF(COUNTIF($A$9:A1629,A1629)=1,MAX($M$8:M1628)+1,""))</f>
        <v/>
      </c>
    </row>
    <row r="1630" customFormat="false" ht="15" hidden="false" customHeight="false" outlineLevel="0" collapsed="false">
      <c r="A1630" s="8"/>
      <c r="B1630" s="17"/>
      <c r="C1630" s="19"/>
      <c r="D1630" s="8"/>
      <c r="E1630" s="18"/>
      <c r="F1630" s="18"/>
      <c r="G1630" s="8"/>
      <c r="H1630" s="8"/>
      <c r="I1630" s="8"/>
      <c r="J1630" s="8"/>
      <c r="K1630" s="10" t="str">
        <f aca="false">IF(A1630="","",IF(ABS(SUMIFS($E$9:$E$2008,$A$9:$A$2008,A1630)-SUMIFS($F$9:$F$2008,$A$9:$A$2008,A1630))&lt;0.5,"Yes","No"))</f>
        <v/>
      </c>
      <c r="L1630" s="10" t="str">
        <f aca="false">IF(A1630="","",IF(IF(K1630="No","Does not balance | ","")&amp;IF(I1630="","Not approved | ",IF(UPPER(TRIM(H1630))=UPPER(TRIM(I1630)),"Self-approved | ",""))&amp;IF(J1630="","No support | ","")&amp;IF(WEEKDAY(B1630,2)&gt;5,"Weekend posting | ","")&amp;IF(COUNTIF(Settings!$A$14:$A$43,B1630)&gt;0,"Holiday posting | ","")&amp;IF(B1630&gt;Settings!$C$8,"Posted after close | ","")&amp;IF(OR(B1630&lt;Settings!$C$6,B1630&gt;Settings!$C$7),"Outside period | ","")&amp;IF(COUNTIF(Settings!$E$14:$E$43,C1630&amp;"")&gt;0,"Sensitive account | ","")&amp;IF(AND(MAX(N(E1630),N(F1630))&gt;=Settings!$C$9,MOD(MAX(N(E1630),N(F1630)),Settings!$C$10)=0),"Round amount | ","")="","",LEFT(IF(K1630="No","Does not balance | ","")&amp;IF(I1630="","Not approved | ",IF(UPPER(TRIM(H1630))=UPPER(TRIM(I1630)),"Self-approved | ",""))&amp;IF(J1630="","No support | ","")&amp;IF(WEEKDAY(B1630,2)&gt;5,"Weekend posting | ","")&amp;IF(COUNTIF(Settings!$A$14:$A$43,B1630)&gt;0,"Holiday posting | ","")&amp;IF(B1630&gt;Settings!$C$8,"Posted after close | ","")&amp;IF(OR(B1630&lt;Settings!$C$6,B1630&gt;Settings!$C$7),"Outside period | ","")&amp;IF(COUNTIF(Settings!$E$14:$E$43,C1630&amp;"")&gt;0,"Sensitive account | ","")&amp;IF(AND(MAX(N(E1630),N(F1630))&gt;=Settings!$C$9,MOD(MAX(N(E1630),N(F1630)),Settings!$C$10)=0),"Round amount | ",""),LEN(IF(K1630="No","Does not balance | ","")&amp;IF(I1630="","Not approved | ",IF(UPPER(TRIM(H1630))=UPPER(TRIM(I1630)),"Self-approved | ",""))&amp;IF(J1630="","No support | ","")&amp;IF(WEEKDAY(B1630,2)&gt;5,"Weekend posting | ","")&amp;IF(COUNTIF(Settings!$A$14:$A$43,B1630)&gt;0,"Holiday posting | ","")&amp;IF(B1630&gt;Settings!$C$8,"Posted after close | ","")&amp;IF(OR(B1630&lt;Settings!$C$6,B1630&gt;Settings!$C$7),"Outside period | ","")&amp;IF(COUNTIF(Settings!$E$14:$E$43,C1630&amp;"")&gt;0,"Sensitive account | ","")&amp;IF(AND(MAX(N(E1630),N(F1630))&gt;=Settings!$C$9,MOD(MAX(N(E1630),N(F1630)),Settings!$C$10)=0),"Round amount | ",""))-3)))</f>
        <v/>
      </c>
      <c r="M1630" s="21" t="str">
        <f aca="false">IF(A1630="","",IF(COUNTIF($A$9:A1630,A1630)=1,MAX($M$8:M1629)+1,""))</f>
        <v/>
      </c>
    </row>
    <row r="1631" customFormat="false" ht="15" hidden="false" customHeight="false" outlineLevel="0" collapsed="false">
      <c r="A1631" s="8"/>
      <c r="B1631" s="17"/>
      <c r="C1631" s="19"/>
      <c r="D1631" s="8"/>
      <c r="E1631" s="18"/>
      <c r="F1631" s="18"/>
      <c r="G1631" s="8"/>
      <c r="H1631" s="8"/>
      <c r="I1631" s="8"/>
      <c r="J1631" s="8"/>
      <c r="K1631" s="10" t="str">
        <f aca="false">IF(A1631="","",IF(ABS(SUMIFS($E$9:$E$2008,$A$9:$A$2008,A1631)-SUMIFS($F$9:$F$2008,$A$9:$A$2008,A1631))&lt;0.5,"Yes","No"))</f>
        <v/>
      </c>
      <c r="L1631" s="10" t="str">
        <f aca="false">IF(A1631="","",IF(IF(K1631="No","Does not balance | ","")&amp;IF(I1631="","Not approved | ",IF(UPPER(TRIM(H1631))=UPPER(TRIM(I1631)),"Self-approved | ",""))&amp;IF(J1631="","No support | ","")&amp;IF(WEEKDAY(B1631,2)&gt;5,"Weekend posting | ","")&amp;IF(COUNTIF(Settings!$A$14:$A$43,B1631)&gt;0,"Holiday posting | ","")&amp;IF(B1631&gt;Settings!$C$8,"Posted after close | ","")&amp;IF(OR(B1631&lt;Settings!$C$6,B1631&gt;Settings!$C$7),"Outside period | ","")&amp;IF(COUNTIF(Settings!$E$14:$E$43,C1631&amp;"")&gt;0,"Sensitive account | ","")&amp;IF(AND(MAX(N(E1631),N(F1631))&gt;=Settings!$C$9,MOD(MAX(N(E1631),N(F1631)),Settings!$C$10)=0),"Round amount | ","")="","",LEFT(IF(K1631="No","Does not balance | ","")&amp;IF(I1631="","Not approved | ",IF(UPPER(TRIM(H1631))=UPPER(TRIM(I1631)),"Self-approved | ",""))&amp;IF(J1631="","No support | ","")&amp;IF(WEEKDAY(B1631,2)&gt;5,"Weekend posting | ","")&amp;IF(COUNTIF(Settings!$A$14:$A$43,B1631)&gt;0,"Holiday posting | ","")&amp;IF(B1631&gt;Settings!$C$8,"Posted after close | ","")&amp;IF(OR(B1631&lt;Settings!$C$6,B1631&gt;Settings!$C$7),"Outside period | ","")&amp;IF(COUNTIF(Settings!$E$14:$E$43,C1631&amp;"")&gt;0,"Sensitive account | ","")&amp;IF(AND(MAX(N(E1631),N(F1631))&gt;=Settings!$C$9,MOD(MAX(N(E1631),N(F1631)),Settings!$C$10)=0),"Round amount | ",""),LEN(IF(K1631="No","Does not balance | ","")&amp;IF(I1631="","Not approved | ",IF(UPPER(TRIM(H1631))=UPPER(TRIM(I1631)),"Self-approved | ",""))&amp;IF(J1631="","No support | ","")&amp;IF(WEEKDAY(B1631,2)&gt;5,"Weekend posting | ","")&amp;IF(COUNTIF(Settings!$A$14:$A$43,B1631)&gt;0,"Holiday posting | ","")&amp;IF(B1631&gt;Settings!$C$8,"Posted after close | ","")&amp;IF(OR(B1631&lt;Settings!$C$6,B1631&gt;Settings!$C$7),"Outside period | ","")&amp;IF(COUNTIF(Settings!$E$14:$E$43,C1631&amp;"")&gt;0,"Sensitive account | ","")&amp;IF(AND(MAX(N(E1631),N(F1631))&gt;=Settings!$C$9,MOD(MAX(N(E1631),N(F1631)),Settings!$C$10)=0),"Round amount | ",""))-3)))</f>
        <v/>
      </c>
      <c r="M1631" s="21" t="str">
        <f aca="false">IF(A1631="","",IF(COUNTIF($A$9:A1631,A1631)=1,MAX($M$8:M1630)+1,""))</f>
        <v/>
      </c>
    </row>
    <row r="1632" customFormat="false" ht="15" hidden="false" customHeight="false" outlineLevel="0" collapsed="false">
      <c r="A1632" s="8"/>
      <c r="B1632" s="17"/>
      <c r="C1632" s="19"/>
      <c r="D1632" s="8"/>
      <c r="E1632" s="18"/>
      <c r="F1632" s="18"/>
      <c r="G1632" s="8"/>
      <c r="H1632" s="8"/>
      <c r="I1632" s="8"/>
      <c r="J1632" s="8"/>
      <c r="K1632" s="10" t="str">
        <f aca="false">IF(A1632="","",IF(ABS(SUMIFS($E$9:$E$2008,$A$9:$A$2008,A1632)-SUMIFS($F$9:$F$2008,$A$9:$A$2008,A1632))&lt;0.5,"Yes","No"))</f>
        <v/>
      </c>
      <c r="L1632" s="10" t="str">
        <f aca="false">IF(A1632="","",IF(IF(K1632="No","Does not balance | ","")&amp;IF(I1632="","Not approved | ",IF(UPPER(TRIM(H1632))=UPPER(TRIM(I1632)),"Self-approved | ",""))&amp;IF(J1632="","No support | ","")&amp;IF(WEEKDAY(B1632,2)&gt;5,"Weekend posting | ","")&amp;IF(COUNTIF(Settings!$A$14:$A$43,B1632)&gt;0,"Holiday posting | ","")&amp;IF(B1632&gt;Settings!$C$8,"Posted after close | ","")&amp;IF(OR(B1632&lt;Settings!$C$6,B1632&gt;Settings!$C$7),"Outside period | ","")&amp;IF(COUNTIF(Settings!$E$14:$E$43,C1632&amp;"")&gt;0,"Sensitive account | ","")&amp;IF(AND(MAX(N(E1632),N(F1632))&gt;=Settings!$C$9,MOD(MAX(N(E1632),N(F1632)),Settings!$C$10)=0),"Round amount | ","")="","",LEFT(IF(K1632="No","Does not balance | ","")&amp;IF(I1632="","Not approved | ",IF(UPPER(TRIM(H1632))=UPPER(TRIM(I1632)),"Self-approved | ",""))&amp;IF(J1632="","No support | ","")&amp;IF(WEEKDAY(B1632,2)&gt;5,"Weekend posting | ","")&amp;IF(COUNTIF(Settings!$A$14:$A$43,B1632)&gt;0,"Holiday posting | ","")&amp;IF(B1632&gt;Settings!$C$8,"Posted after close | ","")&amp;IF(OR(B1632&lt;Settings!$C$6,B1632&gt;Settings!$C$7),"Outside period | ","")&amp;IF(COUNTIF(Settings!$E$14:$E$43,C1632&amp;"")&gt;0,"Sensitive account | ","")&amp;IF(AND(MAX(N(E1632),N(F1632))&gt;=Settings!$C$9,MOD(MAX(N(E1632),N(F1632)),Settings!$C$10)=0),"Round amount | ",""),LEN(IF(K1632="No","Does not balance | ","")&amp;IF(I1632="","Not approved | ",IF(UPPER(TRIM(H1632))=UPPER(TRIM(I1632)),"Self-approved | ",""))&amp;IF(J1632="","No support | ","")&amp;IF(WEEKDAY(B1632,2)&gt;5,"Weekend posting | ","")&amp;IF(COUNTIF(Settings!$A$14:$A$43,B1632)&gt;0,"Holiday posting | ","")&amp;IF(B1632&gt;Settings!$C$8,"Posted after close | ","")&amp;IF(OR(B1632&lt;Settings!$C$6,B1632&gt;Settings!$C$7),"Outside period | ","")&amp;IF(COUNTIF(Settings!$E$14:$E$43,C1632&amp;"")&gt;0,"Sensitive account | ","")&amp;IF(AND(MAX(N(E1632),N(F1632))&gt;=Settings!$C$9,MOD(MAX(N(E1632),N(F1632)),Settings!$C$10)=0),"Round amount | ",""))-3)))</f>
        <v/>
      </c>
      <c r="M1632" s="21" t="str">
        <f aca="false">IF(A1632="","",IF(COUNTIF($A$9:A1632,A1632)=1,MAX($M$8:M1631)+1,""))</f>
        <v/>
      </c>
    </row>
    <row r="1633" customFormat="false" ht="15" hidden="false" customHeight="false" outlineLevel="0" collapsed="false">
      <c r="A1633" s="8"/>
      <c r="B1633" s="17"/>
      <c r="C1633" s="19"/>
      <c r="D1633" s="8"/>
      <c r="E1633" s="18"/>
      <c r="F1633" s="18"/>
      <c r="G1633" s="8"/>
      <c r="H1633" s="8"/>
      <c r="I1633" s="8"/>
      <c r="J1633" s="8"/>
      <c r="K1633" s="10" t="str">
        <f aca="false">IF(A1633="","",IF(ABS(SUMIFS($E$9:$E$2008,$A$9:$A$2008,A1633)-SUMIFS($F$9:$F$2008,$A$9:$A$2008,A1633))&lt;0.5,"Yes","No"))</f>
        <v/>
      </c>
      <c r="L1633" s="10" t="str">
        <f aca="false">IF(A1633="","",IF(IF(K1633="No","Does not balance | ","")&amp;IF(I1633="","Not approved | ",IF(UPPER(TRIM(H1633))=UPPER(TRIM(I1633)),"Self-approved | ",""))&amp;IF(J1633="","No support | ","")&amp;IF(WEEKDAY(B1633,2)&gt;5,"Weekend posting | ","")&amp;IF(COUNTIF(Settings!$A$14:$A$43,B1633)&gt;0,"Holiday posting | ","")&amp;IF(B1633&gt;Settings!$C$8,"Posted after close | ","")&amp;IF(OR(B1633&lt;Settings!$C$6,B1633&gt;Settings!$C$7),"Outside period | ","")&amp;IF(COUNTIF(Settings!$E$14:$E$43,C1633&amp;"")&gt;0,"Sensitive account | ","")&amp;IF(AND(MAX(N(E1633),N(F1633))&gt;=Settings!$C$9,MOD(MAX(N(E1633),N(F1633)),Settings!$C$10)=0),"Round amount | ","")="","",LEFT(IF(K1633="No","Does not balance | ","")&amp;IF(I1633="","Not approved | ",IF(UPPER(TRIM(H1633))=UPPER(TRIM(I1633)),"Self-approved | ",""))&amp;IF(J1633="","No support | ","")&amp;IF(WEEKDAY(B1633,2)&gt;5,"Weekend posting | ","")&amp;IF(COUNTIF(Settings!$A$14:$A$43,B1633)&gt;0,"Holiday posting | ","")&amp;IF(B1633&gt;Settings!$C$8,"Posted after close | ","")&amp;IF(OR(B1633&lt;Settings!$C$6,B1633&gt;Settings!$C$7),"Outside period | ","")&amp;IF(COUNTIF(Settings!$E$14:$E$43,C1633&amp;"")&gt;0,"Sensitive account | ","")&amp;IF(AND(MAX(N(E1633),N(F1633))&gt;=Settings!$C$9,MOD(MAX(N(E1633),N(F1633)),Settings!$C$10)=0),"Round amount | ",""),LEN(IF(K1633="No","Does not balance | ","")&amp;IF(I1633="","Not approved | ",IF(UPPER(TRIM(H1633))=UPPER(TRIM(I1633)),"Self-approved | ",""))&amp;IF(J1633="","No support | ","")&amp;IF(WEEKDAY(B1633,2)&gt;5,"Weekend posting | ","")&amp;IF(COUNTIF(Settings!$A$14:$A$43,B1633)&gt;0,"Holiday posting | ","")&amp;IF(B1633&gt;Settings!$C$8,"Posted after close | ","")&amp;IF(OR(B1633&lt;Settings!$C$6,B1633&gt;Settings!$C$7),"Outside period | ","")&amp;IF(COUNTIF(Settings!$E$14:$E$43,C1633&amp;"")&gt;0,"Sensitive account | ","")&amp;IF(AND(MAX(N(E1633),N(F1633))&gt;=Settings!$C$9,MOD(MAX(N(E1633),N(F1633)),Settings!$C$10)=0),"Round amount | ",""))-3)))</f>
        <v/>
      </c>
      <c r="M1633" s="21" t="str">
        <f aca="false">IF(A1633="","",IF(COUNTIF($A$9:A1633,A1633)=1,MAX($M$8:M1632)+1,""))</f>
        <v/>
      </c>
    </row>
    <row r="1634" customFormat="false" ht="15" hidden="false" customHeight="false" outlineLevel="0" collapsed="false">
      <c r="A1634" s="8"/>
      <c r="B1634" s="17"/>
      <c r="C1634" s="19"/>
      <c r="D1634" s="8"/>
      <c r="E1634" s="18"/>
      <c r="F1634" s="18"/>
      <c r="G1634" s="8"/>
      <c r="H1634" s="8"/>
      <c r="I1634" s="8"/>
      <c r="J1634" s="8"/>
      <c r="K1634" s="10" t="str">
        <f aca="false">IF(A1634="","",IF(ABS(SUMIFS($E$9:$E$2008,$A$9:$A$2008,A1634)-SUMIFS($F$9:$F$2008,$A$9:$A$2008,A1634))&lt;0.5,"Yes","No"))</f>
        <v/>
      </c>
      <c r="L1634" s="10" t="str">
        <f aca="false">IF(A1634="","",IF(IF(K1634="No","Does not balance | ","")&amp;IF(I1634="","Not approved | ",IF(UPPER(TRIM(H1634))=UPPER(TRIM(I1634)),"Self-approved | ",""))&amp;IF(J1634="","No support | ","")&amp;IF(WEEKDAY(B1634,2)&gt;5,"Weekend posting | ","")&amp;IF(COUNTIF(Settings!$A$14:$A$43,B1634)&gt;0,"Holiday posting | ","")&amp;IF(B1634&gt;Settings!$C$8,"Posted after close | ","")&amp;IF(OR(B1634&lt;Settings!$C$6,B1634&gt;Settings!$C$7),"Outside period | ","")&amp;IF(COUNTIF(Settings!$E$14:$E$43,C1634&amp;"")&gt;0,"Sensitive account | ","")&amp;IF(AND(MAX(N(E1634),N(F1634))&gt;=Settings!$C$9,MOD(MAX(N(E1634),N(F1634)),Settings!$C$10)=0),"Round amount | ","")="","",LEFT(IF(K1634="No","Does not balance | ","")&amp;IF(I1634="","Not approved | ",IF(UPPER(TRIM(H1634))=UPPER(TRIM(I1634)),"Self-approved | ",""))&amp;IF(J1634="","No support | ","")&amp;IF(WEEKDAY(B1634,2)&gt;5,"Weekend posting | ","")&amp;IF(COUNTIF(Settings!$A$14:$A$43,B1634)&gt;0,"Holiday posting | ","")&amp;IF(B1634&gt;Settings!$C$8,"Posted after close | ","")&amp;IF(OR(B1634&lt;Settings!$C$6,B1634&gt;Settings!$C$7),"Outside period | ","")&amp;IF(COUNTIF(Settings!$E$14:$E$43,C1634&amp;"")&gt;0,"Sensitive account | ","")&amp;IF(AND(MAX(N(E1634),N(F1634))&gt;=Settings!$C$9,MOD(MAX(N(E1634),N(F1634)),Settings!$C$10)=0),"Round amount | ",""),LEN(IF(K1634="No","Does not balance | ","")&amp;IF(I1634="","Not approved | ",IF(UPPER(TRIM(H1634))=UPPER(TRIM(I1634)),"Self-approved | ",""))&amp;IF(J1634="","No support | ","")&amp;IF(WEEKDAY(B1634,2)&gt;5,"Weekend posting | ","")&amp;IF(COUNTIF(Settings!$A$14:$A$43,B1634)&gt;0,"Holiday posting | ","")&amp;IF(B1634&gt;Settings!$C$8,"Posted after close | ","")&amp;IF(OR(B1634&lt;Settings!$C$6,B1634&gt;Settings!$C$7),"Outside period | ","")&amp;IF(COUNTIF(Settings!$E$14:$E$43,C1634&amp;"")&gt;0,"Sensitive account | ","")&amp;IF(AND(MAX(N(E1634),N(F1634))&gt;=Settings!$C$9,MOD(MAX(N(E1634),N(F1634)),Settings!$C$10)=0),"Round amount | ",""))-3)))</f>
        <v/>
      </c>
      <c r="M1634" s="21" t="str">
        <f aca="false">IF(A1634="","",IF(COUNTIF($A$9:A1634,A1634)=1,MAX($M$8:M1633)+1,""))</f>
        <v/>
      </c>
    </row>
    <row r="1635" customFormat="false" ht="15" hidden="false" customHeight="false" outlineLevel="0" collapsed="false">
      <c r="A1635" s="8"/>
      <c r="B1635" s="17"/>
      <c r="C1635" s="19"/>
      <c r="D1635" s="8"/>
      <c r="E1635" s="18"/>
      <c r="F1635" s="18"/>
      <c r="G1635" s="8"/>
      <c r="H1635" s="8"/>
      <c r="I1635" s="8"/>
      <c r="J1635" s="8"/>
      <c r="K1635" s="10" t="str">
        <f aca="false">IF(A1635="","",IF(ABS(SUMIFS($E$9:$E$2008,$A$9:$A$2008,A1635)-SUMIFS($F$9:$F$2008,$A$9:$A$2008,A1635))&lt;0.5,"Yes","No"))</f>
        <v/>
      </c>
      <c r="L1635" s="10" t="str">
        <f aca="false">IF(A1635="","",IF(IF(K1635="No","Does not balance | ","")&amp;IF(I1635="","Not approved | ",IF(UPPER(TRIM(H1635))=UPPER(TRIM(I1635)),"Self-approved | ",""))&amp;IF(J1635="","No support | ","")&amp;IF(WEEKDAY(B1635,2)&gt;5,"Weekend posting | ","")&amp;IF(COUNTIF(Settings!$A$14:$A$43,B1635)&gt;0,"Holiday posting | ","")&amp;IF(B1635&gt;Settings!$C$8,"Posted after close | ","")&amp;IF(OR(B1635&lt;Settings!$C$6,B1635&gt;Settings!$C$7),"Outside period | ","")&amp;IF(COUNTIF(Settings!$E$14:$E$43,C1635&amp;"")&gt;0,"Sensitive account | ","")&amp;IF(AND(MAX(N(E1635),N(F1635))&gt;=Settings!$C$9,MOD(MAX(N(E1635),N(F1635)),Settings!$C$10)=0),"Round amount | ","")="","",LEFT(IF(K1635="No","Does not balance | ","")&amp;IF(I1635="","Not approved | ",IF(UPPER(TRIM(H1635))=UPPER(TRIM(I1635)),"Self-approved | ",""))&amp;IF(J1635="","No support | ","")&amp;IF(WEEKDAY(B1635,2)&gt;5,"Weekend posting | ","")&amp;IF(COUNTIF(Settings!$A$14:$A$43,B1635)&gt;0,"Holiday posting | ","")&amp;IF(B1635&gt;Settings!$C$8,"Posted after close | ","")&amp;IF(OR(B1635&lt;Settings!$C$6,B1635&gt;Settings!$C$7),"Outside period | ","")&amp;IF(COUNTIF(Settings!$E$14:$E$43,C1635&amp;"")&gt;0,"Sensitive account | ","")&amp;IF(AND(MAX(N(E1635),N(F1635))&gt;=Settings!$C$9,MOD(MAX(N(E1635),N(F1635)),Settings!$C$10)=0),"Round amount | ",""),LEN(IF(K1635="No","Does not balance | ","")&amp;IF(I1635="","Not approved | ",IF(UPPER(TRIM(H1635))=UPPER(TRIM(I1635)),"Self-approved | ",""))&amp;IF(J1635="","No support | ","")&amp;IF(WEEKDAY(B1635,2)&gt;5,"Weekend posting | ","")&amp;IF(COUNTIF(Settings!$A$14:$A$43,B1635)&gt;0,"Holiday posting | ","")&amp;IF(B1635&gt;Settings!$C$8,"Posted after close | ","")&amp;IF(OR(B1635&lt;Settings!$C$6,B1635&gt;Settings!$C$7),"Outside period | ","")&amp;IF(COUNTIF(Settings!$E$14:$E$43,C1635&amp;"")&gt;0,"Sensitive account | ","")&amp;IF(AND(MAX(N(E1635),N(F1635))&gt;=Settings!$C$9,MOD(MAX(N(E1635),N(F1635)),Settings!$C$10)=0),"Round amount | ",""))-3)))</f>
        <v/>
      </c>
      <c r="M1635" s="21" t="str">
        <f aca="false">IF(A1635="","",IF(COUNTIF($A$9:A1635,A1635)=1,MAX($M$8:M1634)+1,""))</f>
        <v/>
      </c>
    </row>
    <row r="1636" customFormat="false" ht="15" hidden="false" customHeight="false" outlineLevel="0" collapsed="false">
      <c r="A1636" s="8"/>
      <c r="B1636" s="17"/>
      <c r="C1636" s="19"/>
      <c r="D1636" s="8"/>
      <c r="E1636" s="18"/>
      <c r="F1636" s="18"/>
      <c r="G1636" s="8"/>
      <c r="H1636" s="8"/>
      <c r="I1636" s="8"/>
      <c r="J1636" s="8"/>
      <c r="K1636" s="10" t="str">
        <f aca="false">IF(A1636="","",IF(ABS(SUMIFS($E$9:$E$2008,$A$9:$A$2008,A1636)-SUMIFS($F$9:$F$2008,$A$9:$A$2008,A1636))&lt;0.5,"Yes","No"))</f>
        <v/>
      </c>
      <c r="L1636" s="10" t="str">
        <f aca="false">IF(A1636="","",IF(IF(K1636="No","Does not balance | ","")&amp;IF(I1636="","Not approved | ",IF(UPPER(TRIM(H1636))=UPPER(TRIM(I1636)),"Self-approved | ",""))&amp;IF(J1636="","No support | ","")&amp;IF(WEEKDAY(B1636,2)&gt;5,"Weekend posting | ","")&amp;IF(COUNTIF(Settings!$A$14:$A$43,B1636)&gt;0,"Holiday posting | ","")&amp;IF(B1636&gt;Settings!$C$8,"Posted after close | ","")&amp;IF(OR(B1636&lt;Settings!$C$6,B1636&gt;Settings!$C$7),"Outside period | ","")&amp;IF(COUNTIF(Settings!$E$14:$E$43,C1636&amp;"")&gt;0,"Sensitive account | ","")&amp;IF(AND(MAX(N(E1636),N(F1636))&gt;=Settings!$C$9,MOD(MAX(N(E1636),N(F1636)),Settings!$C$10)=0),"Round amount | ","")="","",LEFT(IF(K1636="No","Does not balance | ","")&amp;IF(I1636="","Not approved | ",IF(UPPER(TRIM(H1636))=UPPER(TRIM(I1636)),"Self-approved | ",""))&amp;IF(J1636="","No support | ","")&amp;IF(WEEKDAY(B1636,2)&gt;5,"Weekend posting | ","")&amp;IF(COUNTIF(Settings!$A$14:$A$43,B1636)&gt;0,"Holiday posting | ","")&amp;IF(B1636&gt;Settings!$C$8,"Posted after close | ","")&amp;IF(OR(B1636&lt;Settings!$C$6,B1636&gt;Settings!$C$7),"Outside period | ","")&amp;IF(COUNTIF(Settings!$E$14:$E$43,C1636&amp;"")&gt;0,"Sensitive account | ","")&amp;IF(AND(MAX(N(E1636),N(F1636))&gt;=Settings!$C$9,MOD(MAX(N(E1636),N(F1636)),Settings!$C$10)=0),"Round amount | ",""),LEN(IF(K1636="No","Does not balance | ","")&amp;IF(I1636="","Not approved | ",IF(UPPER(TRIM(H1636))=UPPER(TRIM(I1636)),"Self-approved | ",""))&amp;IF(J1636="","No support | ","")&amp;IF(WEEKDAY(B1636,2)&gt;5,"Weekend posting | ","")&amp;IF(COUNTIF(Settings!$A$14:$A$43,B1636)&gt;0,"Holiday posting | ","")&amp;IF(B1636&gt;Settings!$C$8,"Posted after close | ","")&amp;IF(OR(B1636&lt;Settings!$C$6,B1636&gt;Settings!$C$7),"Outside period | ","")&amp;IF(COUNTIF(Settings!$E$14:$E$43,C1636&amp;"")&gt;0,"Sensitive account | ","")&amp;IF(AND(MAX(N(E1636),N(F1636))&gt;=Settings!$C$9,MOD(MAX(N(E1636),N(F1636)),Settings!$C$10)=0),"Round amount | ",""))-3)))</f>
        <v/>
      </c>
      <c r="M1636" s="21" t="str">
        <f aca="false">IF(A1636="","",IF(COUNTIF($A$9:A1636,A1636)=1,MAX($M$8:M1635)+1,""))</f>
        <v/>
      </c>
    </row>
    <row r="1637" customFormat="false" ht="15" hidden="false" customHeight="false" outlineLevel="0" collapsed="false">
      <c r="A1637" s="8"/>
      <c r="B1637" s="17"/>
      <c r="C1637" s="19"/>
      <c r="D1637" s="8"/>
      <c r="E1637" s="18"/>
      <c r="F1637" s="18"/>
      <c r="G1637" s="8"/>
      <c r="H1637" s="8"/>
      <c r="I1637" s="8"/>
      <c r="J1637" s="8"/>
      <c r="K1637" s="10" t="str">
        <f aca="false">IF(A1637="","",IF(ABS(SUMIFS($E$9:$E$2008,$A$9:$A$2008,A1637)-SUMIFS($F$9:$F$2008,$A$9:$A$2008,A1637))&lt;0.5,"Yes","No"))</f>
        <v/>
      </c>
      <c r="L1637" s="10" t="str">
        <f aca="false">IF(A1637="","",IF(IF(K1637="No","Does not balance | ","")&amp;IF(I1637="","Not approved | ",IF(UPPER(TRIM(H1637))=UPPER(TRIM(I1637)),"Self-approved | ",""))&amp;IF(J1637="","No support | ","")&amp;IF(WEEKDAY(B1637,2)&gt;5,"Weekend posting | ","")&amp;IF(COUNTIF(Settings!$A$14:$A$43,B1637)&gt;0,"Holiday posting | ","")&amp;IF(B1637&gt;Settings!$C$8,"Posted after close | ","")&amp;IF(OR(B1637&lt;Settings!$C$6,B1637&gt;Settings!$C$7),"Outside period | ","")&amp;IF(COUNTIF(Settings!$E$14:$E$43,C1637&amp;"")&gt;0,"Sensitive account | ","")&amp;IF(AND(MAX(N(E1637),N(F1637))&gt;=Settings!$C$9,MOD(MAX(N(E1637),N(F1637)),Settings!$C$10)=0),"Round amount | ","")="","",LEFT(IF(K1637="No","Does not balance | ","")&amp;IF(I1637="","Not approved | ",IF(UPPER(TRIM(H1637))=UPPER(TRIM(I1637)),"Self-approved | ",""))&amp;IF(J1637="","No support | ","")&amp;IF(WEEKDAY(B1637,2)&gt;5,"Weekend posting | ","")&amp;IF(COUNTIF(Settings!$A$14:$A$43,B1637)&gt;0,"Holiday posting | ","")&amp;IF(B1637&gt;Settings!$C$8,"Posted after close | ","")&amp;IF(OR(B1637&lt;Settings!$C$6,B1637&gt;Settings!$C$7),"Outside period | ","")&amp;IF(COUNTIF(Settings!$E$14:$E$43,C1637&amp;"")&gt;0,"Sensitive account | ","")&amp;IF(AND(MAX(N(E1637),N(F1637))&gt;=Settings!$C$9,MOD(MAX(N(E1637),N(F1637)),Settings!$C$10)=0),"Round amount | ",""),LEN(IF(K1637="No","Does not balance | ","")&amp;IF(I1637="","Not approved | ",IF(UPPER(TRIM(H1637))=UPPER(TRIM(I1637)),"Self-approved | ",""))&amp;IF(J1637="","No support | ","")&amp;IF(WEEKDAY(B1637,2)&gt;5,"Weekend posting | ","")&amp;IF(COUNTIF(Settings!$A$14:$A$43,B1637)&gt;0,"Holiday posting | ","")&amp;IF(B1637&gt;Settings!$C$8,"Posted after close | ","")&amp;IF(OR(B1637&lt;Settings!$C$6,B1637&gt;Settings!$C$7),"Outside period | ","")&amp;IF(COUNTIF(Settings!$E$14:$E$43,C1637&amp;"")&gt;0,"Sensitive account | ","")&amp;IF(AND(MAX(N(E1637),N(F1637))&gt;=Settings!$C$9,MOD(MAX(N(E1637),N(F1637)),Settings!$C$10)=0),"Round amount | ",""))-3)))</f>
        <v/>
      </c>
      <c r="M1637" s="21" t="str">
        <f aca="false">IF(A1637="","",IF(COUNTIF($A$9:A1637,A1637)=1,MAX($M$8:M1636)+1,""))</f>
        <v/>
      </c>
    </row>
    <row r="1638" customFormat="false" ht="15" hidden="false" customHeight="false" outlineLevel="0" collapsed="false">
      <c r="A1638" s="8"/>
      <c r="B1638" s="17"/>
      <c r="C1638" s="19"/>
      <c r="D1638" s="8"/>
      <c r="E1638" s="18"/>
      <c r="F1638" s="18"/>
      <c r="G1638" s="8"/>
      <c r="H1638" s="8"/>
      <c r="I1638" s="8"/>
      <c r="J1638" s="8"/>
      <c r="K1638" s="10" t="str">
        <f aca="false">IF(A1638="","",IF(ABS(SUMIFS($E$9:$E$2008,$A$9:$A$2008,A1638)-SUMIFS($F$9:$F$2008,$A$9:$A$2008,A1638))&lt;0.5,"Yes","No"))</f>
        <v/>
      </c>
      <c r="L1638" s="10" t="str">
        <f aca="false">IF(A1638="","",IF(IF(K1638="No","Does not balance | ","")&amp;IF(I1638="","Not approved | ",IF(UPPER(TRIM(H1638))=UPPER(TRIM(I1638)),"Self-approved | ",""))&amp;IF(J1638="","No support | ","")&amp;IF(WEEKDAY(B1638,2)&gt;5,"Weekend posting | ","")&amp;IF(COUNTIF(Settings!$A$14:$A$43,B1638)&gt;0,"Holiday posting | ","")&amp;IF(B1638&gt;Settings!$C$8,"Posted after close | ","")&amp;IF(OR(B1638&lt;Settings!$C$6,B1638&gt;Settings!$C$7),"Outside period | ","")&amp;IF(COUNTIF(Settings!$E$14:$E$43,C1638&amp;"")&gt;0,"Sensitive account | ","")&amp;IF(AND(MAX(N(E1638),N(F1638))&gt;=Settings!$C$9,MOD(MAX(N(E1638),N(F1638)),Settings!$C$10)=0),"Round amount | ","")="","",LEFT(IF(K1638="No","Does not balance | ","")&amp;IF(I1638="","Not approved | ",IF(UPPER(TRIM(H1638))=UPPER(TRIM(I1638)),"Self-approved | ",""))&amp;IF(J1638="","No support | ","")&amp;IF(WEEKDAY(B1638,2)&gt;5,"Weekend posting | ","")&amp;IF(COUNTIF(Settings!$A$14:$A$43,B1638)&gt;0,"Holiday posting | ","")&amp;IF(B1638&gt;Settings!$C$8,"Posted after close | ","")&amp;IF(OR(B1638&lt;Settings!$C$6,B1638&gt;Settings!$C$7),"Outside period | ","")&amp;IF(COUNTIF(Settings!$E$14:$E$43,C1638&amp;"")&gt;0,"Sensitive account | ","")&amp;IF(AND(MAX(N(E1638),N(F1638))&gt;=Settings!$C$9,MOD(MAX(N(E1638),N(F1638)),Settings!$C$10)=0),"Round amount | ",""),LEN(IF(K1638="No","Does not balance | ","")&amp;IF(I1638="","Not approved | ",IF(UPPER(TRIM(H1638))=UPPER(TRIM(I1638)),"Self-approved | ",""))&amp;IF(J1638="","No support | ","")&amp;IF(WEEKDAY(B1638,2)&gt;5,"Weekend posting | ","")&amp;IF(COUNTIF(Settings!$A$14:$A$43,B1638)&gt;0,"Holiday posting | ","")&amp;IF(B1638&gt;Settings!$C$8,"Posted after close | ","")&amp;IF(OR(B1638&lt;Settings!$C$6,B1638&gt;Settings!$C$7),"Outside period | ","")&amp;IF(COUNTIF(Settings!$E$14:$E$43,C1638&amp;"")&gt;0,"Sensitive account | ","")&amp;IF(AND(MAX(N(E1638),N(F1638))&gt;=Settings!$C$9,MOD(MAX(N(E1638),N(F1638)),Settings!$C$10)=0),"Round amount | ",""))-3)))</f>
        <v/>
      </c>
      <c r="M1638" s="21" t="str">
        <f aca="false">IF(A1638="","",IF(COUNTIF($A$9:A1638,A1638)=1,MAX($M$8:M1637)+1,""))</f>
        <v/>
      </c>
    </row>
    <row r="1639" customFormat="false" ht="15" hidden="false" customHeight="false" outlineLevel="0" collapsed="false">
      <c r="A1639" s="8"/>
      <c r="B1639" s="17"/>
      <c r="C1639" s="19"/>
      <c r="D1639" s="8"/>
      <c r="E1639" s="18"/>
      <c r="F1639" s="18"/>
      <c r="G1639" s="8"/>
      <c r="H1639" s="8"/>
      <c r="I1639" s="8"/>
      <c r="J1639" s="8"/>
      <c r="K1639" s="10" t="str">
        <f aca="false">IF(A1639="","",IF(ABS(SUMIFS($E$9:$E$2008,$A$9:$A$2008,A1639)-SUMIFS($F$9:$F$2008,$A$9:$A$2008,A1639))&lt;0.5,"Yes","No"))</f>
        <v/>
      </c>
      <c r="L1639" s="10" t="str">
        <f aca="false">IF(A1639="","",IF(IF(K1639="No","Does not balance | ","")&amp;IF(I1639="","Not approved | ",IF(UPPER(TRIM(H1639))=UPPER(TRIM(I1639)),"Self-approved | ",""))&amp;IF(J1639="","No support | ","")&amp;IF(WEEKDAY(B1639,2)&gt;5,"Weekend posting | ","")&amp;IF(COUNTIF(Settings!$A$14:$A$43,B1639)&gt;0,"Holiday posting | ","")&amp;IF(B1639&gt;Settings!$C$8,"Posted after close | ","")&amp;IF(OR(B1639&lt;Settings!$C$6,B1639&gt;Settings!$C$7),"Outside period | ","")&amp;IF(COUNTIF(Settings!$E$14:$E$43,C1639&amp;"")&gt;0,"Sensitive account | ","")&amp;IF(AND(MAX(N(E1639),N(F1639))&gt;=Settings!$C$9,MOD(MAX(N(E1639),N(F1639)),Settings!$C$10)=0),"Round amount | ","")="","",LEFT(IF(K1639="No","Does not balance | ","")&amp;IF(I1639="","Not approved | ",IF(UPPER(TRIM(H1639))=UPPER(TRIM(I1639)),"Self-approved | ",""))&amp;IF(J1639="","No support | ","")&amp;IF(WEEKDAY(B1639,2)&gt;5,"Weekend posting | ","")&amp;IF(COUNTIF(Settings!$A$14:$A$43,B1639)&gt;0,"Holiday posting | ","")&amp;IF(B1639&gt;Settings!$C$8,"Posted after close | ","")&amp;IF(OR(B1639&lt;Settings!$C$6,B1639&gt;Settings!$C$7),"Outside period | ","")&amp;IF(COUNTIF(Settings!$E$14:$E$43,C1639&amp;"")&gt;0,"Sensitive account | ","")&amp;IF(AND(MAX(N(E1639),N(F1639))&gt;=Settings!$C$9,MOD(MAX(N(E1639),N(F1639)),Settings!$C$10)=0),"Round amount | ",""),LEN(IF(K1639="No","Does not balance | ","")&amp;IF(I1639="","Not approved | ",IF(UPPER(TRIM(H1639))=UPPER(TRIM(I1639)),"Self-approved | ",""))&amp;IF(J1639="","No support | ","")&amp;IF(WEEKDAY(B1639,2)&gt;5,"Weekend posting | ","")&amp;IF(COUNTIF(Settings!$A$14:$A$43,B1639)&gt;0,"Holiday posting | ","")&amp;IF(B1639&gt;Settings!$C$8,"Posted after close | ","")&amp;IF(OR(B1639&lt;Settings!$C$6,B1639&gt;Settings!$C$7),"Outside period | ","")&amp;IF(COUNTIF(Settings!$E$14:$E$43,C1639&amp;"")&gt;0,"Sensitive account | ","")&amp;IF(AND(MAX(N(E1639),N(F1639))&gt;=Settings!$C$9,MOD(MAX(N(E1639),N(F1639)),Settings!$C$10)=0),"Round amount | ",""))-3)))</f>
        <v/>
      </c>
      <c r="M1639" s="21" t="str">
        <f aca="false">IF(A1639="","",IF(COUNTIF($A$9:A1639,A1639)=1,MAX($M$8:M1638)+1,""))</f>
        <v/>
      </c>
    </row>
    <row r="1640" customFormat="false" ht="15" hidden="false" customHeight="false" outlineLevel="0" collapsed="false">
      <c r="A1640" s="8"/>
      <c r="B1640" s="17"/>
      <c r="C1640" s="19"/>
      <c r="D1640" s="8"/>
      <c r="E1640" s="18"/>
      <c r="F1640" s="18"/>
      <c r="G1640" s="8"/>
      <c r="H1640" s="8"/>
      <c r="I1640" s="8"/>
      <c r="J1640" s="8"/>
      <c r="K1640" s="10" t="str">
        <f aca="false">IF(A1640="","",IF(ABS(SUMIFS($E$9:$E$2008,$A$9:$A$2008,A1640)-SUMIFS($F$9:$F$2008,$A$9:$A$2008,A1640))&lt;0.5,"Yes","No"))</f>
        <v/>
      </c>
      <c r="L1640" s="10" t="str">
        <f aca="false">IF(A1640="","",IF(IF(K1640="No","Does not balance | ","")&amp;IF(I1640="","Not approved | ",IF(UPPER(TRIM(H1640))=UPPER(TRIM(I1640)),"Self-approved | ",""))&amp;IF(J1640="","No support | ","")&amp;IF(WEEKDAY(B1640,2)&gt;5,"Weekend posting | ","")&amp;IF(COUNTIF(Settings!$A$14:$A$43,B1640)&gt;0,"Holiday posting | ","")&amp;IF(B1640&gt;Settings!$C$8,"Posted after close | ","")&amp;IF(OR(B1640&lt;Settings!$C$6,B1640&gt;Settings!$C$7),"Outside period | ","")&amp;IF(COUNTIF(Settings!$E$14:$E$43,C1640&amp;"")&gt;0,"Sensitive account | ","")&amp;IF(AND(MAX(N(E1640),N(F1640))&gt;=Settings!$C$9,MOD(MAX(N(E1640),N(F1640)),Settings!$C$10)=0),"Round amount | ","")="","",LEFT(IF(K1640="No","Does not balance | ","")&amp;IF(I1640="","Not approved | ",IF(UPPER(TRIM(H1640))=UPPER(TRIM(I1640)),"Self-approved | ",""))&amp;IF(J1640="","No support | ","")&amp;IF(WEEKDAY(B1640,2)&gt;5,"Weekend posting | ","")&amp;IF(COUNTIF(Settings!$A$14:$A$43,B1640)&gt;0,"Holiday posting | ","")&amp;IF(B1640&gt;Settings!$C$8,"Posted after close | ","")&amp;IF(OR(B1640&lt;Settings!$C$6,B1640&gt;Settings!$C$7),"Outside period | ","")&amp;IF(COUNTIF(Settings!$E$14:$E$43,C1640&amp;"")&gt;0,"Sensitive account | ","")&amp;IF(AND(MAX(N(E1640),N(F1640))&gt;=Settings!$C$9,MOD(MAX(N(E1640),N(F1640)),Settings!$C$10)=0),"Round amount | ",""),LEN(IF(K1640="No","Does not balance | ","")&amp;IF(I1640="","Not approved | ",IF(UPPER(TRIM(H1640))=UPPER(TRIM(I1640)),"Self-approved | ",""))&amp;IF(J1640="","No support | ","")&amp;IF(WEEKDAY(B1640,2)&gt;5,"Weekend posting | ","")&amp;IF(COUNTIF(Settings!$A$14:$A$43,B1640)&gt;0,"Holiday posting | ","")&amp;IF(B1640&gt;Settings!$C$8,"Posted after close | ","")&amp;IF(OR(B1640&lt;Settings!$C$6,B1640&gt;Settings!$C$7),"Outside period | ","")&amp;IF(COUNTIF(Settings!$E$14:$E$43,C1640&amp;"")&gt;0,"Sensitive account | ","")&amp;IF(AND(MAX(N(E1640),N(F1640))&gt;=Settings!$C$9,MOD(MAX(N(E1640),N(F1640)),Settings!$C$10)=0),"Round amount | ",""))-3)))</f>
        <v/>
      </c>
      <c r="M1640" s="21" t="str">
        <f aca="false">IF(A1640="","",IF(COUNTIF($A$9:A1640,A1640)=1,MAX($M$8:M1639)+1,""))</f>
        <v/>
      </c>
    </row>
    <row r="1641" customFormat="false" ht="15" hidden="false" customHeight="false" outlineLevel="0" collapsed="false">
      <c r="A1641" s="8"/>
      <c r="B1641" s="17"/>
      <c r="C1641" s="19"/>
      <c r="D1641" s="8"/>
      <c r="E1641" s="18"/>
      <c r="F1641" s="18"/>
      <c r="G1641" s="8"/>
      <c r="H1641" s="8"/>
      <c r="I1641" s="8"/>
      <c r="J1641" s="8"/>
      <c r="K1641" s="10" t="str">
        <f aca="false">IF(A1641="","",IF(ABS(SUMIFS($E$9:$E$2008,$A$9:$A$2008,A1641)-SUMIFS($F$9:$F$2008,$A$9:$A$2008,A1641))&lt;0.5,"Yes","No"))</f>
        <v/>
      </c>
      <c r="L1641" s="10" t="str">
        <f aca="false">IF(A1641="","",IF(IF(K1641="No","Does not balance | ","")&amp;IF(I1641="","Not approved | ",IF(UPPER(TRIM(H1641))=UPPER(TRIM(I1641)),"Self-approved | ",""))&amp;IF(J1641="","No support | ","")&amp;IF(WEEKDAY(B1641,2)&gt;5,"Weekend posting | ","")&amp;IF(COUNTIF(Settings!$A$14:$A$43,B1641)&gt;0,"Holiday posting | ","")&amp;IF(B1641&gt;Settings!$C$8,"Posted after close | ","")&amp;IF(OR(B1641&lt;Settings!$C$6,B1641&gt;Settings!$C$7),"Outside period | ","")&amp;IF(COUNTIF(Settings!$E$14:$E$43,C1641&amp;"")&gt;0,"Sensitive account | ","")&amp;IF(AND(MAX(N(E1641),N(F1641))&gt;=Settings!$C$9,MOD(MAX(N(E1641),N(F1641)),Settings!$C$10)=0),"Round amount | ","")="","",LEFT(IF(K1641="No","Does not balance | ","")&amp;IF(I1641="","Not approved | ",IF(UPPER(TRIM(H1641))=UPPER(TRIM(I1641)),"Self-approved | ",""))&amp;IF(J1641="","No support | ","")&amp;IF(WEEKDAY(B1641,2)&gt;5,"Weekend posting | ","")&amp;IF(COUNTIF(Settings!$A$14:$A$43,B1641)&gt;0,"Holiday posting | ","")&amp;IF(B1641&gt;Settings!$C$8,"Posted after close | ","")&amp;IF(OR(B1641&lt;Settings!$C$6,B1641&gt;Settings!$C$7),"Outside period | ","")&amp;IF(COUNTIF(Settings!$E$14:$E$43,C1641&amp;"")&gt;0,"Sensitive account | ","")&amp;IF(AND(MAX(N(E1641),N(F1641))&gt;=Settings!$C$9,MOD(MAX(N(E1641),N(F1641)),Settings!$C$10)=0),"Round amount | ",""),LEN(IF(K1641="No","Does not balance | ","")&amp;IF(I1641="","Not approved | ",IF(UPPER(TRIM(H1641))=UPPER(TRIM(I1641)),"Self-approved | ",""))&amp;IF(J1641="","No support | ","")&amp;IF(WEEKDAY(B1641,2)&gt;5,"Weekend posting | ","")&amp;IF(COUNTIF(Settings!$A$14:$A$43,B1641)&gt;0,"Holiday posting | ","")&amp;IF(B1641&gt;Settings!$C$8,"Posted after close | ","")&amp;IF(OR(B1641&lt;Settings!$C$6,B1641&gt;Settings!$C$7),"Outside period | ","")&amp;IF(COUNTIF(Settings!$E$14:$E$43,C1641&amp;"")&gt;0,"Sensitive account | ","")&amp;IF(AND(MAX(N(E1641),N(F1641))&gt;=Settings!$C$9,MOD(MAX(N(E1641),N(F1641)),Settings!$C$10)=0),"Round amount | ",""))-3)))</f>
        <v/>
      </c>
      <c r="M1641" s="21" t="str">
        <f aca="false">IF(A1641="","",IF(COUNTIF($A$9:A1641,A1641)=1,MAX($M$8:M1640)+1,""))</f>
        <v/>
      </c>
    </row>
    <row r="1642" customFormat="false" ht="15" hidden="false" customHeight="false" outlineLevel="0" collapsed="false">
      <c r="A1642" s="8"/>
      <c r="B1642" s="17"/>
      <c r="C1642" s="19"/>
      <c r="D1642" s="8"/>
      <c r="E1642" s="18"/>
      <c r="F1642" s="18"/>
      <c r="G1642" s="8"/>
      <c r="H1642" s="8"/>
      <c r="I1642" s="8"/>
      <c r="J1642" s="8"/>
      <c r="K1642" s="10" t="str">
        <f aca="false">IF(A1642="","",IF(ABS(SUMIFS($E$9:$E$2008,$A$9:$A$2008,A1642)-SUMIFS($F$9:$F$2008,$A$9:$A$2008,A1642))&lt;0.5,"Yes","No"))</f>
        <v/>
      </c>
      <c r="L1642" s="10" t="str">
        <f aca="false">IF(A1642="","",IF(IF(K1642="No","Does not balance | ","")&amp;IF(I1642="","Not approved | ",IF(UPPER(TRIM(H1642))=UPPER(TRIM(I1642)),"Self-approved | ",""))&amp;IF(J1642="","No support | ","")&amp;IF(WEEKDAY(B1642,2)&gt;5,"Weekend posting | ","")&amp;IF(COUNTIF(Settings!$A$14:$A$43,B1642)&gt;0,"Holiday posting | ","")&amp;IF(B1642&gt;Settings!$C$8,"Posted after close | ","")&amp;IF(OR(B1642&lt;Settings!$C$6,B1642&gt;Settings!$C$7),"Outside period | ","")&amp;IF(COUNTIF(Settings!$E$14:$E$43,C1642&amp;"")&gt;0,"Sensitive account | ","")&amp;IF(AND(MAX(N(E1642),N(F1642))&gt;=Settings!$C$9,MOD(MAX(N(E1642),N(F1642)),Settings!$C$10)=0),"Round amount | ","")="","",LEFT(IF(K1642="No","Does not balance | ","")&amp;IF(I1642="","Not approved | ",IF(UPPER(TRIM(H1642))=UPPER(TRIM(I1642)),"Self-approved | ",""))&amp;IF(J1642="","No support | ","")&amp;IF(WEEKDAY(B1642,2)&gt;5,"Weekend posting | ","")&amp;IF(COUNTIF(Settings!$A$14:$A$43,B1642)&gt;0,"Holiday posting | ","")&amp;IF(B1642&gt;Settings!$C$8,"Posted after close | ","")&amp;IF(OR(B1642&lt;Settings!$C$6,B1642&gt;Settings!$C$7),"Outside period | ","")&amp;IF(COUNTIF(Settings!$E$14:$E$43,C1642&amp;"")&gt;0,"Sensitive account | ","")&amp;IF(AND(MAX(N(E1642),N(F1642))&gt;=Settings!$C$9,MOD(MAX(N(E1642),N(F1642)),Settings!$C$10)=0),"Round amount | ",""),LEN(IF(K1642="No","Does not balance | ","")&amp;IF(I1642="","Not approved | ",IF(UPPER(TRIM(H1642))=UPPER(TRIM(I1642)),"Self-approved | ",""))&amp;IF(J1642="","No support | ","")&amp;IF(WEEKDAY(B1642,2)&gt;5,"Weekend posting | ","")&amp;IF(COUNTIF(Settings!$A$14:$A$43,B1642)&gt;0,"Holiday posting | ","")&amp;IF(B1642&gt;Settings!$C$8,"Posted after close | ","")&amp;IF(OR(B1642&lt;Settings!$C$6,B1642&gt;Settings!$C$7),"Outside period | ","")&amp;IF(COUNTIF(Settings!$E$14:$E$43,C1642&amp;"")&gt;0,"Sensitive account | ","")&amp;IF(AND(MAX(N(E1642),N(F1642))&gt;=Settings!$C$9,MOD(MAX(N(E1642),N(F1642)),Settings!$C$10)=0),"Round amount | ",""))-3)))</f>
        <v/>
      </c>
      <c r="M1642" s="21" t="str">
        <f aca="false">IF(A1642="","",IF(COUNTIF($A$9:A1642,A1642)=1,MAX($M$8:M1641)+1,""))</f>
        <v/>
      </c>
    </row>
    <row r="1643" customFormat="false" ht="15" hidden="false" customHeight="false" outlineLevel="0" collapsed="false">
      <c r="A1643" s="8"/>
      <c r="B1643" s="17"/>
      <c r="C1643" s="19"/>
      <c r="D1643" s="8"/>
      <c r="E1643" s="18"/>
      <c r="F1643" s="18"/>
      <c r="G1643" s="8"/>
      <c r="H1643" s="8"/>
      <c r="I1643" s="8"/>
      <c r="J1643" s="8"/>
      <c r="K1643" s="10" t="str">
        <f aca="false">IF(A1643="","",IF(ABS(SUMIFS($E$9:$E$2008,$A$9:$A$2008,A1643)-SUMIFS($F$9:$F$2008,$A$9:$A$2008,A1643))&lt;0.5,"Yes","No"))</f>
        <v/>
      </c>
      <c r="L1643" s="10" t="str">
        <f aca="false">IF(A1643="","",IF(IF(K1643="No","Does not balance | ","")&amp;IF(I1643="","Not approved | ",IF(UPPER(TRIM(H1643))=UPPER(TRIM(I1643)),"Self-approved | ",""))&amp;IF(J1643="","No support | ","")&amp;IF(WEEKDAY(B1643,2)&gt;5,"Weekend posting | ","")&amp;IF(COUNTIF(Settings!$A$14:$A$43,B1643)&gt;0,"Holiday posting | ","")&amp;IF(B1643&gt;Settings!$C$8,"Posted after close | ","")&amp;IF(OR(B1643&lt;Settings!$C$6,B1643&gt;Settings!$C$7),"Outside period | ","")&amp;IF(COUNTIF(Settings!$E$14:$E$43,C1643&amp;"")&gt;0,"Sensitive account | ","")&amp;IF(AND(MAX(N(E1643),N(F1643))&gt;=Settings!$C$9,MOD(MAX(N(E1643),N(F1643)),Settings!$C$10)=0),"Round amount | ","")="","",LEFT(IF(K1643="No","Does not balance | ","")&amp;IF(I1643="","Not approved | ",IF(UPPER(TRIM(H1643))=UPPER(TRIM(I1643)),"Self-approved | ",""))&amp;IF(J1643="","No support | ","")&amp;IF(WEEKDAY(B1643,2)&gt;5,"Weekend posting | ","")&amp;IF(COUNTIF(Settings!$A$14:$A$43,B1643)&gt;0,"Holiday posting | ","")&amp;IF(B1643&gt;Settings!$C$8,"Posted after close | ","")&amp;IF(OR(B1643&lt;Settings!$C$6,B1643&gt;Settings!$C$7),"Outside period | ","")&amp;IF(COUNTIF(Settings!$E$14:$E$43,C1643&amp;"")&gt;0,"Sensitive account | ","")&amp;IF(AND(MAX(N(E1643),N(F1643))&gt;=Settings!$C$9,MOD(MAX(N(E1643),N(F1643)),Settings!$C$10)=0),"Round amount | ",""),LEN(IF(K1643="No","Does not balance | ","")&amp;IF(I1643="","Not approved | ",IF(UPPER(TRIM(H1643))=UPPER(TRIM(I1643)),"Self-approved | ",""))&amp;IF(J1643="","No support | ","")&amp;IF(WEEKDAY(B1643,2)&gt;5,"Weekend posting | ","")&amp;IF(COUNTIF(Settings!$A$14:$A$43,B1643)&gt;0,"Holiday posting | ","")&amp;IF(B1643&gt;Settings!$C$8,"Posted after close | ","")&amp;IF(OR(B1643&lt;Settings!$C$6,B1643&gt;Settings!$C$7),"Outside period | ","")&amp;IF(COUNTIF(Settings!$E$14:$E$43,C1643&amp;"")&gt;0,"Sensitive account | ","")&amp;IF(AND(MAX(N(E1643),N(F1643))&gt;=Settings!$C$9,MOD(MAX(N(E1643),N(F1643)),Settings!$C$10)=0),"Round amount | ",""))-3)))</f>
        <v/>
      </c>
      <c r="M1643" s="21" t="str">
        <f aca="false">IF(A1643="","",IF(COUNTIF($A$9:A1643,A1643)=1,MAX($M$8:M1642)+1,""))</f>
        <v/>
      </c>
    </row>
    <row r="1644" customFormat="false" ht="15" hidden="false" customHeight="false" outlineLevel="0" collapsed="false">
      <c r="A1644" s="8"/>
      <c r="B1644" s="17"/>
      <c r="C1644" s="19"/>
      <c r="D1644" s="8"/>
      <c r="E1644" s="18"/>
      <c r="F1644" s="18"/>
      <c r="G1644" s="8"/>
      <c r="H1644" s="8"/>
      <c r="I1644" s="8"/>
      <c r="J1644" s="8"/>
      <c r="K1644" s="10" t="str">
        <f aca="false">IF(A1644="","",IF(ABS(SUMIFS($E$9:$E$2008,$A$9:$A$2008,A1644)-SUMIFS($F$9:$F$2008,$A$9:$A$2008,A1644))&lt;0.5,"Yes","No"))</f>
        <v/>
      </c>
      <c r="L1644" s="10" t="str">
        <f aca="false">IF(A1644="","",IF(IF(K1644="No","Does not balance | ","")&amp;IF(I1644="","Not approved | ",IF(UPPER(TRIM(H1644))=UPPER(TRIM(I1644)),"Self-approved | ",""))&amp;IF(J1644="","No support | ","")&amp;IF(WEEKDAY(B1644,2)&gt;5,"Weekend posting | ","")&amp;IF(COUNTIF(Settings!$A$14:$A$43,B1644)&gt;0,"Holiday posting | ","")&amp;IF(B1644&gt;Settings!$C$8,"Posted after close | ","")&amp;IF(OR(B1644&lt;Settings!$C$6,B1644&gt;Settings!$C$7),"Outside period | ","")&amp;IF(COUNTIF(Settings!$E$14:$E$43,C1644&amp;"")&gt;0,"Sensitive account | ","")&amp;IF(AND(MAX(N(E1644),N(F1644))&gt;=Settings!$C$9,MOD(MAX(N(E1644),N(F1644)),Settings!$C$10)=0),"Round amount | ","")="","",LEFT(IF(K1644="No","Does not balance | ","")&amp;IF(I1644="","Not approved | ",IF(UPPER(TRIM(H1644))=UPPER(TRIM(I1644)),"Self-approved | ",""))&amp;IF(J1644="","No support | ","")&amp;IF(WEEKDAY(B1644,2)&gt;5,"Weekend posting | ","")&amp;IF(COUNTIF(Settings!$A$14:$A$43,B1644)&gt;0,"Holiday posting | ","")&amp;IF(B1644&gt;Settings!$C$8,"Posted after close | ","")&amp;IF(OR(B1644&lt;Settings!$C$6,B1644&gt;Settings!$C$7),"Outside period | ","")&amp;IF(COUNTIF(Settings!$E$14:$E$43,C1644&amp;"")&gt;0,"Sensitive account | ","")&amp;IF(AND(MAX(N(E1644),N(F1644))&gt;=Settings!$C$9,MOD(MAX(N(E1644),N(F1644)),Settings!$C$10)=0),"Round amount | ",""),LEN(IF(K1644="No","Does not balance | ","")&amp;IF(I1644="","Not approved | ",IF(UPPER(TRIM(H1644))=UPPER(TRIM(I1644)),"Self-approved | ",""))&amp;IF(J1644="","No support | ","")&amp;IF(WEEKDAY(B1644,2)&gt;5,"Weekend posting | ","")&amp;IF(COUNTIF(Settings!$A$14:$A$43,B1644)&gt;0,"Holiday posting | ","")&amp;IF(B1644&gt;Settings!$C$8,"Posted after close | ","")&amp;IF(OR(B1644&lt;Settings!$C$6,B1644&gt;Settings!$C$7),"Outside period | ","")&amp;IF(COUNTIF(Settings!$E$14:$E$43,C1644&amp;"")&gt;0,"Sensitive account | ","")&amp;IF(AND(MAX(N(E1644),N(F1644))&gt;=Settings!$C$9,MOD(MAX(N(E1644),N(F1644)),Settings!$C$10)=0),"Round amount | ",""))-3)))</f>
        <v/>
      </c>
      <c r="M1644" s="21" t="str">
        <f aca="false">IF(A1644="","",IF(COUNTIF($A$9:A1644,A1644)=1,MAX($M$8:M1643)+1,""))</f>
        <v/>
      </c>
    </row>
    <row r="1645" customFormat="false" ht="15" hidden="false" customHeight="false" outlineLevel="0" collapsed="false">
      <c r="A1645" s="8"/>
      <c r="B1645" s="17"/>
      <c r="C1645" s="19"/>
      <c r="D1645" s="8"/>
      <c r="E1645" s="18"/>
      <c r="F1645" s="18"/>
      <c r="G1645" s="8"/>
      <c r="H1645" s="8"/>
      <c r="I1645" s="8"/>
      <c r="J1645" s="8"/>
      <c r="K1645" s="10" t="str">
        <f aca="false">IF(A1645="","",IF(ABS(SUMIFS($E$9:$E$2008,$A$9:$A$2008,A1645)-SUMIFS($F$9:$F$2008,$A$9:$A$2008,A1645))&lt;0.5,"Yes","No"))</f>
        <v/>
      </c>
      <c r="L1645" s="10" t="str">
        <f aca="false">IF(A1645="","",IF(IF(K1645="No","Does not balance | ","")&amp;IF(I1645="","Not approved | ",IF(UPPER(TRIM(H1645))=UPPER(TRIM(I1645)),"Self-approved | ",""))&amp;IF(J1645="","No support | ","")&amp;IF(WEEKDAY(B1645,2)&gt;5,"Weekend posting | ","")&amp;IF(COUNTIF(Settings!$A$14:$A$43,B1645)&gt;0,"Holiday posting | ","")&amp;IF(B1645&gt;Settings!$C$8,"Posted after close | ","")&amp;IF(OR(B1645&lt;Settings!$C$6,B1645&gt;Settings!$C$7),"Outside period | ","")&amp;IF(COUNTIF(Settings!$E$14:$E$43,C1645&amp;"")&gt;0,"Sensitive account | ","")&amp;IF(AND(MAX(N(E1645),N(F1645))&gt;=Settings!$C$9,MOD(MAX(N(E1645),N(F1645)),Settings!$C$10)=0),"Round amount | ","")="","",LEFT(IF(K1645="No","Does not balance | ","")&amp;IF(I1645="","Not approved | ",IF(UPPER(TRIM(H1645))=UPPER(TRIM(I1645)),"Self-approved | ",""))&amp;IF(J1645="","No support | ","")&amp;IF(WEEKDAY(B1645,2)&gt;5,"Weekend posting | ","")&amp;IF(COUNTIF(Settings!$A$14:$A$43,B1645)&gt;0,"Holiday posting | ","")&amp;IF(B1645&gt;Settings!$C$8,"Posted after close | ","")&amp;IF(OR(B1645&lt;Settings!$C$6,B1645&gt;Settings!$C$7),"Outside period | ","")&amp;IF(COUNTIF(Settings!$E$14:$E$43,C1645&amp;"")&gt;0,"Sensitive account | ","")&amp;IF(AND(MAX(N(E1645),N(F1645))&gt;=Settings!$C$9,MOD(MAX(N(E1645),N(F1645)),Settings!$C$10)=0),"Round amount | ",""),LEN(IF(K1645="No","Does not balance | ","")&amp;IF(I1645="","Not approved | ",IF(UPPER(TRIM(H1645))=UPPER(TRIM(I1645)),"Self-approved | ",""))&amp;IF(J1645="","No support | ","")&amp;IF(WEEKDAY(B1645,2)&gt;5,"Weekend posting | ","")&amp;IF(COUNTIF(Settings!$A$14:$A$43,B1645)&gt;0,"Holiday posting | ","")&amp;IF(B1645&gt;Settings!$C$8,"Posted after close | ","")&amp;IF(OR(B1645&lt;Settings!$C$6,B1645&gt;Settings!$C$7),"Outside period | ","")&amp;IF(COUNTIF(Settings!$E$14:$E$43,C1645&amp;"")&gt;0,"Sensitive account | ","")&amp;IF(AND(MAX(N(E1645),N(F1645))&gt;=Settings!$C$9,MOD(MAX(N(E1645),N(F1645)),Settings!$C$10)=0),"Round amount | ",""))-3)))</f>
        <v/>
      </c>
      <c r="M1645" s="21" t="str">
        <f aca="false">IF(A1645="","",IF(COUNTIF($A$9:A1645,A1645)=1,MAX($M$8:M1644)+1,""))</f>
        <v/>
      </c>
    </row>
    <row r="1646" customFormat="false" ht="15" hidden="false" customHeight="false" outlineLevel="0" collapsed="false">
      <c r="A1646" s="8"/>
      <c r="B1646" s="17"/>
      <c r="C1646" s="19"/>
      <c r="D1646" s="8"/>
      <c r="E1646" s="18"/>
      <c r="F1646" s="18"/>
      <c r="G1646" s="8"/>
      <c r="H1646" s="8"/>
      <c r="I1646" s="8"/>
      <c r="J1646" s="8"/>
      <c r="K1646" s="10" t="str">
        <f aca="false">IF(A1646="","",IF(ABS(SUMIFS($E$9:$E$2008,$A$9:$A$2008,A1646)-SUMIFS($F$9:$F$2008,$A$9:$A$2008,A1646))&lt;0.5,"Yes","No"))</f>
        <v/>
      </c>
      <c r="L1646" s="10" t="str">
        <f aca="false">IF(A1646="","",IF(IF(K1646="No","Does not balance | ","")&amp;IF(I1646="","Not approved | ",IF(UPPER(TRIM(H1646))=UPPER(TRIM(I1646)),"Self-approved | ",""))&amp;IF(J1646="","No support | ","")&amp;IF(WEEKDAY(B1646,2)&gt;5,"Weekend posting | ","")&amp;IF(COUNTIF(Settings!$A$14:$A$43,B1646)&gt;0,"Holiday posting | ","")&amp;IF(B1646&gt;Settings!$C$8,"Posted after close | ","")&amp;IF(OR(B1646&lt;Settings!$C$6,B1646&gt;Settings!$C$7),"Outside period | ","")&amp;IF(COUNTIF(Settings!$E$14:$E$43,C1646&amp;"")&gt;0,"Sensitive account | ","")&amp;IF(AND(MAX(N(E1646),N(F1646))&gt;=Settings!$C$9,MOD(MAX(N(E1646),N(F1646)),Settings!$C$10)=0),"Round amount | ","")="","",LEFT(IF(K1646="No","Does not balance | ","")&amp;IF(I1646="","Not approved | ",IF(UPPER(TRIM(H1646))=UPPER(TRIM(I1646)),"Self-approved | ",""))&amp;IF(J1646="","No support | ","")&amp;IF(WEEKDAY(B1646,2)&gt;5,"Weekend posting | ","")&amp;IF(COUNTIF(Settings!$A$14:$A$43,B1646)&gt;0,"Holiday posting | ","")&amp;IF(B1646&gt;Settings!$C$8,"Posted after close | ","")&amp;IF(OR(B1646&lt;Settings!$C$6,B1646&gt;Settings!$C$7),"Outside period | ","")&amp;IF(COUNTIF(Settings!$E$14:$E$43,C1646&amp;"")&gt;0,"Sensitive account | ","")&amp;IF(AND(MAX(N(E1646),N(F1646))&gt;=Settings!$C$9,MOD(MAX(N(E1646),N(F1646)),Settings!$C$10)=0),"Round amount | ",""),LEN(IF(K1646="No","Does not balance | ","")&amp;IF(I1646="","Not approved | ",IF(UPPER(TRIM(H1646))=UPPER(TRIM(I1646)),"Self-approved | ",""))&amp;IF(J1646="","No support | ","")&amp;IF(WEEKDAY(B1646,2)&gt;5,"Weekend posting | ","")&amp;IF(COUNTIF(Settings!$A$14:$A$43,B1646)&gt;0,"Holiday posting | ","")&amp;IF(B1646&gt;Settings!$C$8,"Posted after close | ","")&amp;IF(OR(B1646&lt;Settings!$C$6,B1646&gt;Settings!$C$7),"Outside period | ","")&amp;IF(COUNTIF(Settings!$E$14:$E$43,C1646&amp;"")&gt;0,"Sensitive account | ","")&amp;IF(AND(MAX(N(E1646),N(F1646))&gt;=Settings!$C$9,MOD(MAX(N(E1646),N(F1646)),Settings!$C$10)=0),"Round amount | ",""))-3)))</f>
        <v/>
      </c>
      <c r="M1646" s="21" t="str">
        <f aca="false">IF(A1646="","",IF(COUNTIF($A$9:A1646,A1646)=1,MAX($M$8:M1645)+1,""))</f>
        <v/>
      </c>
    </row>
    <row r="1647" customFormat="false" ht="15" hidden="false" customHeight="false" outlineLevel="0" collapsed="false">
      <c r="A1647" s="8"/>
      <c r="B1647" s="17"/>
      <c r="C1647" s="19"/>
      <c r="D1647" s="8"/>
      <c r="E1647" s="18"/>
      <c r="F1647" s="18"/>
      <c r="G1647" s="8"/>
      <c r="H1647" s="8"/>
      <c r="I1647" s="8"/>
      <c r="J1647" s="8"/>
      <c r="K1647" s="10" t="str">
        <f aca="false">IF(A1647="","",IF(ABS(SUMIFS($E$9:$E$2008,$A$9:$A$2008,A1647)-SUMIFS($F$9:$F$2008,$A$9:$A$2008,A1647))&lt;0.5,"Yes","No"))</f>
        <v/>
      </c>
      <c r="L1647" s="10" t="str">
        <f aca="false">IF(A1647="","",IF(IF(K1647="No","Does not balance | ","")&amp;IF(I1647="","Not approved | ",IF(UPPER(TRIM(H1647))=UPPER(TRIM(I1647)),"Self-approved | ",""))&amp;IF(J1647="","No support | ","")&amp;IF(WEEKDAY(B1647,2)&gt;5,"Weekend posting | ","")&amp;IF(COUNTIF(Settings!$A$14:$A$43,B1647)&gt;0,"Holiday posting | ","")&amp;IF(B1647&gt;Settings!$C$8,"Posted after close | ","")&amp;IF(OR(B1647&lt;Settings!$C$6,B1647&gt;Settings!$C$7),"Outside period | ","")&amp;IF(COUNTIF(Settings!$E$14:$E$43,C1647&amp;"")&gt;0,"Sensitive account | ","")&amp;IF(AND(MAX(N(E1647),N(F1647))&gt;=Settings!$C$9,MOD(MAX(N(E1647),N(F1647)),Settings!$C$10)=0),"Round amount | ","")="","",LEFT(IF(K1647="No","Does not balance | ","")&amp;IF(I1647="","Not approved | ",IF(UPPER(TRIM(H1647))=UPPER(TRIM(I1647)),"Self-approved | ",""))&amp;IF(J1647="","No support | ","")&amp;IF(WEEKDAY(B1647,2)&gt;5,"Weekend posting | ","")&amp;IF(COUNTIF(Settings!$A$14:$A$43,B1647)&gt;0,"Holiday posting | ","")&amp;IF(B1647&gt;Settings!$C$8,"Posted after close | ","")&amp;IF(OR(B1647&lt;Settings!$C$6,B1647&gt;Settings!$C$7),"Outside period | ","")&amp;IF(COUNTIF(Settings!$E$14:$E$43,C1647&amp;"")&gt;0,"Sensitive account | ","")&amp;IF(AND(MAX(N(E1647),N(F1647))&gt;=Settings!$C$9,MOD(MAX(N(E1647),N(F1647)),Settings!$C$10)=0),"Round amount | ",""),LEN(IF(K1647="No","Does not balance | ","")&amp;IF(I1647="","Not approved | ",IF(UPPER(TRIM(H1647))=UPPER(TRIM(I1647)),"Self-approved | ",""))&amp;IF(J1647="","No support | ","")&amp;IF(WEEKDAY(B1647,2)&gt;5,"Weekend posting | ","")&amp;IF(COUNTIF(Settings!$A$14:$A$43,B1647)&gt;0,"Holiday posting | ","")&amp;IF(B1647&gt;Settings!$C$8,"Posted after close | ","")&amp;IF(OR(B1647&lt;Settings!$C$6,B1647&gt;Settings!$C$7),"Outside period | ","")&amp;IF(COUNTIF(Settings!$E$14:$E$43,C1647&amp;"")&gt;0,"Sensitive account | ","")&amp;IF(AND(MAX(N(E1647),N(F1647))&gt;=Settings!$C$9,MOD(MAX(N(E1647),N(F1647)),Settings!$C$10)=0),"Round amount | ",""))-3)))</f>
        <v/>
      </c>
      <c r="M1647" s="21" t="str">
        <f aca="false">IF(A1647="","",IF(COUNTIF($A$9:A1647,A1647)=1,MAX($M$8:M1646)+1,""))</f>
        <v/>
      </c>
    </row>
    <row r="1648" customFormat="false" ht="15" hidden="false" customHeight="false" outlineLevel="0" collapsed="false">
      <c r="A1648" s="8"/>
      <c r="B1648" s="17"/>
      <c r="C1648" s="19"/>
      <c r="D1648" s="8"/>
      <c r="E1648" s="18"/>
      <c r="F1648" s="18"/>
      <c r="G1648" s="8"/>
      <c r="H1648" s="8"/>
      <c r="I1648" s="8"/>
      <c r="J1648" s="8"/>
      <c r="K1648" s="10" t="str">
        <f aca="false">IF(A1648="","",IF(ABS(SUMIFS($E$9:$E$2008,$A$9:$A$2008,A1648)-SUMIFS($F$9:$F$2008,$A$9:$A$2008,A1648))&lt;0.5,"Yes","No"))</f>
        <v/>
      </c>
      <c r="L1648" s="10" t="str">
        <f aca="false">IF(A1648="","",IF(IF(K1648="No","Does not balance | ","")&amp;IF(I1648="","Not approved | ",IF(UPPER(TRIM(H1648))=UPPER(TRIM(I1648)),"Self-approved | ",""))&amp;IF(J1648="","No support | ","")&amp;IF(WEEKDAY(B1648,2)&gt;5,"Weekend posting | ","")&amp;IF(COUNTIF(Settings!$A$14:$A$43,B1648)&gt;0,"Holiday posting | ","")&amp;IF(B1648&gt;Settings!$C$8,"Posted after close | ","")&amp;IF(OR(B1648&lt;Settings!$C$6,B1648&gt;Settings!$C$7),"Outside period | ","")&amp;IF(COUNTIF(Settings!$E$14:$E$43,C1648&amp;"")&gt;0,"Sensitive account | ","")&amp;IF(AND(MAX(N(E1648),N(F1648))&gt;=Settings!$C$9,MOD(MAX(N(E1648),N(F1648)),Settings!$C$10)=0),"Round amount | ","")="","",LEFT(IF(K1648="No","Does not balance | ","")&amp;IF(I1648="","Not approved | ",IF(UPPER(TRIM(H1648))=UPPER(TRIM(I1648)),"Self-approved | ",""))&amp;IF(J1648="","No support | ","")&amp;IF(WEEKDAY(B1648,2)&gt;5,"Weekend posting | ","")&amp;IF(COUNTIF(Settings!$A$14:$A$43,B1648)&gt;0,"Holiday posting | ","")&amp;IF(B1648&gt;Settings!$C$8,"Posted after close | ","")&amp;IF(OR(B1648&lt;Settings!$C$6,B1648&gt;Settings!$C$7),"Outside period | ","")&amp;IF(COUNTIF(Settings!$E$14:$E$43,C1648&amp;"")&gt;0,"Sensitive account | ","")&amp;IF(AND(MAX(N(E1648),N(F1648))&gt;=Settings!$C$9,MOD(MAX(N(E1648),N(F1648)),Settings!$C$10)=0),"Round amount | ",""),LEN(IF(K1648="No","Does not balance | ","")&amp;IF(I1648="","Not approved | ",IF(UPPER(TRIM(H1648))=UPPER(TRIM(I1648)),"Self-approved | ",""))&amp;IF(J1648="","No support | ","")&amp;IF(WEEKDAY(B1648,2)&gt;5,"Weekend posting | ","")&amp;IF(COUNTIF(Settings!$A$14:$A$43,B1648)&gt;0,"Holiday posting | ","")&amp;IF(B1648&gt;Settings!$C$8,"Posted after close | ","")&amp;IF(OR(B1648&lt;Settings!$C$6,B1648&gt;Settings!$C$7),"Outside period | ","")&amp;IF(COUNTIF(Settings!$E$14:$E$43,C1648&amp;"")&gt;0,"Sensitive account | ","")&amp;IF(AND(MAX(N(E1648),N(F1648))&gt;=Settings!$C$9,MOD(MAX(N(E1648),N(F1648)),Settings!$C$10)=0),"Round amount | ",""))-3)))</f>
        <v/>
      </c>
      <c r="M1648" s="21" t="str">
        <f aca="false">IF(A1648="","",IF(COUNTIF($A$9:A1648,A1648)=1,MAX($M$8:M1647)+1,""))</f>
        <v/>
      </c>
    </row>
    <row r="1649" customFormat="false" ht="15" hidden="false" customHeight="false" outlineLevel="0" collapsed="false">
      <c r="A1649" s="8"/>
      <c r="B1649" s="17"/>
      <c r="C1649" s="19"/>
      <c r="D1649" s="8"/>
      <c r="E1649" s="18"/>
      <c r="F1649" s="18"/>
      <c r="G1649" s="8"/>
      <c r="H1649" s="8"/>
      <c r="I1649" s="8"/>
      <c r="J1649" s="8"/>
      <c r="K1649" s="10" t="str">
        <f aca="false">IF(A1649="","",IF(ABS(SUMIFS($E$9:$E$2008,$A$9:$A$2008,A1649)-SUMIFS($F$9:$F$2008,$A$9:$A$2008,A1649))&lt;0.5,"Yes","No"))</f>
        <v/>
      </c>
      <c r="L1649" s="10" t="str">
        <f aca="false">IF(A1649="","",IF(IF(K1649="No","Does not balance | ","")&amp;IF(I1649="","Not approved | ",IF(UPPER(TRIM(H1649))=UPPER(TRIM(I1649)),"Self-approved | ",""))&amp;IF(J1649="","No support | ","")&amp;IF(WEEKDAY(B1649,2)&gt;5,"Weekend posting | ","")&amp;IF(COUNTIF(Settings!$A$14:$A$43,B1649)&gt;0,"Holiday posting | ","")&amp;IF(B1649&gt;Settings!$C$8,"Posted after close | ","")&amp;IF(OR(B1649&lt;Settings!$C$6,B1649&gt;Settings!$C$7),"Outside period | ","")&amp;IF(COUNTIF(Settings!$E$14:$E$43,C1649&amp;"")&gt;0,"Sensitive account | ","")&amp;IF(AND(MAX(N(E1649),N(F1649))&gt;=Settings!$C$9,MOD(MAX(N(E1649),N(F1649)),Settings!$C$10)=0),"Round amount | ","")="","",LEFT(IF(K1649="No","Does not balance | ","")&amp;IF(I1649="","Not approved | ",IF(UPPER(TRIM(H1649))=UPPER(TRIM(I1649)),"Self-approved | ",""))&amp;IF(J1649="","No support | ","")&amp;IF(WEEKDAY(B1649,2)&gt;5,"Weekend posting | ","")&amp;IF(COUNTIF(Settings!$A$14:$A$43,B1649)&gt;0,"Holiday posting | ","")&amp;IF(B1649&gt;Settings!$C$8,"Posted after close | ","")&amp;IF(OR(B1649&lt;Settings!$C$6,B1649&gt;Settings!$C$7),"Outside period | ","")&amp;IF(COUNTIF(Settings!$E$14:$E$43,C1649&amp;"")&gt;0,"Sensitive account | ","")&amp;IF(AND(MAX(N(E1649),N(F1649))&gt;=Settings!$C$9,MOD(MAX(N(E1649),N(F1649)),Settings!$C$10)=0),"Round amount | ",""),LEN(IF(K1649="No","Does not balance | ","")&amp;IF(I1649="","Not approved | ",IF(UPPER(TRIM(H1649))=UPPER(TRIM(I1649)),"Self-approved | ",""))&amp;IF(J1649="","No support | ","")&amp;IF(WEEKDAY(B1649,2)&gt;5,"Weekend posting | ","")&amp;IF(COUNTIF(Settings!$A$14:$A$43,B1649)&gt;0,"Holiday posting | ","")&amp;IF(B1649&gt;Settings!$C$8,"Posted after close | ","")&amp;IF(OR(B1649&lt;Settings!$C$6,B1649&gt;Settings!$C$7),"Outside period | ","")&amp;IF(COUNTIF(Settings!$E$14:$E$43,C1649&amp;"")&gt;0,"Sensitive account | ","")&amp;IF(AND(MAX(N(E1649),N(F1649))&gt;=Settings!$C$9,MOD(MAX(N(E1649),N(F1649)),Settings!$C$10)=0),"Round amount | ",""))-3)))</f>
        <v/>
      </c>
      <c r="M1649" s="21" t="str">
        <f aca="false">IF(A1649="","",IF(COUNTIF($A$9:A1649,A1649)=1,MAX($M$8:M1648)+1,""))</f>
        <v/>
      </c>
    </row>
    <row r="1650" customFormat="false" ht="15" hidden="false" customHeight="false" outlineLevel="0" collapsed="false">
      <c r="A1650" s="8"/>
      <c r="B1650" s="17"/>
      <c r="C1650" s="19"/>
      <c r="D1650" s="8"/>
      <c r="E1650" s="18"/>
      <c r="F1650" s="18"/>
      <c r="G1650" s="8"/>
      <c r="H1650" s="8"/>
      <c r="I1650" s="8"/>
      <c r="J1650" s="8"/>
      <c r="K1650" s="10" t="str">
        <f aca="false">IF(A1650="","",IF(ABS(SUMIFS($E$9:$E$2008,$A$9:$A$2008,A1650)-SUMIFS($F$9:$F$2008,$A$9:$A$2008,A1650))&lt;0.5,"Yes","No"))</f>
        <v/>
      </c>
      <c r="L1650" s="10" t="str">
        <f aca="false">IF(A1650="","",IF(IF(K1650="No","Does not balance | ","")&amp;IF(I1650="","Not approved | ",IF(UPPER(TRIM(H1650))=UPPER(TRIM(I1650)),"Self-approved | ",""))&amp;IF(J1650="","No support | ","")&amp;IF(WEEKDAY(B1650,2)&gt;5,"Weekend posting | ","")&amp;IF(COUNTIF(Settings!$A$14:$A$43,B1650)&gt;0,"Holiday posting | ","")&amp;IF(B1650&gt;Settings!$C$8,"Posted after close | ","")&amp;IF(OR(B1650&lt;Settings!$C$6,B1650&gt;Settings!$C$7),"Outside period | ","")&amp;IF(COUNTIF(Settings!$E$14:$E$43,C1650&amp;"")&gt;0,"Sensitive account | ","")&amp;IF(AND(MAX(N(E1650),N(F1650))&gt;=Settings!$C$9,MOD(MAX(N(E1650),N(F1650)),Settings!$C$10)=0),"Round amount | ","")="","",LEFT(IF(K1650="No","Does not balance | ","")&amp;IF(I1650="","Not approved | ",IF(UPPER(TRIM(H1650))=UPPER(TRIM(I1650)),"Self-approved | ",""))&amp;IF(J1650="","No support | ","")&amp;IF(WEEKDAY(B1650,2)&gt;5,"Weekend posting | ","")&amp;IF(COUNTIF(Settings!$A$14:$A$43,B1650)&gt;0,"Holiday posting | ","")&amp;IF(B1650&gt;Settings!$C$8,"Posted after close | ","")&amp;IF(OR(B1650&lt;Settings!$C$6,B1650&gt;Settings!$C$7),"Outside period | ","")&amp;IF(COUNTIF(Settings!$E$14:$E$43,C1650&amp;"")&gt;0,"Sensitive account | ","")&amp;IF(AND(MAX(N(E1650),N(F1650))&gt;=Settings!$C$9,MOD(MAX(N(E1650),N(F1650)),Settings!$C$10)=0),"Round amount | ",""),LEN(IF(K1650="No","Does not balance | ","")&amp;IF(I1650="","Not approved | ",IF(UPPER(TRIM(H1650))=UPPER(TRIM(I1650)),"Self-approved | ",""))&amp;IF(J1650="","No support | ","")&amp;IF(WEEKDAY(B1650,2)&gt;5,"Weekend posting | ","")&amp;IF(COUNTIF(Settings!$A$14:$A$43,B1650)&gt;0,"Holiday posting | ","")&amp;IF(B1650&gt;Settings!$C$8,"Posted after close | ","")&amp;IF(OR(B1650&lt;Settings!$C$6,B1650&gt;Settings!$C$7),"Outside period | ","")&amp;IF(COUNTIF(Settings!$E$14:$E$43,C1650&amp;"")&gt;0,"Sensitive account | ","")&amp;IF(AND(MAX(N(E1650),N(F1650))&gt;=Settings!$C$9,MOD(MAX(N(E1650),N(F1650)),Settings!$C$10)=0),"Round amount | ",""))-3)))</f>
        <v/>
      </c>
      <c r="M1650" s="21" t="str">
        <f aca="false">IF(A1650="","",IF(COUNTIF($A$9:A1650,A1650)=1,MAX($M$8:M1649)+1,""))</f>
        <v/>
      </c>
    </row>
    <row r="1651" customFormat="false" ht="15" hidden="false" customHeight="false" outlineLevel="0" collapsed="false">
      <c r="A1651" s="8"/>
      <c r="B1651" s="17"/>
      <c r="C1651" s="19"/>
      <c r="D1651" s="8"/>
      <c r="E1651" s="18"/>
      <c r="F1651" s="18"/>
      <c r="G1651" s="8"/>
      <c r="H1651" s="8"/>
      <c r="I1651" s="8"/>
      <c r="J1651" s="8"/>
      <c r="K1651" s="10" t="str">
        <f aca="false">IF(A1651="","",IF(ABS(SUMIFS($E$9:$E$2008,$A$9:$A$2008,A1651)-SUMIFS($F$9:$F$2008,$A$9:$A$2008,A1651))&lt;0.5,"Yes","No"))</f>
        <v/>
      </c>
      <c r="L1651" s="10" t="str">
        <f aca="false">IF(A1651="","",IF(IF(K1651="No","Does not balance | ","")&amp;IF(I1651="","Not approved | ",IF(UPPER(TRIM(H1651))=UPPER(TRIM(I1651)),"Self-approved | ",""))&amp;IF(J1651="","No support | ","")&amp;IF(WEEKDAY(B1651,2)&gt;5,"Weekend posting | ","")&amp;IF(COUNTIF(Settings!$A$14:$A$43,B1651)&gt;0,"Holiday posting | ","")&amp;IF(B1651&gt;Settings!$C$8,"Posted after close | ","")&amp;IF(OR(B1651&lt;Settings!$C$6,B1651&gt;Settings!$C$7),"Outside period | ","")&amp;IF(COUNTIF(Settings!$E$14:$E$43,C1651&amp;"")&gt;0,"Sensitive account | ","")&amp;IF(AND(MAX(N(E1651),N(F1651))&gt;=Settings!$C$9,MOD(MAX(N(E1651),N(F1651)),Settings!$C$10)=0),"Round amount | ","")="","",LEFT(IF(K1651="No","Does not balance | ","")&amp;IF(I1651="","Not approved | ",IF(UPPER(TRIM(H1651))=UPPER(TRIM(I1651)),"Self-approved | ",""))&amp;IF(J1651="","No support | ","")&amp;IF(WEEKDAY(B1651,2)&gt;5,"Weekend posting | ","")&amp;IF(COUNTIF(Settings!$A$14:$A$43,B1651)&gt;0,"Holiday posting | ","")&amp;IF(B1651&gt;Settings!$C$8,"Posted after close | ","")&amp;IF(OR(B1651&lt;Settings!$C$6,B1651&gt;Settings!$C$7),"Outside period | ","")&amp;IF(COUNTIF(Settings!$E$14:$E$43,C1651&amp;"")&gt;0,"Sensitive account | ","")&amp;IF(AND(MAX(N(E1651),N(F1651))&gt;=Settings!$C$9,MOD(MAX(N(E1651),N(F1651)),Settings!$C$10)=0),"Round amount | ",""),LEN(IF(K1651="No","Does not balance | ","")&amp;IF(I1651="","Not approved | ",IF(UPPER(TRIM(H1651))=UPPER(TRIM(I1651)),"Self-approved | ",""))&amp;IF(J1651="","No support | ","")&amp;IF(WEEKDAY(B1651,2)&gt;5,"Weekend posting | ","")&amp;IF(COUNTIF(Settings!$A$14:$A$43,B1651)&gt;0,"Holiday posting | ","")&amp;IF(B1651&gt;Settings!$C$8,"Posted after close | ","")&amp;IF(OR(B1651&lt;Settings!$C$6,B1651&gt;Settings!$C$7),"Outside period | ","")&amp;IF(COUNTIF(Settings!$E$14:$E$43,C1651&amp;"")&gt;0,"Sensitive account | ","")&amp;IF(AND(MAX(N(E1651),N(F1651))&gt;=Settings!$C$9,MOD(MAX(N(E1651),N(F1651)),Settings!$C$10)=0),"Round amount | ",""))-3)))</f>
        <v/>
      </c>
      <c r="M1651" s="21" t="str">
        <f aca="false">IF(A1651="","",IF(COUNTIF($A$9:A1651,A1651)=1,MAX($M$8:M1650)+1,""))</f>
        <v/>
      </c>
    </row>
    <row r="1652" customFormat="false" ht="15" hidden="false" customHeight="false" outlineLevel="0" collapsed="false">
      <c r="A1652" s="8"/>
      <c r="B1652" s="17"/>
      <c r="C1652" s="19"/>
      <c r="D1652" s="8"/>
      <c r="E1652" s="18"/>
      <c r="F1652" s="18"/>
      <c r="G1652" s="8"/>
      <c r="H1652" s="8"/>
      <c r="I1652" s="8"/>
      <c r="J1652" s="8"/>
      <c r="K1652" s="10" t="str">
        <f aca="false">IF(A1652="","",IF(ABS(SUMIFS($E$9:$E$2008,$A$9:$A$2008,A1652)-SUMIFS($F$9:$F$2008,$A$9:$A$2008,A1652))&lt;0.5,"Yes","No"))</f>
        <v/>
      </c>
      <c r="L1652" s="10" t="str">
        <f aca="false">IF(A1652="","",IF(IF(K1652="No","Does not balance | ","")&amp;IF(I1652="","Not approved | ",IF(UPPER(TRIM(H1652))=UPPER(TRIM(I1652)),"Self-approved | ",""))&amp;IF(J1652="","No support | ","")&amp;IF(WEEKDAY(B1652,2)&gt;5,"Weekend posting | ","")&amp;IF(COUNTIF(Settings!$A$14:$A$43,B1652)&gt;0,"Holiday posting | ","")&amp;IF(B1652&gt;Settings!$C$8,"Posted after close | ","")&amp;IF(OR(B1652&lt;Settings!$C$6,B1652&gt;Settings!$C$7),"Outside period | ","")&amp;IF(COUNTIF(Settings!$E$14:$E$43,C1652&amp;"")&gt;0,"Sensitive account | ","")&amp;IF(AND(MAX(N(E1652),N(F1652))&gt;=Settings!$C$9,MOD(MAX(N(E1652),N(F1652)),Settings!$C$10)=0),"Round amount | ","")="","",LEFT(IF(K1652="No","Does not balance | ","")&amp;IF(I1652="","Not approved | ",IF(UPPER(TRIM(H1652))=UPPER(TRIM(I1652)),"Self-approved | ",""))&amp;IF(J1652="","No support | ","")&amp;IF(WEEKDAY(B1652,2)&gt;5,"Weekend posting | ","")&amp;IF(COUNTIF(Settings!$A$14:$A$43,B1652)&gt;0,"Holiday posting | ","")&amp;IF(B1652&gt;Settings!$C$8,"Posted after close | ","")&amp;IF(OR(B1652&lt;Settings!$C$6,B1652&gt;Settings!$C$7),"Outside period | ","")&amp;IF(COUNTIF(Settings!$E$14:$E$43,C1652&amp;"")&gt;0,"Sensitive account | ","")&amp;IF(AND(MAX(N(E1652),N(F1652))&gt;=Settings!$C$9,MOD(MAX(N(E1652),N(F1652)),Settings!$C$10)=0),"Round amount | ",""),LEN(IF(K1652="No","Does not balance | ","")&amp;IF(I1652="","Not approved | ",IF(UPPER(TRIM(H1652))=UPPER(TRIM(I1652)),"Self-approved | ",""))&amp;IF(J1652="","No support | ","")&amp;IF(WEEKDAY(B1652,2)&gt;5,"Weekend posting | ","")&amp;IF(COUNTIF(Settings!$A$14:$A$43,B1652)&gt;0,"Holiday posting | ","")&amp;IF(B1652&gt;Settings!$C$8,"Posted after close | ","")&amp;IF(OR(B1652&lt;Settings!$C$6,B1652&gt;Settings!$C$7),"Outside period | ","")&amp;IF(COUNTIF(Settings!$E$14:$E$43,C1652&amp;"")&gt;0,"Sensitive account | ","")&amp;IF(AND(MAX(N(E1652),N(F1652))&gt;=Settings!$C$9,MOD(MAX(N(E1652),N(F1652)),Settings!$C$10)=0),"Round amount | ",""))-3)))</f>
        <v/>
      </c>
      <c r="M1652" s="21" t="str">
        <f aca="false">IF(A1652="","",IF(COUNTIF($A$9:A1652,A1652)=1,MAX($M$8:M1651)+1,""))</f>
        <v/>
      </c>
    </row>
    <row r="1653" customFormat="false" ht="15" hidden="false" customHeight="false" outlineLevel="0" collapsed="false">
      <c r="A1653" s="8"/>
      <c r="B1653" s="17"/>
      <c r="C1653" s="19"/>
      <c r="D1653" s="8"/>
      <c r="E1653" s="18"/>
      <c r="F1653" s="18"/>
      <c r="G1653" s="8"/>
      <c r="H1653" s="8"/>
      <c r="I1653" s="8"/>
      <c r="J1653" s="8"/>
      <c r="K1653" s="10" t="str">
        <f aca="false">IF(A1653="","",IF(ABS(SUMIFS($E$9:$E$2008,$A$9:$A$2008,A1653)-SUMIFS($F$9:$F$2008,$A$9:$A$2008,A1653))&lt;0.5,"Yes","No"))</f>
        <v/>
      </c>
      <c r="L1653" s="10" t="str">
        <f aca="false">IF(A1653="","",IF(IF(K1653="No","Does not balance | ","")&amp;IF(I1653="","Not approved | ",IF(UPPER(TRIM(H1653))=UPPER(TRIM(I1653)),"Self-approved | ",""))&amp;IF(J1653="","No support | ","")&amp;IF(WEEKDAY(B1653,2)&gt;5,"Weekend posting | ","")&amp;IF(COUNTIF(Settings!$A$14:$A$43,B1653)&gt;0,"Holiday posting | ","")&amp;IF(B1653&gt;Settings!$C$8,"Posted after close | ","")&amp;IF(OR(B1653&lt;Settings!$C$6,B1653&gt;Settings!$C$7),"Outside period | ","")&amp;IF(COUNTIF(Settings!$E$14:$E$43,C1653&amp;"")&gt;0,"Sensitive account | ","")&amp;IF(AND(MAX(N(E1653),N(F1653))&gt;=Settings!$C$9,MOD(MAX(N(E1653),N(F1653)),Settings!$C$10)=0),"Round amount | ","")="","",LEFT(IF(K1653="No","Does not balance | ","")&amp;IF(I1653="","Not approved | ",IF(UPPER(TRIM(H1653))=UPPER(TRIM(I1653)),"Self-approved | ",""))&amp;IF(J1653="","No support | ","")&amp;IF(WEEKDAY(B1653,2)&gt;5,"Weekend posting | ","")&amp;IF(COUNTIF(Settings!$A$14:$A$43,B1653)&gt;0,"Holiday posting | ","")&amp;IF(B1653&gt;Settings!$C$8,"Posted after close | ","")&amp;IF(OR(B1653&lt;Settings!$C$6,B1653&gt;Settings!$C$7),"Outside period | ","")&amp;IF(COUNTIF(Settings!$E$14:$E$43,C1653&amp;"")&gt;0,"Sensitive account | ","")&amp;IF(AND(MAX(N(E1653),N(F1653))&gt;=Settings!$C$9,MOD(MAX(N(E1653),N(F1653)),Settings!$C$10)=0),"Round amount | ",""),LEN(IF(K1653="No","Does not balance | ","")&amp;IF(I1653="","Not approved | ",IF(UPPER(TRIM(H1653))=UPPER(TRIM(I1653)),"Self-approved | ",""))&amp;IF(J1653="","No support | ","")&amp;IF(WEEKDAY(B1653,2)&gt;5,"Weekend posting | ","")&amp;IF(COUNTIF(Settings!$A$14:$A$43,B1653)&gt;0,"Holiday posting | ","")&amp;IF(B1653&gt;Settings!$C$8,"Posted after close | ","")&amp;IF(OR(B1653&lt;Settings!$C$6,B1653&gt;Settings!$C$7),"Outside period | ","")&amp;IF(COUNTIF(Settings!$E$14:$E$43,C1653&amp;"")&gt;0,"Sensitive account | ","")&amp;IF(AND(MAX(N(E1653),N(F1653))&gt;=Settings!$C$9,MOD(MAX(N(E1653),N(F1653)),Settings!$C$10)=0),"Round amount | ",""))-3)))</f>
        <v/>
      </c>
      <c r="M1653" s="21" t="str">
        <f aca="false">IF(A1653="","",IF(COUNTIF($A$9:A1653,A1653)=1,MAX($M$8:M1652)+1,""))</f>
        <v/>
      </c>
    </row>
    <row r="1654" customFormat="false" ht="15" hidden="false" customHeight="false" outlineLevel="0" collapsed="false">
      <c r="A1654" s="8"/>
      <c r="B1654" s="17"/>
      <c r="C1654" s="19"/>
      <c r="D1654" s="8"/>
      <c r="E1654" s="18"/>
      <c r="F1654" s="18"/>
      <c r="G1654" s="8"/>
      <c r="H1654" s="8"/>
      <c r="I1654" s="8"/>
      <c r="J1654" s="8"/>
      <c r="K1654" s="10" t="str">
        <f aca="false">IF(A1654="","",IF(ABS(SUMIFS($E$9:$E$2008,$A$9:$A$2008,A1654)-SUMIFS($F$9:$F$2008,$A$9:$A$2008,A1654))&lt;0.5,"Yes","No"))</f>
        <v/>
      </c>
      <c r="L1654" s="10" t="str">
        <f aca="false">IF(A1654="","",IF(IF(K1654="No","Does not balance | ","")&amp;IF(I1654="","Not approved | ",IF(UPPER(TRIM(H1654))=UPPER(TRIM(I1654)),"Self-approved | ",""))&amp;IF(J1654="","No support | ","")&amp;IF(WEEKDAY(B1654,2)&gt;5,"Weekend posting | ","")&amp;IF(COUNTIF(Settings!$A$14:$A$43,B1654)&gt;0,"Holiday posting | ","")&amp;IF(B1654&gt;Settings!$C$8,"Posted after close | ","")&amp;IF(OR(B1654&lt;Settings!$C$6,B1654&gt;Settings!$C$7),"Outside period | ","")&amp;IF(COUNTIF(Settings!$E$14:$E$43,C1654&amp;"")&gt;0,"Sensitive account | ","")&amp;IF(AND(MAX(N(E1654),N(F1654))&gt;=Settings!$C$9,MOD(MAX(N(E1654),N(F1654)),Settings!$C$10)=0),"Round amount | ","")="","",LEFT(IF(K1654="No","Does not balance | ","")&amp;IF(I1654="","Not approved | ",IF(UPPER(TRIM(H1654))=UPPER(TRIM(I1654)),"Self-approved | ",""))&amp;IF(J1654="","No support | ","")&amp;IF(WEEKDAY(B1654,2)&gt;5,"Weekend posting | ","")&amp;IF(COUNTIF(Settings!$A$14:$A$43,B1654)&gt;0,"Holiday posting | ","")&amp;IF(B1654&gt;Settings!$C$8,"Posted after close | ","")&amp;IF(OR(B1654&lt;Settings!$C$6,B1654&gt;Settings!$C$7),"Outside period | ","")&amp;IF(COUNTIF(Settings!$E$14:$E$43,C1654&amp;"")&gt;0,"Sensitive account | ","")&amp;IF(AND(MAX(N(E1654),N(F1654))&gt;=Settings!$C$9,MOD(MAX(N(E1654),N(F1654)),Settings!$C$10)=0),"Round amount | ",""),LEN(IF(K1654="No","Does not balance | ","")&amp;IF(I1654="","Not approved | ",IF(UPPER(TRIM(H1654))=UPPER(TRIM(I1654)),"Self-approved | ",""))&amp;IF(J1654="","No support | ","")&amp;IF(WEEKDAY(B1654,2)&gt;5,"Weekend posting | ","")&amp;IF(COUNTIF(Settings!$A$14:$A$43,B1654)&gt;0,"Holiday posting | ","")&amp;IF(B1654&gt;Settings!$C$8,"Posted after close | ","")&amp;IF(OR(B1654&lt;Settings!$C$6,B1654&gt;Settings!$C$7),"Outside period | ","")&amp;IF(COUNTIF(Settings!$E$14:$E$43,C1654&amp;"")&gt;0,"Sensitive account | ","")&amp;IF(AND(MAX(N(E1654),N(F1654))&gt;=Settings!$C$9,MOD(MAX(N(E1654),N(F1654)),Settings!$C$10)=0),"Round amount | ",""))-3)))</f>
        <v/>
      </c>
      <c r="M1654" s="21" t="str">
        <f aca="false">IF(A1654="","",IF(COUNTIF($A$9:A1654,A1654)=1,MAX($M$8:M1653)+1,""))</f>
        <v/>
      </c>
    </row>
    <row r="1655" customFormat="false" ht="15" hidden="false" customHeight="false" outlineLevel="0" collapsed="false">
      <c r="A1655" s="8"/>
      <c r="B1655" s="17"/>
      <c r="C1655" s="19"/>
      <c r="D1655" s="8"/>
      <c r="E1655" s="18"/>
      <c r="F1655" s="18"/>
      <c r="G1655" s="8"/>
      <c r="H1655" s="8"/>
      <c r="I1655" s="8"/>
      <c r="J1655" s="8"/>
      <c r="K1655" s="10" t="str">
        <f aca="false">IF(A1655="","",IF(ABS(SUMIFS($E$9:$E$2008,$A$9:$A$2008,A1655)-SUMIFS($F$9:$F$2008,$A$9:$A$2008,A1655))&lt;0.5,"Yes","No"))</f>
        <v/>
      </c>
      <c r="L1655" s="10" t="str">
        <f aca="false">IF(A1655="","",IF(IF(K1655="No","Does not balance | ","")&amp;IF(I1655="","Not approved | ",IF(UPPER(TRIM(H1655))=UPPER(TRIM(I1655)),"Self-approved | ",""))&amp;IF(J1655="","No support | ","")&amp;IF(WEEKDAY(B1655,2)&gt;5,"Weekend posting | ","")&amp;IF(COUNTIF(Settings!$A$14:$A$43,B1655)&gt;0,"Holiday posting | ","")&amp;IF(B1655&gt;Settings!$C$8,"Posted after close | ","")&amp;IF(OR(B1655&lt;Settings!$C$6,B1655&gt;Settings!$C$7),"Outside period | ","")&amp;IF(COUNTIF(Settings!$E$14:$E$43,C1655&amp;"")&gt;0,"Sensitive account | ","")&amp;IF(AND(MAX(N(E1655),N(F1655))&gt;=Settings!$C$9,MOD(MAX(N(E1655),N(F1655)),Settings!$C$10)=0),"Round amount | ","")="","",LEFT(IF(K1655="No","Does not balance | ","")&amp;IF(I1655="","Not approved | ",IF(UPPER(TRIM(H1655))=UPPER(TRIM(I1655)),"Self-approved | ",""))&amp;IF(J1655="","No support | ","")&amp;IF(WEEKDAY(B1655,2)&gt;5,"Weekend posting | ","")&amp;IF(COUNTIF(Settings!$A$14:$A$43,B1655)&gt;0,"Holiday posting | ","")&amp;IF(B1655&gt;Settings!$C$8,"Posted after close | ","")&amp;IF(OR(B1655&lt;Settings!$C$6,B1655&gt;Settings!$C$7),"Outside period | ","")&amp;IF(COUNTIF(Settings!$E$14:$E$43,C1655&amp;"")&gt;0,"Sensitive account | ","")&amp;IF(AND(MAX(N(E1655),N(F1655))&gt;=Settings!$C$9,MOD(MAX(N(E1655),N(F1655)),Settings!$C$10)=0),"Round amount | ",""),LEN(IF(K1655="No","Does not balance | ","")&amp;IF(I1655="","Not approved | ",IF(UPPER(TRIM(H1655))=UPPER(TRIM(I1655)),"Self-approved | ",""))&amp;IF(J1655="","No support | ","")&amp;IF(WEEKDAY(B1655,2)&gt;5,"Weekend posting | ","")&amp;IF(COUNTIF(Settings!$A$14:$A$43,B1655)&gt;0,"Holiday posting | ","")&amp;IF(B1655&gt;Settings!$C$8,"Posted after close | ","")&amp;IF(OR(B1655&lt;Settings!$C$6,B1655&gt;Settings!$C$7),"Outside period | ","")&amp;IF(COUNTIF(Settings!$E$14:$E$43,C1655&amp;"")&gt;0,"Sensitive account | ","")&amp;IF(AND(MAX(N(E1655),N(F1655))&gt;=Settings!$C$9,MOD(MAX(N(E1655),N(F1655)),Settings!$C$10)=0),"Round amount | ",""))-3)))</f>
        <v/>
      </c>
      <c r="M1655" s="21" t="str">
        <f aca="false">IF(A1655="","",IF(COUNTIF($A$9:A1655,A1655)=1,MAX($M$8:M1654)+1,""))</f>
        <v/>
      </c>
    </row>
    <row r="1656" customFormat="false" ht="15" hidden="false" customHeight="false" outlineLevel="0" collapsed="false">
      <c r="A1656" s="8"/>
      <c r="B1656" s="17"/>
      <c r="C1656" s="19"/>
      <c r="D1656" s="8"/>
      <c r="E1656" s="18"/>
      <c r="F1656" s="18"/>
      <c r="G1656" s="8"/>
      <c r="H1656" s="8"/>
      <c r="I1656" s="8"/>
      <c r="J1656" s="8"/>
      <c r="K1656" s="10" t="str">
        <f aca="false">IF(A1656="","",IF(ABS(SUMIFS($E$9:$E$2008,$A$9:$A$2008,A1656)-SUMIFS($F$9:$F$2008,$A$9:$A$2008,A1656))&lt;0.5,"Yes","No"))</f>
        <v/>
      </c>
      <c r="L1656" s="10" t="str">
        <f aca="false">IF(A1656="","",IF(IF(K1656="No","Does not balance | ","")&amp;IF(I1656="","Not approved | ",IF(UPPER(TRIM(H1656))=UPPER(TRIM(I1656)),"Self-approved | ",""))&amp;IF(J1656="","No support | ","")&amp;IF(WEEKDAY(B1656,2)&gt;5,"Weekend posting | ","")&amp;IF(COUNTIF(Settings!$A$14:$A$43,B1656)&gt;0,"Holiday posting | ","")&amp;IF(B1656&gt;Settings!$C$8,"Posted after close | ","")&amp;IF(OR(B1656&lt;Settings!$C$6,B1656&gt;Settings!$C$7),"Outside period | ","")&amp;IF(COUNTIF(Settings!$E$14:$E$43,C1656&amp;"")&gt;0,"Sensitive account | ","")&amp;IF(AND(MAX(N(E1656),N(F1656))&gt;=Settings!$C$9,MOD(MAX(N(E1656),N(F1656)),Settings!$C$10)=0),"Round amount | ","")="","",LEFT(IF(K1656="No","Does not balance | ","")&amp;IF(I1656="","Not approved | ",IF(UPPER(TRIM(H1656))=UPPER(TRIM(I1656)),"Self-approved | ",""))&amp;IF(J1656="","No support | ","")&amp;IF(WEEKDAY(B1656,2)&gt;5,"Weekend posting | ","")&amp;IF(COUNTIF(Settings!$A$14:$A$43,B1656)&gt;0,"Holiday posting | ","")&amp;IF(B1656&gt;Settings!$C$8,"Posted after close | ","")&amp;IF(OR(B1656&lt;Settings!$C$6,B1656&gt;Settings!$C$7),"Outside period | ","")&amp;IF(COUNTIF(Settings!$E$14:$E$43,C1656&amp;"")&gt;0,"Sensitive account | ","")&amp;IF(AND(MAX(N(E1656),N(F1656))&gt;=Settings!$C$9,MOD(MAX(N(E1656),N(F1656)),Settings!$C$10)=0),"Round amount | ",""),LEN(IF(K1656="No","Does not balance | ","")&amp;IF(I1656="","Not approved | ",IF(UPPER(TRIM(H1656))=UPPER(TRIM(I1656)),"Self-approved | ",""))&amp;IF(J1656="","No support | ","")&amp;IF(WEEKDAY(B1656,2)&gt;5,"Weekend posting | ","")&amp;IF(COUNTIF(Settings!$A$14:$A$43,B1656)&gt;0,"Holiday posting | ","")&amp;IF(B1656&gt;Settings!$C$8,"Posted after close | ","")&amp;IF(OR(B1656&lt;Settings!$C$6,B1656&gt;Settings!$C$7),"Outside period | ","")&amp;IF(COUNTIF(Settings!$E$14:$E$43,C1656&amp;"")&gt;0,"Sensitive account | ","")&amp;IF(AND(MAX(N(E1656),N(F1656))&gt;=Settings!$C$9,MOD(MAX(N(E1656),N(F1656)),Settings!$C$10)=0),"Round amount | ",""))-3)))</f>
        <v/>
      </c>
      <c r="M1656" s="21" t="str">
        <f aca="false">IF(A1656="","",IF(COUNTIF($A$9:A1656,A1656)=1,MAX($M$8:M1655)+1,""))</f>
        <v/>
      </c>
    </row>
    <row r="1657" customFormat="false" ht="15" hidden="false" customHeight="false" outlineLevel="0" collapsed="false">
      <c r="A1657" s="8"/>
      <c r="B1657" s="17"/>
      <c r="C1657" s="19"/>
      <c r="D1657" s="8"/>
      <c r="E1657" s="18"/>
      <c r="F1657" s="18"/>
      <c r="G1657" s="8"/>
      <c r="H1657" s="8"/>
      <c r="I1657" s="8"/>
      <c r="J1657" s="8"/>
      <c r="K1657" s="10" t="str">
        <f aca="false">IF(A1657="","",IF(ABS(SUMIFS($E$9:$E$2008,$A$9:$A$2008,A1657)-SUMIFS($F$9:$F$2008,$A$9:$A$2008,A1657))&lt;0.5,"Yes","No"))</f>
        <v/>
      </c>
      <c r="L1657" s="10" t="str">
        <f aca="false">IF(A1657="","",IF(IF(K1657="No","Does not balance | ","")&amp;IF(I1657="","Not approved | ",IF(UPPER(TRIM(H1657))=UPPER(TRIM(I1657)),"Self-approved | ",""))&amp;IF(J1657="","No support | ","")&amp;IF(WEEKDAY(B1657,2)&gt;5,"Weekend posting | ","")&amp;IF(COUNTIF(Settings!$A$14:$A$43,B1657)&gt;0,"Holiday posting | ","")&amp;IF(B1657&gt;Settings!$C$8,"Posted after close | ","")&amp;IF(OR(B1657&lt;Settings!$C$6,B1657&gt;Settings!$C$7),"Outside period | ","")&amp;IF(COUNTIF(Settings!$E$14:$E$43,C1657&amp;"")&gt;0,"Sensitive account | ","")&amp;IF(AND(MAX(N(E1657),N(F1657))&gt;=Settings!$C$9,MOD(MAX(N(E1657),N(F1657)),Settings!$C$10)=0),"Round amount | ","")="","",LEFT(IF(K1657="No","Does not balance | ","")&amp;IF(I1657="","Not approved | ",IF(UPPER(TRIM(H1657))=UPPER(TRIM(I1657)),"Self-approved | ",""))&amp;IF(J1657="","No support | ","")&amp;IF(WEEKDAY(B1657,2)&gt;5,"Weekend posting | ","")&amp;IF(COUNTIF(Settings!$A$14:$A$43,B1657)&gt;0,"Holiday posting | ","")&amp;IF(B1657&gt;Settings!$C$8,"Posted after close | ","")&amp;IF(OR(B1657&lt;Settings!$C$6,B1657&gt;Settings!$C$7),"Outside period | ","")&amp;IF(COUNTIF(Settings!$E$14:$E$43,C1657&amp;"")&gt;0,"Sensitive account | ","")&amp;IF(AND(MAX(N(E1657),N(F1657))&gt;=Settings!$C$9,MOD(MAX(N(E1657),N(F1657)),Settings!$C$10)=0),"Round amount | ",""),LEN(IF(K1657="No","Does not balance | ","")&amp;IF(I1657="","Not approved | ",IF(UPPER(TRIM(H1657))=UPPER(TRIM(I1657)),"Self-approved | ",""))&amp;IF(J1657="","No support | ","")&amp;IF(WEEKDAY(B1657,2)&gt;5,"Weekend posting | ","")&amp;IF(COUNTIF(Settings!$A$14:$A$43,B1657)&gt;0,"Holiday posting | ","")&amp;IF(B1657&gt;Settings!$C$8,"Posted after close | ","")&amp;IF(OR(B1657&lt;Settings!$C$6,B1657&gt;Settings!$C$7),"Outside period | ","")&amp;IF(COUNTIF(Settings!$E$14:$E$43,C1657&amp;"")&gt;0,"Sensitive account | ","")&amp;IF(AND(MAX(N(E1657),N(F1657))&gt;=Settings!$C$9,MOD(MAX(N(E1657),N(F1657)),Settings!$C$10)=0),"Round amount | ",""))-3)))</f>
        <v/>
      </c>
      <c r="M1657" s="21" t="str">
        <f aca="false">IF(A1657="","",IF(COUNTIF($A$9:A1657,A1657)=1,MAX($M$8:M1656)+1,""))</f>
        <v/>
      </c>
    </row>
    <row r="1658" customFormat="false" ht="15" hidden="false" customHeight="false" outlineLevel="0" collapsed="false">
      <c r="A1658" s="8"/>
      <c r="B1658" s="17"/>
      <c r="C1658" s="19"/>
      <c r="D1658" s="8"/>
      <c r="E1658" s="18"/>
      <c r="F1658" s="18"/>
      <c r="G1658" s="8"/>
      <c r="H1658" s="8"/>
      <c r="I1658" s="8"/>
      <c r="J1658" s="8"/>
      <c r="K1658" s="10" t="str">
        <f aca="false">IF(A1658="","",IF(ABS(SUMIFS($E$9:$E$2008,$A$9:$A$2008,A1658)-SUMIFS($F$9:$F$2008,$A$9:$A$2008,A1658))&lt;0.5,"Yes","No"))</f>
        <v/>
      </c>
      <c r="L1658" s="10" t="str">
        <f aca="false">IF(A1658="","",IF(IF(K1658="No","Does not balance | ","")&amp;IF(I1658="","Not approved | ",IF(UPPER(TRIM(H1658))=UPPER(TRIM(I1658)),"Self-approved | ",""))&amp;IF(J1658="","No support | ","")&amp;IF(WEEKDAY(B1658,2)&gt;5,"Weekend posting | ","")&amp;IF(COUNTIF(Settings!$A$14:$A$43,B1658)&gt;0,"Holiday posting | ","")&amp;IF(B1658&gt;Settings!$C$8,"Posted after close | ","")&amp;IF(OR(B1658&lt;Settings!$C$6,B1658&gt;Settings!$C$7),"Outside period | ","")&amp;IF(COUNTIF(Settings!$E$14:$E$43,C1658&amp;"")&gt;0,"Sensitive account | ","")&amp;IF(AND(MAX(N(E1658),N(F1658))&gt;=Settings!$C$9,MOD(MAX(N(E1658),N(F1658)),Settings!$C$10)=0),"Round amount | ","")="","",LEFT(IF(K1658="No","Does not balance | ","")&amp;IF(I1658="","Not approved | ",IF(UPPER(TRIM(H1658))=UPPER(TRIM(I1658)),"Self-approved | ",""))&amp;IF(J1658="","No support | ","")&amp;IF(WEEKDAY(B1658,2)&gt;5,"Weekend posting | ","")&amp;IF(COUNTIF(Settings!$A$14:$A$43,B1658)&gt;0,"Holiday posting | ","")&amp;IF(B1658&gt;Settings!$C$8,"Posted after close | ","")&amp;IF(OR(B1658&lt;Settings!$C$6,B1658&gt;Settings!$C$7),"Outside period | ","")&amp;IF(COUNTIF(Settings!$E$14:$E$43,C1658&amp;"")&gt;0,"Sensitive account | ","")&amp;IF(AND(MAX(N(E1658),N(F1658))&gt;=Settings!$C$9,MOD(MAX(N(E1658),N(F1658)),Settings!$C$10)=0),"Round amount | ",""),LEN(IF(K1658="No","Does not balance | ","")&amp;IF(I1658="","Not approved | ",IF(UPPER(TRIM(H1658))=UPPER(TRIM(I1658)),"Self-approved | ",""))&amp;IF(J1658="","No support | ","")&amp;IF(WEEKDAY(B1658,2)&gt;5,"Weekend posting | ","")&amp;IF(COUNTIF(Settings!$A$14:$A$43,B1658)&gt;0,"Holiday posting | ","")&amp;IF(B1658&gt;Settings!$C$8,"Posted after close | ","")&amp;IF(OR(B1658&lt;Settings!$C$6,B1658&gt;Settings!$C$7),"Outside period | ","")&amp;IF(COUNTIF(Settings!$E$14:$E$43,C1658&amp;"")&gt;0,"Sensitive account | ","")&amp;IF(AND(MAX(N(E1658),N(F1658))&gt;=Settings!$C$9,MOD(MAX(N(E1658),N(F1658)),Settings!$C$10)=0),"Round amount | ",""))-3)))</f>
        <v/>
      </c>
      <c r="M1658" s="21" t="str">
        <f aca="false">IF(A1658="","",IF(COUNTIF($A$9:A1658,A1658)=1,MAX($M$8:M1657)+1,""))</f>
        <v/>
      </c>
    </row>
    <row r="1659" customFormat="false" ht="15" hidden="false" customHeight="false" outlineLevel="0" collapsed="false">
      <c r="A1659" s="8"/>
      <c r="B1659" s="17"/>
      <c r="C1659" s="19"/>
      <c r="D1659" s="8"/>
      <c r="E1659" s="18"/>
      <c r="F1659" s="18"/>
      <c r="G1659" s="8"/>
      <c r="H1659" s="8"/>
      <c r="I1659" s="8"/>
      <c r="J1659" s="8"/>
      <c r="K1659" s="10" t="str">
        <f aca="false">IF(A1659="","",IF(ABS(SUMIFS($E$9:$E$2008,$A$9:$A$2008,A1659)-SUMIFS($F$9:$F$2008,$A$9:$A$2008,A1659))&lt;0.5,"Yes","No"))</f>
        <v/>
      </c>
      <c r="L1659" s="10" t="str">
        <f aca="false">IF(A1659="","",IF(IF(K1659="No","Does not balance | ","")&amp;IF(I1659="","Not approved | ",IF(UPPER(TRIM(H1659))=UPPER(TRIM(I1659)),"Self-approved | ",""))&amp;IF(J1659="","No support | ","")&amp;IF(WEEKDAY(B1659,2)&gt;5,"Weekend posting | ","")&amp;IF(COUNTIF(Settings!$A$14:$A$43,B1659)&gt;0,"Holiday posting | ","")&amp;IF(B1659&gt;Settings!$C$8,"Posted after close | ","")&amp;IF(OR(B1659&lt;Settings!$C$6,B1659&gt;Settings!$C$7),"Outside period | ","")&amp;IF(COUNTIF(Settings!$E$14:$E$43,C1659&amp;"")&gt;0,"Sensitive account | ","")&amp;IF(AND(MAX(N(E1659),N(F1659))&gt;=Settings!$C$9,MOD(MAX(N(E1659),N(F1659)),Settings!$C$10)=0),"Round amount | ","")="","",LEFT(IF(K1659="No","Does not balance | ","")&amp;IF(I1659="","Not approved | ",IF(UPPER(TRIM(H1659))=UPPER(TRIM(I1659)),"Self-approved | ",""))&amp;IF(J1659="","No support | ","")&amp;IF(WEEKDAY(B1659,2)&gt;5,"Weekend posting | ","")&amp;IF(COUNTIF(Settings!$A$14:$A$43,B1659)&gt;0,"Holiday posting | ","")&amp;IF(B1659&gt;Settings!$C$8,"Posted after close | ","")&amp;IF(OR(B1659&lt;Settings!$C$6,B1659&gt;Settings!$C$7),"Outside period | ","")&amp;IF(COUNTIF(Settings!$E$14:$E$43,C1659&amp;"")&gt;0,"Sensitive account | ","")&amp;IF(AND(MAX(N(E1659),N(F1659))&gt;=Settings!$C$9,MOD(MAX(N(E1659),N(F1659)),Settings!$C$10)=0),"Round amount | ",""),LEN(IF(K1659="No","Does not balance | ","")&amp;IF(I1659="","Not approved | ",IF(UPPER(TRIM(H1659))=UPPER(TRIM(I1659)),"Self-approved | ",""))&amp;IF(J1659="","No support | ","")&amp;IF(WEEKDAY(B1659,2)&gt;5,"Weekend posting | ","")&amp;IF(COUNTIF(Settings!$A$14:$A$43,B1659)&gt;0,"Holiday posting | ","")&amp;IF(B1659&gt;Settings!$C$8,"Posted after close | ","")&amp;IF(OR(B1659&lt;Settings!$C$6,B1659&gt;Settings!$C$7),"Outside period | ","")&amp;IF(COUNTIF(Settings!$E$14:$E$43,C1659&amp;"")&gt;0,"Sensitive account | ","")&amp;IF(AND(MAX(N(E1659),N(F1659))&gt;=Settings!$C$9,MOD(MAX(N(E1659),N(F1659)),Settings!$C$10)=0),"Round amount | ",""))-3)))</f>
        <v/>
      </c>
      <c r="M1659" s="21" t="str">
        <f aca="false">IF(A1659="","",IF(COUNTIF($A$9:A1659,A1659)=1,MAX($M$8:M1658)+1,""))</f>
        <v/>
      </c>
    </row>
    <row r="1660" customFormat="false" ht="15" hidden="false" customHeight="false" outlineLevel="0" collapsed="false">
      <c r="A1660" s="8"/>
      <c r="B1660" s="17"/>
      <c r="C1660" s="19"/>
      <c r="D1660" s="8"/>
      <c r="E1660" s="18"/>
      <c r="F1660" s="18"/>
      <c r="G1660" s="8"/>
      <c r="H1660" s="8"/>
      <c r="I1660" s="8"/>
      <c r="J1660" s="8"/>
      <c r="K1660" s="10" t="str">
        <f aca="false">IF(A1660="","",IF(ABS(SUMIFS($E$9:$E$2008,$A$9:$A$2008,A1660)-SUMIFS($F$9:$F$2008,$A$9:$A$2008,A1660))&lt;0.5,"Yes","No"))</f>
        <v/>
      </c>
      <c r="L1660" s="10" t="str">
        <f aca="false">IF(A1660="","",IF(IF(K1660="No","Does not balance | ","")&amp;IF(I1660="","Not approved | ",IF(UPPER(TRIM(H1660))=UPPER(TRIM(I1660)),"Self-approved | ",""))&amp;IF(J1660="","No support | ","")&amp;IF(WEEKDAY(B1660,2)&gt;5,"Weekend posting | ","")&amp;IF(COUNTIF(Settings!$A$14:$A$43,B1660)&gt;0,"Holiday posting | ","")&amp;IF(B1660&gt;Settings!$C$8,"Posted after close | ","")&amp;IF(OR(B1660&lt;Settings!$C$6,B1660&gt;Settings!$C$7),"Outside period | ","")&amp;IF(COUNTIF(Settings!$E$14:$E$43,C1660&amp;"")&gt;0,"Sensitive account | ","")&amp;IF(AND(MAX(N(E1660),N(F1660))&gt;=Settings!$C$9,MOD(MAX(N(E1660),N(F1660)),Settings!$C$10)=0),"Round amount | ","")="","",LEFT(IF(K1660="No","Does not balance | ","")&amp;IF(I1660="","Not approved | ",IF(UPPER(TRIM(H1660))=UPPER(TRIM(I1660)),"Self-approved | ",""))&amp;IF(J1660="","No support | ","")&amp;IF(WEEKDAY(B1660,2)&gt;5,"Weekend posting | ","")&amp;IF(COUNTIF(Settings!$A$14:$A$43,B1660)&gt;0,"Holiday posting | ","")&amp;IF(B1660&gt;Settings!$C$8,"Posted after close | ","")&amp;IF(OR(B1660&lt;Settings!$C$6,B1660&gt;Settings!$C$7),"Outside period | ","")&amp;IF(COUNTIF(Settings!$E$14:$E$43,C1660&amp;"")&gt;0,"Sensitive account | ","")&amp;IF(AND(MAX(N(E1660),N(F1660))&gt;=Settings!$C$9,MOD(MAX(N(E1660),N(F1660)),Settings!$C$10)=0),"Round amount | ",""),LEN(IF(K1660="No","Does not balance | ","")&amp;IF(I1660="","Not approved | ",IF(UPPER(TRIM(H1660))=UPPER(TRIM(I1660)),"Self-approved | ",""))&amp;IF(J1660="","No support | ","")&amp;IF(WEEKDAY(B1660,2)&gt;5,"Weekend posting | ","")&amp;IF(COUNTIF(Settings!$A$14:$A$43,B1660)&gt;0,"Holiday posting | ","")&amp;IF(B1660&gt;Settings!$C$8,"Posted after close | ","")&amp;IF(OR(B1660&lt;Settings!$C$6,B1660&gt;Settings!$C$7),"Outside period | ","")&amp;IF(COUNTIF(Settings!$E$14:$E$43,C1660&amp;"")&gt;0,"Sensitive account | ","")&amp;IF(AND(MAX(N(E1660),N(F1660))&gt;=Settings!$C$9,MOD(MAX(N(E1660),N(F1660)),Settings!$C$10)=0),"Round amount | ",""))-3)))</f>
        <v/>
      </c>
      <c r="M1660" s="21" t="str">
        <f aca="false">IF(A1660="","",IF(COUNTIF($A$9:A1660,A1660)=1,MAX($M$8:M1659)+1,""))</f>
        <v/>
      </c>
    </row>
    <row r="1661" customFormat="false" ht="15" hidden="false" customHeight="false" outlineLevel="0" collapsed="false">
      <c r="A1661" s="8"/>
      <c r="B1661" s="17"/>
      <c r="C1661" s="19"/>
      <c r="D1661" s="8"/>
      <c r="E1661" s="18"/>
      <c r="F1661" s="18"/>
      <c r="G1661" s="8"/>
      <c r="H1661" s="8"/>
      <c r="I1661" s="8"/>
      <c r="J1661" s="8"/>
      <c r="K1661" s="10" t="str">
        <f aca="false">IF(A1661="","",IF(ABS(SUMIFS($E$9:$E$2008,$A$9:$A$2008,A1661)-SUMIFS($F$9:$F$2008,$A$9:$A$2008,A1661))&lt;0.5,"Yes","No"))</f>
        <v/>
      </c>
      <c r="L1661" s="10" t="str">
        <f aca="false">IF(A1661="","",IF(IF(K1661="No","Does not balance | ","")&amp;IF(I1661="","Not approved | ",IF(UPPER(TRIM(H1661))=UPPER(TRIM(I1661)),"Self-approved | ",""))&amp;IF(J1661="","No support | ","")&amp;IF(WEEKDAY(B1661,2)&gt;5,"Weekend posting | ","")&amp;IF(COUNTIF(Settings!$A$14:$A$43,B1661)&gt;0,"Holiday posting | ","")&amp;IF(B1661&gt;Settings!$C$8,"Posted after close | ","")&amp;IF(OR(B1661&lt;Settings!$C$6,B1661&gt;Settings!$C$7),"Outside period | ","")&amp;IF(COUNTIF(Settings!$E$14:$E$43,C1661&amp;"")&gt;0,"Sensitive account | ","")&amp;IF(AND(MAX(N(E1661),N(F1661))&gt;=Settings!$C$9,MOD(MAX(N(E1661),N(F1661)),Settings!$C$10)=0),"Round amount | ","")="","",LEFT(IF(K1661="No","Does not balance | ","")&amp;IF(I1661="","Not approved | ",IF(UPPER(TRIM(H1661))=UPPER(TRIM(I1661)),"Self-approved | ",""))&amp;IF(J1661="","No support | ","")&amp;IF(WEEKDAY(B1661,2)&gt;5,"Weekend posting | ","")&amp;IF(COUNTIF(Settings!$A$14:$A$43,B1661)&gt;0,"Holiday posting | ","")&amp;IF(B1661&gt;Settings!$C$8,"Posted after close | ","")&amp;IF(OR(B1661&lt;Settings!$C$6,B1661&gt;Settings!$C$7),"Outside period | ","")&amp;IF(COUNTIF(Settings!$E$14:$E$43,C1661&amp;"")&gt;0,"Sensitive account | ","")&amp;IF(AND(MAX(N(E1661),N(F1661))&gt;=Settings!$C$9,MOD(MAX(N(E1661),N(F1661)),Settings!$C$10)=0),"Round amount | ",""),LEN(IF(K1661="No","Does not balance | ","")&amp;IF(I1661="","Not approved | ",IF(UPPER(TRIM(H1661))=UPPER(TRIM(I1661)),"Self-approved | ",""))&amp;IF(J1661="","No support | ","")&amp;IF(WEEKDAY(B1661,2)&gt;5,"Weekend posting | ","")&amp;IF(COUNTIF(Settings!$A$14:$A$43,B1661)&gt;0,"Holiday posting | ","")&amp;IF(B1661&gt;Settings!$C$8,"Posted after close | ","")&amp;IF(OR(B1661&lt;Settings!$C$6,B1661&gt;Settings!$C$7),"Outside period | ","")&amp;IF(COUNTIF(Settings!$E$14:$E$43,C1661&amp;"")&gt;0,"Sensitive account | ","")&amp;IF(AND(MAX(N(E1661),N(F1661))&gt;=Settings!$C$9,MOD(MAX(N(E1661),N(F1661)),Settings!$C$10)=0),"Round amount | ",""))-3)))</f>
        <v/>
      </c>
      <c r="M1661" s="21" t="str">
        <f aca="false">IF(A1661="","",IF(COUNTIF($A$9:A1661,A1661)=1,MAX($M$8:M1660)+1,""))</f>
        <v/>
      </c>
    </row>
    <row r="1662" customFormat="false" ht="15" hidden="false" customHeight="false" outlineLevel="0" collapsed="false">
      <c r="A1662" s="8"/>
      <c r="B1662" s="17"/>
      <c r="C1662" s="19"/>
      <c r="D1662" s="8"/>
      <c r="E1662" s="18"/>
      <c r="F1662" s="18"/>
      <c r="G1662" s="8"/>
      <c r="H1662" s="8"/>
      <c r="I1662" s="8"/>
      <c r="J1662" s="8"/>
      <c r="K1662" s="10" t="str">
        <f aca="false">IF(A1662="","",IF(ABS(SUMIFS($E$9:$E$2008,$A$9:$A$2008,A1662)-SUMIFS($F$9:$F$2008,$A$9:$A$2008,A1662))&lt;0.5,"Yes","No"))</f>
        <v/>
      </c>
      <c r="L1662" s="10" t="str">
        <f aca="false">IF(A1662="","",IF(IF(K1662="No","Does not balance | ","")&amp;IF(I1662="","Not approved | ",IF(UPPER(TRIM(H1662))=UPPER(TRIM(I1662)),"Self-approved | ",""))&amp;IF(J1662="","No support | ","")&amp;IF(WEEKDAY(B1662,2)&gt;5,"Weekend posting | ","")&amp;IF(COUNTIF(Settings!$A$14:$A$43,B1662)&gt;0,"Holiday posting | ","")&amp;IF(B1662&gt;Settings!$C$8,"Posted after close | ","")&amp;IF(OR(B1662&lt;Settings!$C$6,B1662&gt;Settings!$C$7),"Outside period | ","")&amp;IF(COUNTIF(Settings!$E$14:$E$43,C1662&amp;"")&gt;0,"Sensitive account | ","")&amp;IF(AND(MAX(N(E1662),N(F1662))&gt;=Settings!$C$9,MOD(MAX(N(E1662),N(F1662)),Settings!$C$10)=0),"Round amount | ","")="","",LEFT(IF(K1662="No","Does not balance | ","")&amp;IF(I1662="","Not approved | ",IF(UPPER(TRIM(H1662))=UPPER(TRIM(I1662)),"Self-approved | ",""))&amp;IF(J1662="","No support | ","")&amp;IF(WEEKDAY(B1662,2)&gt;5,"Weekend posting | ","")&amp;IF(COUNTIF(Settings!$A$14:$A$43,B1662)&gt;0,"Holiday posting | ","")&amp;IF(B1662&gt;Settings!$C$8,"Posted after close | ","")&amp;IF(OR(B1662&lt;Settings!$C$6,B1662&gt;Settings!$C$7),"Outside period | ","")&amp;IF(COUNTIF(Settings!$E$14:$E$43,C1662&amp;"")&gt;0,"Sensitive account | ","")&amp;IF(AND(MAX(N(E1662),N(F1662))&gt;=Settings!$C$9,MOD(MAX(N(E1662),N(F1662)),Settings!$C$10)=0),"Round amount | ",""),LEN(IF(K1662="No","Does not balance | ","")&amp;IF(I1662="","Not approved | ",IF(UPPER(TRIM(H1662))=UPPER(TRIM(I1662)),"Self-approved | ",""))&amp;IF(J1662="","No support | ","")&amp;IF(WEEKDAY(B1662,2)&gt;5,"Weekend posting | ","")&amp;IF(COUNTIF(Settings!$A$14:$A$43,B1662)&gt;0,"Holiday posting | ","")&amp;IF(B1662&gt;Settings!$C$8,"Posted after close | ","")&amp;IF(OR(B1662&lt;Settings!$C$6,B1662&gt;Settings!$C$7),"Outside period | ","")&amp;IF(COUNTIF(Settings!$E$14:$E$43,C1662&amp;"")&gt;0,"Sensitive account | ","")&amp;IF(AND(MAX(N(E1662),N(F1662))&gt;=Settings!$C$9,MOD(MAX(N(E1662),N(F1662)),Settings!$C$10)=0),"Round amount | ",""))-3)))</f>
        <v/>
      </c>
      <c r="M1662" s="21" t="str">
        <f aca="false">IF(A1662="","",IF(COUNTIF($A$9:A1662,A1662)=1,MAX($M$8:M1661)+1,""))</f>
        <v/>
      </c>
    </row>
    <row r="1663" customFormat="false" ht="15" hidden="false" customHeight="false" outlineLevel="0" collapsed="false">
      <c r="A1663" s="8"/>
      <c r="B1663" s="17"/>
      <c r="C1663" s="19"/>
      <c r="D1663" s="8"/>
      <c r="E1663" s="18"/>
      <c r="F1663" s="18"/>
      <c r="G1663" s="8"/>
      <c r="H1663" s="8"/>
      <c r="I1663" s="8"/>
      <c r="J1663" s="8"/>
      <c r="K1663" s="10" t="str">
        <f aca="false">IF(A1663="","",IF(ABS(SUMIFS($E$9:$E$2008,$A$9:$A$2008,A1663)-SUMIFS($F$9:$F$2008,$A$9:$A$2008,A1663))&lt;0.5,"Yes","No"))</f>
        <v/>
      </c>
      <c r="L1663" s="10" t="str">
        <f aca="false">IF(A1663="","",IF(IF(K1663="No","Does not balance | ","")&amp;IF(I1663="","Not approved | ",IF(UPPER(TRIM(H1663))=UPPER(TRIM(I1663)),"Self-approved | ",""))&amp;IF(J1663="","No support | ","")&amp;IF(WEEKDAY(B1663,2)&gt;5,"Weekend posting | ","")&amp;IF(COUNTIF(Settings!$A$14:$A$43,B1663)&gt;0,"Holiday posting | ","")&amp;IF(B1663&gt;Settings!$C$8,"Posted after close | ","")&amp;IF(OR(B1663&lt;Settings!$C$6,B1663&gt;Settings!$C$7),"Outside period | ","")&amp;IF(COUNTIF(Settings!$E$14:$E$43,C1663&amp;"")&gt;0,"Sensitive account | ","")&amp;IF(AND(MAX(N(E1663),N(F1663))&gt;=Settings!$C$9,MOD(MAX(N(E1663),N(F1663)),Settings!$C$10)=0),"Round amount | ","")="","",LEFT(IF(K1663="No","Does not balance | ","")&amp;IF(I1663="","Not approved | ",IF(UPPER(TRIM(H1663))=UPPER(TRIM(I1663)),"Self-approved | ",""))&amp;IF(J1663="","No support | ","")&amp;IF(WEEKDAY(B1663,2)&gt;5,"Weekend posting | ","")&amp;IF(COUNTIF(Settings!$A$14:$A$43,B1663)&gt;0,"Holiday posting | ","")&amp;IF(B1663&gt;Settings!$C$8,"Posted after close | ","")&amp;IF(OR(B1663&lt;Settings!$C$6,B1663&gt;Settings!$C$7),"Outside period | ","")&amp;IF(COUNTIF(Settings!$E$14:$E$43,C1663&amp;"")&gt;0,"Sensitive account | ","")&amp;IF(AND(MAX(N(E1663),N(F1663))&gt;=Settings!$C$9,MOD(MAX(N(E1663),N(F1663)),Settings!$C$10)=0),"Round amount | ",""),LEN(IF(K1663="No","Does not balance | ","")&amp;IF(I1663="","Not approved | ",IF(UPPER(TRIM(H1663))=UPPER(TRIM(I1663)),"Self-approved | ",""))&amp;IF(J1663="","No support | ","")&amp;IF(WEEKDAY(B1663,2)&gt;5,"Weekend posting | ","")&amp;IF(COUNTIF(Settings!$A$14:$A$43,B1663)&gt;0,"Holiday posting | ","")&amp;IF(B1663&gt;Settings!$C$8,"Posted after close | ","")&amp;IF(OR(B1663&lt;Settings!$C$6,B1663&gt;Settings!$C$7),"Outside period | ","")&amp;IF(COUNTIF(Settings!$E$14:$E$43,C1663&amp;"")&gt;0,"Sensitive account | ","")&amp;IF(AND(MAX(N(E1663),N(F1663))&gt;=Settings!$C$9,MOD(MAX(N(E1663),N(F1663)),Settings!$C$10)=0),"Round amount | ",""))-3)))</f>
        <v/>
      </c>
      <c r="M1663" s="21" t="str">
        <f aca="false">IF(A1663="","",IF(COUNTIF($A$9:A1663,A1663)=1,MAX($M$8:M1662)+1,""))</f>
        <v/>
      </c>
    </row>
    <row r="1664" customFormat="false" ht="15" hidden="false" customHeight="false" outlineLevel="0" collapsed="false">
      <c r="A1664" s="8"/>
      <c r="B1664" s="17"/>
      <c r="C1664" s="19"/>
      <c r="D1664" s="8"/>
      <c r="E1664" s="18"/>
      <c r="F1664" s="18"/>
      <c r="G1664" s="8"/>
      <c r="H1664" s="8"/>
      <c r="I1664" s="8"/>
      <c r="J1664" s="8"/>
      <c r="K1664" s="10" t="str">
        <f aca="false">IF(A1664="","",IF(ABS(SUMIFS($E$9:$E$2008,$A$9:$A$2008,A1664)-SUMIFS($F$9:$F$2008,$A$9:$A$2008,A1664))&lt;0.5,"Yes","No"))</f>
        <v/>
      </c>
      <c r="L1664" s="10" t="str">
        <f aca="false">IF(A1664="","",IF(IF(K1664="No","Does not balance | ","")&amp;IF(I1664="","Not approved | ",IF(UPPER(TRIM(H1664))=UPPER(TRIM(I1664)),"Self-approved | ",""))&amp;IF(J1664="","No support | ","")&amp;IF(WEEKDAY(B1664,2)&gt;5,"Weekend posting | ","")&amp;IF(COUNTIF(Settings!$A$14:$A$43,B1664)&gt;0,"Holiday posting | ","")&amp;IF(B1664&gt;Settings!$C$8,"Posted after close | ","")&amp;IF(OR(B1664&lt;Settings!$C$6,B1664&gt;Settings!$C$7),"Outside period | ","")&amp;IF(COUNTIF(Settings!$E$14:$E$43,C1664&amp;"")&gt;0,"Sensitive account | ","")&amp;IF(AND(MAX(N(E1664),N(F1664))&gt;=Settings!$C$9,MOD(MAX(N(E1664),N(F1664)),Settings!$C$10)=0),"Round amount | ","")="","",LEFT(IF(K1664="No","Does not balance | ","")&amp;IF(I1664="","Not approved | ",IF(UPPER(TRIM(H1664))=UPPER(TRIM(I1664)),"Self-approved | ",""))&amp;IF(J1664="","No support | ","")&amp;IF(WEEKDAY(B1664,2)&gt;5,"Weekend posting | ","")&amp;IF(COUNTIF(Settings!$A$14:$A$43,B1664)&gt;0,"Holiday posting | ","")&amp;IF(B1664&gt;Settings!$C$8,"Posted after close | ","")&amp;IF(OR(B1664&lt;Settings!$C$6,B1664&gt;Settings!$C$7),"Outside period | ","")&amp;IF(COUNTIF(Settings!$E$14:$E$43,C1664&amp;"")&gt;0,"Sensitive account | ","")&amp;IF(AND(MAX(N(E1664),N(F1664))&gt;=Settings!$C$9,MOD(MAX(N(E1664),N(F1664)),Settings!$C$10)=0),"Round amount | ",""),LEN(IF(K1664="No","Does not balance | ","")&amp;IF(I1664="","Not approved | ",IF(UPPER(TRIM(H1664))=UPPER(TRIM(I1664)),"Self-approved | ",""))&amp;IF(J1664="","No support | ","")&amp;IF(WEEKDAY(B1664,2)&gt;5,"Weekend posting | ","")&amp;IF(COUNTIF(Settings!$A$14:$A$43,B1664)&gt;0,"Holiday posting | ","")&amp;IF(B1664&gt;Settings!$C$8,"Posted after close | ","")&amp;IF(OR(B1664&lt;Settings!$C$6,B1664&gt;Settings!$C$7),"Outside period | ","")&amp;IF(COUNTIF(Settings!$E$14:$E$43,C1664&amp;"")&gt;0,"Sensitive account | ","")&amp;IF(AND(MAX(N(E1664),N(F1664))&gt;=Settings!$C$9,MOD(MAX(N(E1664),N(F1664)),Settings!$C$10)=0),"Round amount | ",""))-3)))</f>
        <v/>
      </c>
      <c r="M1664" s="21" t="str">
        <f aca="false">IF(A1664="","",IF(COUNTIF($A$9:A1664,A1664)=1,MAX($M$8:M1663)+1,""))</f>
        <v/>
      </c>
    </row>
    <row r="1665" customFormat="false" ht="15" hidden="false" customHeight="false" outlineLevel="0" collapsed="false">
      <c r="A1665" s="8"/>
      <c r="B1665" s="17"/>
      <c r="C1665" s="19"/>
      <c r="D1665" s="8"/>
      <c r="E1665" s="18"/>
      <c r="F1665" s="18"/>
      <c r="G1665" s="8"/>
      <c r="H1665" s="8"/>
      <c r="I1665" s="8"/>
      <c r="J1665" s="8"/>
      <c r="K1665" s="10" t="str">
        <f aca="false">IF(A1665="","",IF(ABS(SUMIFS($E$9:$E$2008,$A$9:$A$2008,A1665)-SUMIFS($F$9:$F$2008,$A$9:$A$2008,A1665))&lt;0.5,"Yes","No"))</f>
        <v/>
      </c>
      <c r="L1665" s="10" t="str">
        <f aca="false">IF(A1665="","",IF(IF(K1665="No","Does not balance | ","")&amp;IF(I1665="","Not approved | ",IF(UPPER(TRIM(H1665))=UPPER(TRIM(I1665)),"Self-approved | ",""))&amp;IF(J1665="","No support | ","")&amp;IF(WEEKDAY(B1665,2)&gt;5,"Weekend posting | ","")&amp;IF(COUNTIF(Settings!$A$14:$A$43,B1665)&gt;0,"Holiday posting | ","")&amp;IF(B1665&gt;Settings!$C$8,"Posted after close | ","")&amp;IF(OR(B1665&lt;Settings!$C$6,B1665&gt;Settings!$C$7),"Outside period | ","")&amp;IF(COUNTIF(Settings!$E$14:$E$43,C1665&amp;"")&gt;0,"Sensitive account | ","")&amp;IF(AND(MAX(N(E1665),N(F1665))&gt;=Settings!$C$9,MOD(MAX(N(E1665),N(F1665)),Settings!$C$10)=0),"Round amount | ","")="","",LEFT(IF(K1665="No","Does not balance | ","")&amp;IF(I1665="","Not approved | ",IF(UPPER(TRIM(H1665))=UPPER(TRIM(I1665)),"Self-approved | ",""))&amp;IF(J1665="","No support | ","")&amp;IF(WEEKDAY(B1665,2)&gt;5,"Weekend posting | ","")&amp;IF(COUNTIF(Settings!$A$14:$A$43,B1665)&gt;0,"Holiday posting | ","")&amp;IF(B1665&gt;Settings!$C$8,"Posted after close | ","")&amp;IF(OR(B1665&lt;Settings!$C$6,B1665&gt;Settings!$C$7),"Outside period | ","")&amp;IF(COUNTIF(Settings!$E$14:$E$43,C1665&amp;"")&gt;0,"Sensitive account | ","")&amp;IF(AND(MAX(N(E1665),N(F1665))&gt;=Settings!$C$9,MOD(MAX(N(E1665),N(F1665)),Settings!$C$10)=0),"Round amount | ",""),LEN(IF(K1665="No","Does not balance | ","")&amp;IF(I1665="","Not approved | ",IF(UPPER(TRIM(H1665))=UPPER(TRIM(I1665)),"Self-approved | ",""))&amp;IF(J1665="","No support | ","")&amp;IF(WEEKDAY(B1665,2)&gt;5,"Weekend posting | ","")&amp;IF(COUNTIF(Settings!$A$14:$A$43,B1665)&gt;0,"Holiday posting | ","")&amp;IF(B1665&gt;Settings!$C$8,"Posted after close | ","")&amp;IF(OR(B1665&lt;Settings!$C$6,B1665&gt;Settings!$C$7),"Outside period | ","")&amp;IF(COUNTIF(Settings!$E$14:$E$43,C1665&amp;"")&gt;0,"Sensitive account | ","")&amp;IF(AND(MAX(N(E1665),N(F1665))&gt;=Settings!$C$9,MOD(MAX(N(E1665),N(F1665)),Settings!$C$10)=0),"Round amount | ",""))-3)))</f>
        <v/>
      </c>
      <c r="M1665" s="21" t="str">
        <f aca="false">IF(A1665="","",IF(COUNTIF($A$9:A1665,A1665)=1,MAX($M$8:M1664)+1,""))</f>
        <v/>
      </c>
    </row>
    <row r="1666" customFormat="false" ht="15" hidden="false" customHeight="false" outlineLevel="0" collapsed="false">
      <c r="A1666" s="8"/>
      <c r="B1666" s="17"/>
      <c r="C1666" s="19"/>
      <c r="D1666" s="8"/>
      <c r="E1666" s="18"/>
      <c r="F1666" s="18"/>
      <c r="G1666" s="8"/>
      <c r="H1666" s="8"/>
      <c r="I1666" s="8"/>
      <c r="J1666" s="8"/>
      <c r="K1666" s="10" t="str">
        <f aca="false">IF(A1666="","",IF(ABS(SUMIFS($E$9:$E$2008,$A$9:$A$2008,A1666)-SUMIFS($F$9:$F$2008,$A$9:$A$2008,A1666))&lt;0.5,"Yes","No"))</f>
        <v/>
      </c>
      <c r="L1666" s="10" t="str">
        <f aca="false">IF(A1666="","",IF(IF(K1666="No","Does not balance | ","")&amp;IF(I1666="","Not approved | ",IF(UPPER(TRIM(H1666))=UPPER(TRIM(I1666)),"Self-approved | ",""))&amp;IF(J1666="","No support | ","")&amp;IF(WEEKDAY(B1666,2)&gt;5,"Weekend posting | ","")&amp;IF(COUNTIF(Settings!$A$14:$A$43,B1666)&gt;0,"Holiday posting | ","")&amp;IF(B1666&gt;Settings!$C$8,"Posted after close | ","")&amp;IF(OR(B1666&lt;Settings!$C$6,B1666&gt;Settings!$C$7),"Outside period | ","")&amp;IF(COUNTIF(Settings!$E$14:$E$43,C1666&amp;"")&gt;0,"Sensitive account | ","")&amp;IF(AND(MAX(N(E1666),N(F1666))&gt;=Settings!$C$9,MOD(MAX(N(E1666),N(F1666)),Settings!$C$10)=0),"Round amount | ","")="","",LEFT(IF(K1666="No","Does not balance | ","")&amp;IF(I1666="","Not approved | ",IF(UPPER(TRIM(H1666))=UPPER(TRIM(I1666)),"Self-approved | ",""))&amp;IF(J1666="","No support | ","")&amp;IF(WEEKDAY(B1666,2)&gt;5,"Weekend posting | ","")&amp;IF(COUNTIF(Settings!$A$14:$A$43,B1666)&gt;0,"Holiday posting | ","")&amp;IF(B1666&gt;Settings!$C$8,"Posted after close | ","")&amp;IF(OR(B1666&lt;Settings!$C$6,B1666&gt;Settings!$C$7),"Outside period | ","")&amp;IF(COUNTIF(Settings!$E$14:$E$43,C1666&amp;"")&gt;0,"Sensitive account | ","")&amp;IF(AND(MAX(N(E1666),N(F1666))&gt;=Settings!$C$9,MOD(MAX(N(E1666),N(F1666)),Settings!$C$10)=0),"Round amount | ",""),LEN(IF(K1666="No","Does not balance | ","")&amp;IF(I1666="","Not approved | ",IF(UPPER(TRIM(H1666))=UPPER(TRIM(I1666)),"Self-approved | ",""))&amp;IF(J1666="","No support | ","")&amp;IF(WEEKDAY(B1666,2)&gt;5,"Weekend posting | ","")&amp;IF(COUNTIF(Settings!$A$14:$A$43,B1666)&gt;0,"Holiday posting | ","")&amp;IF(B1666&gt;Settings!$C$8,"Posted after close | ","")&amp;IF(OR(B1666&lt;Settings!$C$6,B1666&gt;Settings!$C$7),"Outside period | ","")&amp;IF(COUNTIF(Settings!$E$14:$E$43,C1666&amp;"")&gt;0,"Sensitive account | ","")&amp;IF(AND(MAX(N(E1666),N(F1666))&gt;=Settings!$C$9,MOD(MAX(N(E1666),N(F1666)),Settings!$C$10)=0),"Round amount | ",""))-3)))</f>
        <v/>
      </c>
      <c r="M1666" s="21" t="str">
        <f aca="false">IF(A1666="","",IF(COUNTIF($A$9:A1666,A1666)=1,MAX($M$8:M1665)+1,""))</f>
        <v/>
      </c>
    </row>
    <row r="1667" customFormat="false" ht="15" hidden="false" customHeight="false" outlineLevel="0" collapsed="false">
      <c r="A1667" s="8"/>
      <c r="B1667" s="17"/>
      <c r="C1667" s="19"/>
      <c r="D1667" s="8"/>
      <c r="E1667" s="18"/>
      <c r="F1667" s="18"/>
      <c r="G1667" s="8"/>
      <c r="H1667" s="8"/>
      <c r="I1667" s="8"/>
      <c r="J1667" s="8"/>
      <c r="K1667" s="10" t="str">
        <f aca="false">IF(A1667="","",IF(ABS(SUMIFS($E$9:$E$2008,$A$9:$A$2008,A1667)-SUMIFS($F$9:$F$2008,$A$9:$A$2008,A1667))&lt;0.5,"Yes","No"))</f>
        <v/>
      </c>
      <c r="L1667" s="10" t="str">
        <f aca="false">IF(A1667="","",IF(IF(K1667="No","Does not balance | ","")&amp;IF(I1667="","Not approved | ",IF(UPPER(TRIM(H1667))=UPPER(TRIM(I1667)),"Self-approved | ",""))&amp;IF(J1667="","No support | ","")&amp;IF(WEEKDAY(B1667,2)&gt;5,"Weekend posting | ","")&amp;IF(COUNTIF(Settings!$A$14:$A$43,B1667)&gt;0,"Holiday posting | ","")&amp;IF(B1667&gt;Settings!$C$8,"Posted after close | ","")&amp;IF(OR(B1667&lt;Settings!$C$6,B1667&gt;Settings!$C$7),"Outside period | ","")&amp;IF(COUNTIF(Settings!$E$14:$E$43,C1667&amp;"")&gt;0,"Sensitive account | ","")&amp;IF(AND(MAX(N(E1667),N(F1667))&gt;=Settings!$C$9,MOD(MAX(N(E1667),N(F1667)),Settings!$C$10)=0),"Round amount | ","")="","",LEFT(IF(K1667="No","Does not balance | ","")&amp;IF(I1667="","Not approved | ",IF(UPPER(TRIM(H1667))=UPPER(TRIM(I1667)),"Self-approved | ",""))&amp;IF(J1667="","No support | ","")&amp;IF(WEEKDAY(B1667,2)&gt;5,"Weekend posting | ","")&amp;IF(COUNTIF(Settings!$A$14:$A$43,B1667)&gt;0,"Holiday posting | ","")&amp;IF(B1667&gt;Settings!$C$8,"Posted after close | ","")&amp;IF(OR(B1667&lt;Settings!$C$6,B1667&gt;Settings!$C$7),"Outside period | ","")&amp;IF(COUNTIF(Settings!$E$14:$E$43,C1667&amp;"")&gt;0,"Sensitive account | ","")&amp;IF(AND(MAX(N(E1667),N(F1667))&gt;=Settings!$C$9,MOD(MAX(N(E1667),N(F1667)),Settings!$C$10)=0),"Round amount | ",""),LEN(IF(K1667="No","Does not balance | ","")&amp;IF(I1667="","Not approved | ",IF(UPPER(TRIM(H1667))=UPPER(TRIM(I1667)),"Self-approved | ",""))&amp;IF(J1667="","No support | ","")&amp;IF(WEEKDAY(B1667,2)&gt;5,"Weekend posting | ","")&amp;IF(COUNTIF(Settings!$A$14:$A$43,B1667)&gt;0,"Holiday posting | ","")&amp;IF(B1667&gt;Settings!$C$8,"Posted after close | ","")&amp;IF(OR(B1667&lt;Settings!$C$6,B1667&gt;Settings!$C$7),"Outside period | ","")&amp;IF(COUNTIF(Settings!$E$14:$E$43,C1667&amp;"")&gt;0,"Sensitive account | ","")&amp;IF(AND(MAX(N(E1667),N(F1667))&gt;=Settings!$C$9,MOD(MAX(N(E1667),N(F1667)),Settings!$C$10)=0),"Round amount | ",""))-3)))</f>
        <v/>
      </c>
      <c r="M1667" s="21" t="str">
        <f aca="false">IF(A1667="","",IF(COUNTIF($A$9:A1667,A1667)=1,MAX($M$8:M1666)+1,""))</f>
        <v/>
      </c>
    </row>
    <row r="1668" customFormat="false" ht="15" hidden="false" customHeight="false" outlineLevel="0" collapsed="false">
      <c r="A1668" s="8"/>
      <c r="B1668" s="17"/>
      <c r="C1668" s="19"/>
      <c r="D1668" s="8"/>
      <c r="E1668" s="18"/>
      <c r="F1668" s="18"/>
      <c r="G1668" s="8"/>
      <c r="H1668" s="8"/>
      <c r="I1668" s="8"/>
      <c r="J1668" s="8"/>
      <c r="K1668" s="10" t="str">
        <f aca="false">IF(A1668="","",IF(ABS(SUMIFS($E$9:$E$2008,$A$9:$A$2008,A1668)-SUMIFS($F$9:$F$2008,$A$9:$A$2008,A1668))&lt;0.5,"Yes","No"))</f>
        <v/>
      </c>
      <c r="L1668" s="10" t="str">
        <f aca="false">IF(A1668="","",IF(IF(K1668="No","Does not balance | ","")&amp;IF(I1668="","Not approved | ",IF(UPPER(TRIM(H1668))=UPPER(TRIM(I1668)),"Self-approved | ",""))&amp;IF(J1668="","No support | ","")&amp;IF(WEEKDAY(B1668,2)&gt;5,"Weekend posting | ","")&amp;IF(COUNTIF(Settings!$A$14:$A$43,B1668)&gt;0,"Holiday posting | ","")&amp;IF(B1668&gt;Settings!$C$8,"Posted after close | ","")&amp;IF(OR(B1668&lt;Settings!$C$6,B1668&gt;Settings!$C$7),"Outside period | ","")&amp;IF(COUNTIF(Settings!$E$14:$E$43,C1668&amp;"")&gt;0,"Sensitive account | ","")&amp;IF(AND(MAX(N(E1668),N(F1668))&gt;=Settings!$C$9,MOD(MAX(N(E1668),N(F1668)),Settings!$C$10)=0),"Round amount | ","")="","",LEFT(IF(K1668="No","Does not balance | ","")&amp;IF(I1668="","Not approved | ",IF(UPPER(TRIM(H1668))=UPPER(TRIM(I1668)),"Self-approved | ",""))&amp;IF(J1668="","No support | ","")&amp;IF(WEEKDAY(B1668,2)&gt;5,"Weekend posting | ","")&amp;IF(COUNTIF(Settings!$A$14:$A$43,B1668)&gt;0,"Holiday posting | ","")&amp;IF(B1668&gt;Settings!$C$8,"Posted after close | ","")&amp;IF(OR(B1668&lt;Settings!$C$6,B1668&gt;Settings!$C$7),"Outside period | ","")&amp;IF(COUNTIF(Settings!$E$14:$E$43,C1668&amp;"")&gt;0,"Sensitive account | ","")&amp;IF(AND(MAX(N(E1668),N(F1668))&gt;=Settings!$C$9,MOD(MAX(N(E1668),N(F1668)),Settings!$C$10)=0),"Round amount | ",""),LEN(IF(K1668="No","Does not balance | ","")&amp;IF(I1668="","Not approved | ",IF(UPPER(TRIM(H1668))=UPPER(TRIM(I1668)),"Self-approved | ",""))&amp;IF(J1668="","No support | ","")&amp;IF(WEEKDAY(B1668,2)&gt;5,"Weekend posting | ","")&amp;IF(COUNTIF(Settings!$A$14:$A$43,B1668)&gt;0,"Holiday posting | ","")&amp;IF(B1668&gt;Settings!$C$8,"Posted after close | ","")&amp;IF(OR(B1668&lt;Settings!$C$6,B1668&gt;Settings!$C$7),"Outside period | ","")&amp;IF(COUNTIF(Settings!$E$14:$E$43,C1668&amp;"")&gt;0,"Sensitive account | ","")&amp;IF(AND(MAX(N(E1668),N(F1668))&gt;=Settings!$C$9,MOD(MAX(N(E1668),N(F1668)),Settings!$C$10)=0),"Round amount | ",""))-3)))</f>
        <v/>
      </c>
      <c r="M1668" s="21" t="str">
        <f aca="false">IF(A1668="","",IF(COUNTIF($A$9:A1668,A1668)=1,MAX($M$8:M1667)+1,""))</f>
        <v/>
      </c>
    </row>
    <row r="1669" customFormat="false" ht="15" hidden="false" customHeight="false" outlineLevel="0" collapsed="false">
      <c r="A1669" s="8"/>
      <c r="B1669" s="17"/>
      <c r="C1669" s="19"/>
      <c r="D1669" s="8"/>
      <c r="E1669" s="18"/>
      <c r="F1669" s="18"/>
      <c r="G1669" s="8"/>
      <c r="H1669" s="8"/>
      <c r="I1669" s="8"/>
      <c r="J1669" s="8"/>
      <c r="K1669" s="10" t="str">
        <f aca="false">IF(A1669="","",IF(ABS(SUMIFS($E$9:$E$2008,$A$9:$A$2008,A1669)-SUMIFS($F$9:$F$2008,$A$9:$A$2008,A1669))&lt;0.5,"Yes","No"))</f>
        <v/>
      </c>
      <c r="L1669" s="10" t="str">
        <f aca="false">IF(A1669="","",IF(IF(K1669="No","Does not balance | ","")&amp;IF(I1669="","Not approved | ",IF(UPPER(TRIM(H1669))=UPPER(TRIM(I1669)),"Self-approved | ",""))&amp;IF(J1669="","No support | ","")&amp;IF(WEEKDAY(B1669,2)&gt;5,"Weekend posting | ","")&amp;IF(COUNTIF(Settings!$A$14:$A$43,B1669)&gt;0,"Holiday posting | ","")&amp;IF(B1669&gt;Settings!$C$8,"Posted after close | ","")&amp;IF(OR(B1669&lt;Settings!$C$6,B1669&gt;Settings!$C$7),"Outside period | ","")&amp;IF(COUNTIF(Settings!$E$14:$E$43,C1669&amp;"")&gt;0,"Sensitive account | ","")&amp;IF(AND(MAX(N(E1669),N(F1669))&gt;=Settings!$C$9,MOD(MAX(N(E1669),N(F1669)),Settings!$C$10)=0),"Round amount | ","")="","",LEFT(IF(K1669="No","Does not balance | ","")&amp;IF(I1669="","Not approved | ",IF(UPPER(TRIM(H1669))=UPPER(TRIM(I1669)),"Self-approved | ",""))&amp;IF(J1669="","No support | ","")&amp;IF(WEEKDAY(B1669,2)&gt;5,"Weekend posting | ","")&amp;IF(COUNTIF(Settings!$A$14:$A$43,B1669)&gt;0,"Holiday posting | ","")&amp;IF(B1669&gt;Settings!$C$8,"Posted after close | ","")&amp;IF(OR(B1669&lt;Settings!$C$6,B1669&gt;Settings!$C$7),"Outside period | ","")&amp;IF(COUNTIF(Settings!$E$14:$E$43,C1669&amp;"")&gt;0,"Sensitive account | ","")&amp;IF(AND(MAX(N(E1669),N(F1669))&gt;=Settings!$C$9,MOD(MAX(N(E1669),N(F1669)),Settings!$C$10)=0),"Round amount | ",""),LEN(IF(K1669="No","Does not balance | ","")&amp;IF(I1669="","Not approved | ",IF(UPPER(TRIM(H1669))=UPPER(TRIM(I1669)),"Self-approved | ",""))&amp;IF(J1669="","No support | ","")&amp;IF(WEEKDAY(B1669,2)&gt;5,"Weekend posting | ","")&amp;IF(COUNTIF(Settings!$A$14:$A$43,B1669)&gt;0,"Holiday posting | ","")&amp;IF(B1669&gt;Settings!$C$8,"Posted after close | ","")&amp;IF(OR(B1669&lt;Settings!$C$6,B1669&gt;Settings!$C$7),"Outside period | ","")&amp;IF(COUNTIF(Settings!$E$14:$E$43,C1669&amp;"")&gt;0,"Sensitive account | ","")&amp;IF(AND(MAX(N(E1669),N(F1669))&gt;=Settings!$C$9,MOD(MAX(N(E1669),N(F1669)),Settings!$C$10)=0),"Round amount | ",""))-3)))</f>
        <v/>
      </c>
      <c r="M1669" s="21" t="str">
        <f aca="false">IF(A1669="","",IF(COUNTIF($A$9:A1669,A1669)=1,MAX($M$8:M1668)+1,""))</f>
        <v/>
      </c>
    </row>
    <row r="1670" customFormat="false" ht="15" hidden="false" customHeight="false" outlineLevel="0" collapsed="false">
      <c r="A1670" s="8"/>
      <c r="B1670" s="17"/>
      <c r="C1670" s="19"/>
      <c r="D1670" s="8"/>
      <c r="E1670" s="18"/>
      <c r="F1670" s="18"/>
      <c r="G1670" s="8"/>
      <c r="H1670" s="8"/>
      <c r="I1670" s="8"/>
      <c r="J1670" s="8"/>
      <c r="K1670" s="10" t="str">
        <f aca="false">IF(A1670="","",IF(ABS(SUMIFS($E$9:$E$2008,$A$9:$A$2008,A1670)-SUMIFS($F$9:$F$2008,$A$9:$A$2008,A1670))&lt;0.5,"Yes","No"))</f>
        <v/>
      </c>
      <c r="L1670" s="10" t="str">
        <f aca="false">IF(A1670="","",IF(IF(K1670="No","Does not balance | ","")&amp;IF(I1670="","Not approved | ",IF(UPPER(TRIM(H1670))=UPPER(TRIM(I1670)),"Self-approved | ",""))&amp;IF(J1670="","No support | ","")&amp;IF(WEEKDAY(B1670,2)&gt;5,"Weekend posting | ","")&amp;IF(COUNTIF(Settings!$A$14:$A$43,B1670)&gt;0,"Holiday posting | ","")&amp;IF(B1670&gt;Settings!$C$8,"Posted after close | ","")&amp;IF(OR(B1670&lt;Settings!$C$6,B1670&gt;Settings!$C$7),"Outside period | ","")&amp;IF(COUNTIF(Settings!$E$14:$E$43,C1670&amp;"")&gt;0,"Sensitive account | ","")&amp;IF(AND(MAX(N(E1670),N(F1670))&gt;=Settings!$C$9,MOD(MAX(N(E1670),N(F1670)),Settings!$C$10)=0),"Round amount | ","")="","",LEFT(IF(K1670="No","Does not balance | ","")&amp;IF(I1670="","Not approved | ",IF(UPPER(TRIM(H1670))=UPPER(TRIM(I1670)),"Self-approved | ",""))&amp;IF(J1670="","No support | ","")&amp;IF(WEEKDAY(B1670,2)&gt;5,"Weekend posting | ","")&amp;IF(COUNTIF(Settings!$A$14:$A$43,B1670)&gt;0,"Holiday posting | ","")&amp;IF(B1670&gt;Settings!$C$8,"Posted after close | ","")&amp;IF(OR(B1670&lt;Settings!$C$6,B1670&gt;Settings!$C$7),"Outside period | ","")&amp;IF(COUNTIF(Settings!$E$14:$E$43,C1670&amp;"")&gt;0,"Sensitive account | ","")&amp;IF(AND(MAX(N(E1670),N(F1670))&gt;=Settings!$C$9,MOD(MAX(N(E1670),N(F1670)),Settings!$C$10)=0),"Round amount | ",""),LEN(IF(K1670="No","Does not balance | ","")&amp;IF(I1670="","Not approved | ",IF(UPPER(TRIM(H1670))=UPPER(TRIM(I1670)),"Self-approved | ",""))&amp;IF(J1670="","No support | ","")&amp;IF(WEEKDAY(B1670,2)&gt;5,"Weekend posting | ","")&amp;IF(COUNTIF(Settings!$A$14:$A$43,B1670)&gt;0,"Holiday posting | ","")&amp;IF(B1670&gt;Settings!$C$8,"Posted after close | ","")&amp;IF(OR(B1670&lt;Settings!$C$6,B1670&gt;Settings!$C$7),"Outside period | ","")&amp;IF(COUNTIF(Settings!$E$14:$E$43,C1670&amp;"")&gt;0,"Sensitive account | ","")&amp;IF(AND(MAX(N(E1670),N(F1670))&gt;=Settings!$C$9,MOD(MAX(N(E1670),N(F1670)),Settings!$C$10)=0),"Round amount | ",""))-3)))</f>
        <v/>
      </c>
      <c r="M1670" s="21" t="str">
        <f aca="false">IF(A1670="","",IF(COUNTIF($A$9:A1670,A1670)=1,MAX($M$8:M1669)+1,""))</f>
        <v/>
      </c>
    </row>
    <row r="1671" customFormat="false" ht="15" hidden="false" customHeight="false" outlineLevel="0" collapsed="false">
      <c r="A1671" s="8"/>
      <c r="B1671" s="17"/>
      <c r="C1671" s="19"/>
      <c r="D1671" s="8"/>
      <c r="E1671" s="18"/>
      <c r="F1671" s="18"/>
      <c r="G1671" s="8"/>
      <c r="H1671" s="8"/>
      <c r="I1671" s="8"/>
      <c r="J1671" s="8"/>
      <c r="K1671" s="10" t="str">
        <f aca="false">IF(A1671="","",IF(ABS(SUMIFS($E$9:$E$2008,$A$9:$A$2008,A1671)-SUMIFS($F$9:$F$2008,$A$9:$A$2008,A1671))&lt;0.5,"Yes","No"))</f>
        <v/>
      </c>
      <c r="L1671" s="10" t="str">
        <f aca="false">IF(A1671="","",IF(IF(K1671="No","Does not balance | ","")&amp;IF(I1671="","Not approved | ",IF(UPPER(TRIM(H1671))=UPPER(TRIM(I1671)),"Self-approved | ",""))&amp;IF(J1671="","No support | ","")&amp;IF(WEEKDAY(B1671,2)&gt;5,"Weekend posting | ","")&amp;IF(COUNTIF(Settings!$A$14:$A$43,B1671)&gt;0,"Holiday posting | ","")&amp;IF(B1671&gt;Settings!$C$8,"Posted after close | ","")&amp;IF(OR(B1671&lt;Settings!$C$6,B1671&gt;Settings!$C$7),"Outside period | ","")&amp;IF(COUNTIF(Settings!$E$14:$E$43,C1671&amp;"")&gt;0,"Sensitive account | ","")&amp;IF(AND(MAX(N(E1671),N(F1671))&gt;=Settings!$C$9,MOD(MAX(N(E1671),N(F1671)),Settings!$C$10)=0),"Round amount | ","")="","",LEFT(IF(K1671="No","Does not balance | ","")&amp;IF(I1671="","Not approved | ",IF(UPPER(TRIM(H1671))=UPPER(TRIM(I1671)),"Self-approved | ",""))&amp;IF(J1671="","No support | ","")&amp;IF(WEEKDAY(B1671,2)&gt;5,"Weekend posting | ","")&amp;IF(COUNTIF(Settings!$A$14:$A$43,B1671)&gt;0,"Holiday posting | ","")&amp;IF(B1671&gt;Settings!$C$8,"Posted after close | ","")&amp;IF(OR(B1671&lt;Settings!$C$6,B1671&gt;Settings!$C$7),"Outside period | ","")&amp;IF(COUNTIF(Settings!$E$14:$E$43,C1671&amp;"")&gt;0,"Sensitive account | ","")&amp;IF(AND(MAX(N(E1671),N(F1671))&gt;=Settings!$C$9,MOD(MAX(N(E1671),N(F1671)),Settings!$C$10)=0),"Round amount | ",""),LEN(IF(K1671="No","Does not balance | ","")&amp;IF(I1671="","Not approved | ",IF(UPPER(TRIM(H1671))=UPPER(TRIM(I1671)),"Self-approved | ",""))&amp;IF(J1671="","No support | ","")&amp;IF(WEEKDAY(B1671,2)&gt;5,"Weekend posting | ","")&amp;IF(COUNTIF(Settings!$A$14:$A$43,B1671)&gt;0,"Holiday posting | ","")&amp;IF(B1671&gt;Settings!$C$8,"Posted after close | ","")&amp;IF(OR(B1671&lt;Settings!$C$6,B1671&gt;Settings!$C$7),"Outside period | ","")&amp;IF(COUNTIF(Settings!$E$14:$E$43,C1671&amp;"")&gt;0,"Sensitive account | ","")&amp;IF(AND(MAX(N(E1671),N(F1671))&gt;=Settings!$C$9,MOD(MAX(N(E1671),N(F1671)),Settings!$C$10)=0),"Round amount | ",""))-3)))</f>
        <v/>
      </c>
      <c r="M1671" s="21" t="str">
        <f aca="false">IF(A1671="","",IF(COUNTIF($A$9:A1671,A1671)=1,MAX($M$8:M1670)+1,""))</f>
        <v/>
      </c>
    </row>
    <row r="1672" customFormat="false" ht="15" hidden="false" customHeight="false" outlineLevel="0" collapsed="false">
      <c r="A1672" s="8"/>
      <c r="B1672" s="17"/>
      <c r="C1672" s="19"/>
      <c r="D1672" s="8"/>
      <c r="E1672" s="18"/>
      <c r="F1672" s="18"/>
      <c r="G1672" s="8"/>
      <c r="H1672" s="8"/>
      <c r="I1672" s="8"/>
      <c r="J1672" s="8"/>
      <c r="K1672" s="10" t="str">
        <f aca="false">IF(A1672="","",IF(ABS(SUMIFS($E$9:$E$2008,$A$9:$A$2008,A1672)-SUMIFS($F$9:$F$2008,$A$9:$A$2008,A1672))&lt;0.5,"Yes","No"))</f>
        <v/>
      </c>
      <c r="L1672" s="10" t="str">
        <f aca="false">IF(A1672="","",IF(IF(K1672="No","Does not balance | ","")&amp;IF(I1672="","Not approved | ",IF(UPPER(TRIM(H1672))=UPPER(TRIM(I1672)),"Self-approved | ",""))&amp;IF(J1672="","No support | ","")&amp;IF(WEEKDAY(B1672,2)&gt;5,"Weekend posting | ","")&amp;IF(COUNTIF(Settings!$A$14:$A$43,B1672)&gt;0,"Holiday posting | ","")&amp;IF(B1672&gt;Settings!$C$8,"Posted after close | ","")&amp;IF(OR(B1672&lt;Settings!$C$6,B1672&gt;Settings!$C$7),"Outside period | ","")&amp;IF(COUNTIF(Settings!$E$14:$E$43,C1672&amp;"")&gt;0,"Sensitive account | ","")&amp;IF(AND(MAX(N(E1672),N(F1672))&gt;=Settings!$C$9,MOD(MAX(N(E1672),N(F1672)),Settings!$C$10)=0),"Round amount | ","")="","",LEFT(IF(K1672="No","Does not balance | ","")&amp;IF(I1672="","Not approved | ",IF(UPPER(TRIM(H1672))=UPPER(TRIM(I1672)),"Self-approved | ",""))&amp;IF(J1672="","No support | ","")&amp;IF(WEEKDAY(B1672,2)&gt;5,"Weekend posting | ","")&amp;IF(COUNTIF(Settings!$A$14:$A$43,B1672)&gt;0,"Holiday posting | ","")&amp;IF(B1672&gt;Settings!$C$8,"Posted after close | ","")&amp;IF(OR(B1672&lt;Settings!$C$6,B1672&gt;Settings!$C$7),"Outside period | ","")&amp;IF(COUNTIF(Settings!$E$14:$E$43,C1672&amp;"")&gt;0,"Sensitive account | ","")&amp;IF(AND(MAX(N(E1672),N(F1672))&gt;=Settings!$C$9,MOD(MAX(N(E1672),N(F1672)),Settings!$C$10)=0),"Round amount | ",""),LEN(IF(K1672="No","Does not balance | ","")&amp;IF(I1672="","Not approved | ",IF(UPPER(TRIM(H1672))=UPPER(TRIM(I1672)),"Self-approved | ",""))&amp;IF(J1672="","No support | ","")&amp;IF(WEEKDAY(B1672,2)&gt;5,"Weekend posting | ","")&amp;IF(COUNTIF(Settings!$A$14:$A$43,B1672)&gt;0,"Holiday posting | ","")&amp;IF(B1672&gt;Settings!$C$8,"Posted after close | ","")&amp;IF(OR(B1672&lt;Settings!$C$6,B1672&gt;Settings!$C$7),"Outside period | ","")&amp;IF(COUNTIF(Settings!$E$14:$E$43,C1672&amp;"")&gt;0,"Sensitive account | ","")&amp;IF(AND(MAX(N(E1672),N(F1672))&gt;=Settings!$C$9,MOD(MAX(N(E1672),N(F1672)),Settings!$C$10)=0),"Round amount | ",""))-3)))</f>
        <v/>
      </c>
      <c r="M1672" s="21" t="str">
        <f aca="false">IF(A1672="","",IF(COUNTIF($A$9:A1672,A1672)=1,MAX($M$8:M1671)+1,""))</f>
        <v/>
      </c>
    </row>
    <row r="1673" customFormat="false" ht="15" hidden="false" customHeight="false" outlineLevel="0" collapsed="false">
      <c r="A1673" s="8"/>
      <c r="B1673" s="17"/>
      <c r="C1673" s="19"/>
      <c r="D1673" s="8"/>
      <c r="E1673" s="18"/>
      <c r="F1673" s="18"/>
      <c r="G1673" s="8"/>
      <c r="H1673" s="8"/>
      <c r="I1673" s="8"/>
      <c r="J1673" s="8"/>
      <c r="K1673" s="10" t="str">
        <f aca="false">IF(A1673="","",IF(ABS(SUMIFS($E$9:$E$2008,$A$9:$A$2008,A1673)-SUMIFS($F$9:$F$2008,$A$9:$A$2008,A1673))&lt;0.5,"Yes","No"))</f>
        <v/>
      </c>
      <c r="L1673" s="10" t="str">
        <f aca="false">IF(A1673="","",IF(IF(K1673="No","Does not balance | ","")&amp;IF(I1673="","Not approved | ",IF(UPPER(TRIM(H1673))=UPPER(TRIM(I1673)),"Self-approved | ",""))&amp;IF(J1673="","No support | ","")&amp;IF(WEEKDAY(B1673,2)&gt;5,"Weekend posting | ","")&amp;IF(COUNTIF(Settings!$A$14:$A$43,B1673)&gt;0,"Holiday posting | ","")&amp;IF(B1673&gt;Settings!$C$8,"Posted after close | ","")&amp;IF(OR(B1673&lt;Settings!$C$6,B1673&gt;Settings!$C$7),"Outside period | ","")&amp;IF(COUNTIF(Settings!$E$14:$E$43,C1673&amp;"")&gt;0,"Sensitive account | ","")&amp;IF(AND(MAX(N(E1673),N(F1673))&gt;=Settings!$C$9,MOD(MAX(N(E1673),N(F1673)),Settings!$C$10)=0),"Round amount | ","")="","",LEFT(IF(K1673="No","Does not balance | ","")&amp;IF(I1673="","Not approved | ",IF(UPPER(TRIM(H1673))=UPPER(TRIM(I1673)),"Self-approved | ",""))&amp;IF(J1673="","No support | ","")&amp;IF(WEEKDAY(B1673,2)&gt;5,"Weekend posting | ","")&amp;IF(COUNTIF(Settings!$A$14:$A$43,B1673)&gt;0,"Holiday posting | ","")&amp;IF(B1673&gt;Settings!$C$8,"Posted after close | ","")&amp;IF(OR(B1673&lt;Settings!$C$6,B1673&gt;Settings!$C$7),"Outside period | ","")&amp;IF(COUNTIF(Settings!$E$14:$E$43,C1673&amp;"")&gt;0,"Sensitive account | ","")&amp;IF(AND(MAX(N(E1673),N(F1673))&gt;=Settings!$C$9,MOD(MAX(N(E1673),N(F1673)),Settings!$C$10)=0),"Round amount | ",""),LEN(IF(K1673="No","Does not balance | ","")&amp;IF(I1673="","Not approved | ",IF(UPPER(TRIM(H1673))=UPPER(TRIM(I1673)),"Self-approved | ",""))&amp;IF(J1673="","No support | ","")&amp;IF(WEEKDAY(B1673,2)&gt;5,"Weekend posting | ","")&amp;IF(COUNTIF(Settings!$A$14:$A$43,B1673)&gt;0,"Holiday posting | ","")&amp;IF(B1673&gt;Settings!$C$8,"Posted after close | ","")&amp;IF(OR(B1673&lt;Settings!$C$6,B1673&gt;Settings!$C$7),"Outside period | ","")&amp;IF(COUNTIF(Settings!$E$14:$E$43,C1673&amp;"")&gt;0,"Sensitive account | ","")&amp;IF(AND(MAX(N(E1673),N(F1673))&gt;=Settings!$C$9,MOD(MAX(N(E1673),N(F1673)),Settings!$C$10)=0),"Round amount | ",""))-3)))</f>
        <v/>
      </c>
      <c r="M1673" s="21" t="str">
        <f aca="false">IF(A1673="","",IF(COUNTIF($A$9:A1673,A1673)=1,MAX($M$8:M1672)+1,""))</f>
        <v/>
      </c>
    </row>
    <row r="1674" customFormat="false" ht="15" hidden="false" customHeight="false" outlineLevel="0" collapsed="false">
      <c r="A1674" s="8"/>
      <c r="B1674" s="17"/>
      <c r="C1674" s="19"/>
      <c r="D1674" s="8"/>
      <c r="E1674" s="18"/>
      <c r="F1674" s="18"/>
      <c r="G1674" s="8"/>
      <c r="H1674" s="8"/>
      <c r="I1674" s="8"/>
      <c r="J1674" s="8"/>
      <c r="K1674" s="10" t="str">
        <f aca="false">IF(A1674="","",IF(ABS(SUMIFS($E$9:$E$2008,$A$9:$A$2008,A1674)-SUMIFS($F$9:$F$2008,$A$9:$A$2008,A1674))&lt;0.5,"Yes","No"))</f>
        <v/>
      </c>
      <c r="L1674" s="10" t="str">
        <f aca="false">IF(A1674="","",IF(IF(K1674="No","Does not balance | ","")&amp;IF(I1674="","Not approved | ",IF(UPPER(TRIM(H1674))=UPPER(TRIM(I1674)),"Self-approved | ",""))&amp;IF(J1674="","No support | ","")&amp;IF(WEEKDAY(B1674,2)&gt;5,"Weekend posting | ","")&amp;IF(COUNTIF(Settings!$A$14:$A$43,B1674)&gt;0,"Holiday posting | ","")&amp;IF(B1674&gt;Settings!$C$8,"Posted after close | ","")&amp;IF(OR(B1674&lt;Settings!$C$6,B1674&gt;Settings!$C$7),"Outside period | ","")&amp;IF(COUNTIF(Settings!$E$14:$E$43,C1674&amp;"")&gt;0,"Sensitive account | ","")&amp;IF(AND(MAX(N(E1674),N(F1674))&gt;=Settings!$C$9,MOD(MAX(N(E1674),N(F1674)),Settings!$C$10)=0),"Round amount | ","")="","",LEFT(IF(K1674="No","Does not balance | ","")&amp;IF(I1674="","Not approved | ",IF(UPPER(TRIM(H1674))=UPPER(TRIM(I1674)),"Self-approved | ",""))&amp;IF(J1674="","No support | ","")&amp;IF(WEEKDAY(B1674,2)&gt;5,"Weekend posting | ","")&amp;IF(COUNTIF(Settings!$A$14:$A$43,B1674)&gt;0,"Holiday posting | ","")&amp;IF(B1674&gt;Settings!$C$8,"Posted after close | ","")&amp;IF(OR(B1674&lt;Settings!$C$6,B1674&gt;Settings!$C$7),"Outside period | ","")&amp;IF(COUNTIF(Settings!$E$14:$E$43,C1674&amp;"")&gt;0,"Sensitive account | ","")&amp;IF(AND(MAX(N(E1674),N(F1674))&gt;=Settings!$C$9,MOD(MAX(N(E1674),N(F1674)),Settings!$C$10)=0),"Round amount | ",""),LEN(IF(K1674="No","Does not balance | ","")&amp;IF(I1674="","Not approved | ",IF(UPPER(TRIM(H1674))=UPPER(TRIM(I1674)),"Self-approved | ",""))&amp;IF(J1674="","No support | ","")&amp;IF(WEEKDAY(B1674,2)&gt;5,"Weekend posting | ","")&amp;IF(COUNTIF(Settings!$A$14:$A$43,B1674)&gt;0,"Holiday posting | ","")&amp;IF(B1674&gt;Settings!$C$8,"Posted after close | ","")&amp;IF(OR(B1674&lt;Settings!$C$6,B1674&gt;Settings!$C$7),"Outside period | ","")&amp;IF(COUNTIF(Settings!$E$14:$E$43,C1674&amp;"")&gt;0,"Sensitive account | ","")&amp;IF(AND(MAX(N(E1674),N(F1674))&gt;=Settings!$C$9,MOD(MAX(N(E1674),N(F1674)),Settings!$C$10)=0),"Round amount | ",""))-3)))</f>
        <v/>
      </c>
      <c r="M1674" s="21" t="str">
        <f aca="false">IF(A1674="","",IF(COUNTIF($A$9:A1674,A1674)=1,MAX($M$8:M1673)+1,""))</f>
        <v/>
      </c>
    </row>
    <row r="1675" customFormat="false" ht="15" hidden="false" customHeight="false" outlineLevel="0" collapsed="false">
      <c r="A1675" s="8"/>
      <c r="B1675" s="17"/>
      <c r="C1675" s="19"/>
      <c r="D1675" s="8"/>
      <c r="E1675" s="18"/>
      <c r="F1675" s="18"/>
      <c r="G1675" s="8"/>
      <c r="H1675" s="8"/>
      <c r="I1675" s="8"/>
      <c r="J1675" s="8"/>
      <c r="K1675" s="10" t="str">
        <f aca="false">IF(A1675="","",IF(ABS(SUMIFS($E$9:$E$2008,$A$9:$A$2008,A1675)-SUMIFS($F$9:$F$2008,$A$9:$A$2008,A1675))&lt;0.5,"Yes","No"))</f>
        <v/>
      </c>
      <c r="L1675" s="10" t="str">
        <f aca="false">IF(A1675="","",IF(IF(K1675="No","Does not balance | ","")&amp;IF(I1675="","Not approved | ",IF(UPPER(TRIM(H1675))=UPPER(TRIM(I1675)),"Self-approved | ",""))&amp;IF(J1675="","No support | ","")&amp;IF(WEEKDAY(B1675,2)&gt;5,"Weekend posting | ","")&amp;IF(COUNTIF(Settings!$A$14:$A$43,B1675)&gt;0,"Holiday posting | ","")&amp;IF(B1675&gt;Settings!$C$8,"Posted after close | ","")&amp;IF(OR(B1675&lt;Settings!$C$6,B1675&gt;Settings!$C$7),"Outside period | ","")&amp;IF(COUNTIF(Settings!$E$14:$E$43,C1675&amp;"")&gt;0,"Sensitive account | ","")&amp;IF(AND(MAX(N(E1675),N(F1675))&gt;=Settings!$C$9,MOD(MAX(N(E1675),N(F1675)),Settings!$C$10)=0),"Round amount | ","")="","",LEFT(IF(K1675="No","Does not balance | ","")&amp;IF(I1675="","Not approved | ",IF(UPPER(TRIM(H1675))=UPPER(TRIM(I1675)),"Self-approved | ",""))&amp;IF(J1675="","No support | ","")&amp;IF(WEEKDAY(B1675,2)&gt;5,"Weekend posting | ","")&amp;IF(COUNTIF(Settings!$A$14:$A$43,B1675)&gt;0,"Holiday posting | ","")&amp;IF(B1675&gt;Settings!$C$8,"Posted after close | ","")&amp;IF(OR(B1675&lt;Settings!$C$6,B1675&gt;Settings!$C$7),"Outside period | ","")&amp;IF(COUNTIF(Settings!$E$14:$E$43,C1675&amp;"")&gt;0,"Sensitive account | ","")&amp;IF(AND(MAX(N(E1675),N(F1675))&gt;=Settings!$C$9,MOD(MAX(N(E1675),N(F1675)),Settings!$C$10)=0),"Round amount | ",""),LEN(IF(K1675="No","Does not balance | ","")&amp;IF(I1675="","Not approved | ",IF(UPPER(TRIM(H1675))=UPPER(TRIM(I1675)),"Self-approved | ",""))&amp;IF(J1675="","No support | ","")&amp;IF(WEEKDAY(B1675,2)&gt;5,"Weekend posting | ","")&amp;IF(COUNTIF(Settings!$A$14:$A$43,B1675)&gt;0,"Holiday posting | ","")&amp;IF(B1675&gt;Settings!$C$8,"Posted after close | ","")&amp;IF(OR(B1675&lt;Settings!$C$6,B1675&gt;Settings!$C$7),"Outside period | ","")&amp;IF(COUNTIF(Settings!$E$14:$E$43,C1675&amp;"")&gt;0,"Sensitive account | ","")&amp;IF(AND(MAX(N(E1675),N(F1675))&gt;=Settings!$C$9,MOD(MAX(N(E1675),N(F1675)),Settings!$C$10)=0),"Round amount | ",""))-3)))</f>
        <v/>
      </c>
      <c r="M1675" s="21" t="str">
        <f aca="false">IF(A1675="","",IF(COUNTIF($A$9:A1675,A1675)=1,MAX($M$8:M1674)+1,""))</f>
        <v/>
      </c>
    </row>
    <row r="1676" customFormat="false" ht="15" hidden="false" customHeight="false" outlineLevel="0" collapsed="false">
      <c r="A1676" s="8"/>
      <c r="B1676" s="17"/>
      <c r="C1676" s="19"/>
      <c r="D1676" s="8"/>
      <c r="E1676" s="18"/>
      <c r="F1676" s="18"/>
      <c r="G1676" s="8"/>
      <c r="H1676" s="8"/>
      <c r="I1676" s="8"/>
      <c r="J1676" s="8"/>
      <c r="K1676" s="10" t="str">
        <f aca="false">IF(A1676="","",IF(ABS(SUMIFS($E$9:$E$2008,$A$9:$A$2008,A1676)-SUMIFS($F$9:$F$2008,$A$9:$A$2008,A1676))&lt;0.5,"Yes","No"))</f>
        <v/>
      </c>
      <c r="L1676" s="10" t="str">
        <f aca="false">IF(A1676="","",IF(IF(K1676="No","Does not balance | ","")&amp;IF(I1676="","Not approved | ",IF(UPPER(TRIM(H1676))=UPPER(TRIM(I1676)),"Self-approved | ",""))&amp;IF(J1676="","No support | ","")&amp;IF(WEEKDAY(B1676,2)&gt;5,"Weekend posting | ","")&amp;IF(COUNTIF(Settings!$A$14:$A$43,B1676)&gt;0,"Holiday posting | ","")&amp;IF(B1676&gt;Settings!$C$8,"Posted after close | ","")&amp;IF(OR(B1676&lt;Settings!$C$6,B1676&gt;Settings!$C$7),"Outside period | ","")&amp;IF(COUNTIF(Settings!$E$14:$E$43,C1676&amp;"")&gt;0,"Sensitive account | ","")&amp;IF(AND(MAX(N(E1676),N(F1676))&gt;=Settings!$C$9,MOD(MAX(N(E1676),N(F1676)),Settings!$C$10)=0),"Round amount | ","")="","",LEFT(IF(K1676="No","Does not balance | ","")&amp;IF(I1676="","Not approved | ",IF(UPPER(TRIM(H1676))=UPPER(TRIM(I1676)),"Self-approved | ",""))&amp;IF(J1676="","No support | ","")&amp;IF(WEEKDAY(B1676,2)&gt;5,"Weekend posting | ","")&amp;IF(COUNTIF(Settings!$A$14:$A$43,B1676)&gt;0,"Holiday posting | ","")&amp;IF(B1676&gt;Settings!$C$8,"Posted after close | ","")&amp;IF(OR(B1676&lt;Settings!$C$6,B1676&gt;Settings!$C$7),"Outside period | ","")&amp;IF(COUNTIF(Settings!$E$14:$E$43,C1676&amp;"")&gt;0,"Sensitive account | ","")&amp;IF(AND(MAX(N(E1676),N(F1676))&gt;=Settings!$C$9,MOD(MAX(N(E1676),N(F1676)),Settings!$C$10)=0),"Round amount | ",""),LEN(IF(K1676="No","Does not balance | ","")&amp;IF(I1676="","Not approved | ",IF(UPPER(TRIM(H1676))=UPPER(TRIM(I1676)),"Self-approved | ",""))&amp;IF(J1676="","No support | ","")&amp;IF(WEEKDAY(B1676,2)&gt;5,"Weekend posting | ","")&amp;IF(COUNTIF(Settings!$A$14:$A$43,B1676)&gt;0,"Holiday posting | ","")&amp;IF(B1676&gt;Settings!$C$8,"Posted after close | ","")&amp;IF(OR(B1676&lt;Settings!$C$6,B1676&gt;Settings!$C$7),"Outside period | ","")&amp;IF(COUNTIF(Settings!$E$14:$E$43,C1676&amp;"")&gt;0,"Sensitive account | ","")&amp;IF(AND(MAX(N(E1676),N(F1676))&gt;=Settings!$C$9,MOD(MAX(N(E1676),N(F1676)),Settings!$C$10)=0),"Round amount | ",""))-3)))</f>
        <v/>
      </c>
      <c r="M1676" s="21" t="str">
        <f aca="false">IF(A1676="","",IF(COUNTIF($A$9:A1676,A1676)=1,MAX($M$8:M1675)+1,""))</f>
        <v/>
      </c>
    </row>
    <row r="1677" customFormat="false" ht="15" hidden="false" customHeight="false" outlineLevel="0" collapsed="false">
      <c r="A1677" s="8"/>
      <c r="B1677" s="17"/>
      <c r="C1677" s="19"/>
      <c r="D1677" s="8"/>
      <c r="E1677" s="18"/>
      <c r="F1677" s="18"/>
      <c r="G1677" s="8"/>
      <c r="H1677" s="8"/>
      <c r="I1677" s="8"/>
      <c r="J1677" s="8"/>
      <c r="K1677" s="10" t="str">
        <f aca="false">IF(A1677="","",IF(ABS(SUMIFS($E$9:$E$2008,$A$9:$A$2008,A1677)-SUMIFS($F$9:$F$2008,$A$9:$A$2008,A1677))&lt;0.5,"Yes","No"))</f>
        <v/>
      </c>
      <c r="L1677" s="10" t="str">
        <f aca="false">IF(A1677="","",IF(IF(K1677="No","Does not balance | ","")&amp;IF(I1677="","Not approved | ",IF(UPPER(TRIM(H1677))=UPPER(TRIM(I1677)),"Self-approved | ",""))&amp;IF(J1677="","No support | ","")&amp;IF(WEEKDAY(B1677,2)&gt;5,"Weekend posting | ","")&amp;IF(COUNTIF(Settings!$A$14:$A$43,B1677)&gt;0,"Holiday posting | ","")&amp;IF(B1677&gt;Settings!$C$8,"Posted after close | ","")&amp;IF(OR(B1677&lt;Settings!$C$6,B1677&gt;Settings!$C$7),"Outside period | ","")&amp;IF(COUNTIF(Settings!$E$14:$E$43,C1677&amp;"")&gt;0,"Sensitive account | ","")&amp;IF(AND(MAX(N(E1677),N(F1677))&gt;=Settings!$C$9,MOD(MAX(N(E1677),N(F1677)),Settings!$C$10)=0),"Round amount | ","")="","",LEFT(IF(K1677="No","Does not balance | ","")&amp;IF(I1677="","Not approved | ",IF(UPPER(TRIM(H1677))=UPPER(TRIM(I1677)),"Self-approved | ",""))&amp;IF(J1677="","No support | ","")&amp;IF(WEEKDAY(B1677,2)&gt;5,"Weekend posting | ","")&amp;IF(COUNTIF(Settings!$A$14:$A$43,B1677)&gt;0,"Holiday posting | ","")&amp;IF(B1677&gt;Settings!$C$8,"Posted after close | ","")&amp;IF(OR(B1677&lt;Settings!$C$6,B1677&gt;Settings!$C$7),"Outside period | ","")&amp;IF(COUNTIF(Settings!$E$14:$E$43,C1677&amp;"")&gt;0,"Sensitive account | ","")&amp;IF(AND(MAX(N(E1677),N(F1677))&gt;=Settings!$C$9,MOD(MAX(N(E1677),N(F1677)),Settings!$C$10)=0),"Round amount | ",""),LEN(IF(K1677="No","Does not balance | ","")&amp;IF(I1677="","Not approved | ",IF(UPPER(TRIM(H1677))=UPPER(TRIM(I1677)),"Self-approved | ",""))&amp;IF(J1677="","No support | ","")&amp;IF(WEEKDAY(B1677,2)&gt;5,"Weekend posting | ","")&amp;IF(COUNTIF(Settings!$A$14:$A$43,B1677)&gt;0,"Holiday posting | ","")&amp;IF(B1677&gt;Settings!$C$8,"Posted after close | ","")&amp;IF(OR(B1677&lt;Settings!$C$6,B1677&gt;Settings!$C$7),"Outside period | ","")&amp;IF(COUNTIF(Settings!$E$14:$E$43,C1677&amp;"")&gt;0,"Sensitive account | ","")&amp;IF(AND(MAX(N(E1677),N(F1677))&gt;=Settings!$C$9,MOD(MAX(N(E1677),N(F1677)),Settings!$C$10)=0),"Round amount | ",""))-3)))</f>
        <v/>
      </c>
      <c r="M1677" s="21" t="str">
        <f aca="false">IF(A1677="","",IF(COUNTIF($A$9:A1677,A1677)=1,MAX($M$8:M1676)+1,""))</f>
        <v/>
      </c>
    </row>
    <row r="1678" customFormat="false" ht="15" hidden="false" customHeight="false" outlineLevel="0" collapsed="false">
      <c r="A1678" s="8"/>
      <c r="B1678" s="17"/>
      <c r="C1678" s="19"/>
      <c r="D1678" s="8"/>
      <c r="E1678" s="18"/>
      <c r="F1678" s="18"/>
      <c r="G1678" s="8"/>
      <c r="H1678" s="8"/>
      <c r="I1678" s="8"/>
      <c r="J1678" s="8"/>
      <c r="K1678" s="10" t="str">
        <f aca="false">IF(A1678="","",IF(ABS(SUMIFS($E$9:$E$2008,$A$9:$A$2008,A1678)-SUMIFS($F$9:$F$2008,$A$9:$A$2008,A1678))&lt;0.5,"Yes","No"))</f>
        <v/>
      </c>
      <c r="L1678" s="10" t="str">
        <f aca="false">IF(A1678="","",IF(IF(K1678="No","Does not balance | ","")&amp;IF(I1678="","Not approved | ",IF(UPPER(TRIM(H1678))=UPPER(TRIM(I1678)),"Self-approved | ",""))&amp;IF(J1678="","No support | ","")&amp;IF(WEEKDAY(B1678,2)&gt;5,"Weekend posting | ","")&amp;IF(COUNTIF(Settings!$A$14:$A$43,B1678)&gt;0,"Holiday posting | ","")&amp;IF(B1678&gt;Settings!$C$8,"Posted after close | ","")&amp;IF(OR(B1678&lt;Settings!$C$6,B1678&gt;Settings!$C$7),"Outside period | ","")&amp;IF(COUNTIF(Settings!$E$14:$E$43,C1678&amp;"")&gt;0,"Sensitive account | ","")&amp;IF(AND(MAX(N(E1678),N(F1678))&gt;=Settings!$C$9,MOD(MAX(N(E1678),N(F1678)),Settings!$C$10)=0),"Round amount | ","")="","",LEFT(IF(K1678="No","Does not balance | ","")&amp;IF(I1678="","Not approved | ",IF(UPPER(TRIM(H1678))=UPPER(TRIM(I1678)),"Self-approved | ",""))&amp;IF(J1678="","No support | ","")&amp;IF(WEEKDAY(B1678,2)&gt;5,"Weekend posting | ","")&amp;IF(COUNTIF(Settings!$A$14:$A$43,B1678)&gt;0,"Holiday posting | ","")&amp;IF(B1678&gt;Settings!$C$8,"Posted after close | ","")&amp;IF(OR(B1678&lt;Settings!$C$6,B1678&gt;Settings!$C$7),"Outside period | ","")&amp;IF(COUNTIF(Settings!$E$14:$E$43,C1678&amp;"")&gt;0,"Sensitive account | ","")&amp;IF(AND(MAX(N(E1678),N(F1678))&gt;=Settings!$C$9,MOD(MAX(N(E1678),N(F1678)),Settings!$C$10)=0),"Round amount | ",""),LEN(IF(K1678="No","Does not balance | ","")&amp;IF(I1678="","Not approved | ",IF(UPPER(TRIM(H1678))=UPPER(TRIM(I1678)),"Self-approved | ",""))&amp;IF(J1678="","No support | ","")&amp;IF(WEEKDAY(B1678,2)&gt;5,"Weekend posting | ","")&amp;IF(COUNTIF(Settings!$A$14:$A$43,B1678)&gt;0,"Holiday posting | ","")&amp;IF(B1678&gt;Settings!$C$8,"Posted after close | ","")&amp;IF(OR(B1678&lt;Settings!$C$6,B1678&gt;Settings!$C$7),"Outside period | ","")&amp;IF(COUNTIF(Settings!$E$14:$E$43,C1678&amp;"")&gt;0,"Sensitive account | ","")&amp;IF(AND(MAX(N(E1678),N(F1678))&gt;=Settings!$C$9,MOD(MAX(N(E1678),N(F1678)),Settings!$C$10)=0),"Round amount | ",""))-3)))</f>
        <v/>
      </c>
      <c r="M1678" s="21" t="str">
        <f aca="false">IF(A1678="","",IF(COUNTIF($A$9:A1678,A1678)=1,MAX($M$8:M1677)+1,""))</f>
        <v/>
      </c>
    </row>
    <row r="1679" customFormat="false" ht="15" hidden="false" customHeight="false" outlineLevel="0" collapsed="false">
      <c r="A1679" s="8"/>
      <c r="B1679" s="17"/>
      <c r="C1679" s="19"/>
      <c r="D1679" s="8"/>
      <c r="E1679" s="18"/>
      <c r="F1679" s="18"/>
      <c r="G1679" s="8"/>
      <c r="H1679" s="8"/>
      <c r="I1679" s="8"/>
      <c r="J1679" s="8"/>
      <c r="K1679" s="10" t="str">
        <f aca="false">IF(A1679="","",IF(ABS(SUMIFS($E$9:$E$2008,$A$9:$A$2008,A1679)-SUMIFS($F$9:$F$2008,$A$9:$A$2008,A1679))&lt;0.5,"Yes","No"))</f>
        <v/>
      </c>
      <c r="L1679" s="10" t="str">
        <f aca="false">IF(A1679="","",IF(IF(K1679="No","Does not balance | ","")&amp;IF(I1679="","Not approved | ",IF(UPPER(TRIM(H1679))=UPPER(TRIM(I1679)),"Self-approved | ",""))&amp;IF(J1679="","No support | ","")&amp;IF(WEEKDAY(B1679,2)&gt;5,"Weekend posting | ","")&amp;IF(COUNTIF(Settings!$A$14:$A$43,B1679)&gt;0,"Holiday posting | ","")&amp;IF(B1679&gt;Settings!$C$8,"Posted after close | ","")&amp;IF(OR(B1679&lt;Settings!$C$6,B1679&gt;Settings!$C$7),"Outside period | ","")&amp;IF(COUNTIF(Settings!$E$14:$E$43,C1679&amp;"")&gt;0,"Sensitive account | ","")&amp;IF(AND(MAX(N(E1679),N(F1679))&gt;=Settings!$C$9,MOD(MAX(N(E1679),N(F1679)),Settings!$C$10)=0),"Round amount | ","")="","",LEFT(IF(K1679="No","Does not balance | ","")&amp;IF(I1679="","Not approved | ",IF(UPPER(TRIM(H1679))=UPPER(TRIM(I1679)),"Self-approved | ",""))&amp;IF(J1679="","No support | ","")&amp;IF(WEEKDAY(B1679,2)&gt;5,"Weekend posting | ","")&amp;IF(COUNTIF(Settings!$A$14:$A$43,B1679)&gt;0,"Holiday posting | ","")&amp;IF(B1679&gt;Settings!$C$8,"Posted after close | ","")&amp;IF(OR(B1679&lt;Settings!$C$6,B1679&gt;Settings!$C$7),"Outside period | ","")&amp;IF(COUNTIF(Settings!$E$14:$E$43,C1679&amp;"")&gt;0,"Sensitive account | ","")&amp;IF(AND(MAX(N(E1679),N(F1679))&gt;=Settings!$C$9,MOD(MAX(N(E1679),N(F1679)),Settings!$C$10)=0),"Round amount | ",""),LEN(IF(K1679="No","Does not balance | ","")&amp;IF(I1679="","Not approved | ",IF(UPPER(TRIM(H1679))=UPPER(TRIM(I1679)),"Self-approved | ",""))&amp;IF(J1679="","No support | ","")&amp;IF(WEEKDAY(B1679,2)&gt;5,"Weekend posting | ","")&amp;IF(COUNTIF(Settings!$A$14:$A$43,B1679)&gt;0,"Holiday posting | ","")&amp;IF(B1679&gt;Settings!$C$8,"Posted after close | ","")&amp;IF(OR(B1679&lt;Settings!$C$6,B1679&gt;Settings!$C$7),"Outside period | ","")&amp;IF(COUNTIF(Settings!$E$14:$E$43,C1679&amp;"")&gt;0,"Sensitive account | ","")&amp;IF(AND(MAX(N(E1679),N(F1679))&gt;=Settings!$C$9,MOD(MAX(N(E1679),N(F1679)),Settings!$C$10)=0),"Round amount | ",""))-3)))</f>
        <v/>
      </c>
      <c r="M1679" s="21" t="str">
        <f aca="false">IF(A1679="","",IF(COUNTIF($A$9:A1679,A1679)=1,MAX($M$8:M1678)+1,""))</f>
        <v/>
      </c>
    </row>
    <row r="1680" customFormat="false" ht="15" hidden="false" customHeight="false" outlineLevel="0" collapsed="false">
      <c r="A1680" s="8"/>
      <c r="B1680" s="17"/>
      <c r="C1680" s="19"/>
      <c r="D1680" s="8"/>
      <c r="E1680" s="18"/>
      <c r="F1680" s="18"/>
      <c r="G1680" s="8"/>
      <c r="H1680" s="8"/>
      <c r="I1680" s="8"/>
      <c r="J1680" s="8"/>
      <c r="K1680" s="10" t="str">
        <f aca="false">IF(A1680="","",IF(ABS(SUMIFS($E$9:$E$2008,$A$9:$A$2008,A1680)-SUMIFS($F$9:$F$2008,$A$9:$A$2008,A1680))&lt;0.5,"Yes","No"))</f>
        <v/>
      </c>
      <c r="L1680" s="10" t="str">
        <f aca="false">IF(A1680="","",IF(IF(K1680="No","Does not balance | ","")&amp;IF(I1680="","Not approved | ",IF(UPPER(TRIM(H1680))=UPPER(TRIM(I1680)),"Self-approved | ",""))&amp;IF(J1680="","No support | ","")&amp;IF(WEEKDAY(B1680,2)&gt;5,"Weekend posting | ","")&amp;IF(COUNTIF(Settings!$A$14:$A$43,B1680)&gt;0,"Holiday posting | ","")&amp;IF(B1680&gt;Settings!$C$8,"Posted after close | ","")&amp;IF(OR(B1680&lt;Settings!$C$6,B1680&gt;Settings!$C$7),"Outside period | ","")&amp;IF(COUNTIF(Settings!$E$14:$E$43,C1680&amp;"")&gt;0,"Sensitive account | ","")&amp;IF(AND(MAX(N(E1680),N(F1680))&gt;=Settings!$C$9,MOD(MAX(N(E1680),N(F1680)),Settings!$C$10)=0),"Round amount | ","")="","",LEFT(IF(K1680="No","Does not balance | ","")&amp;IF(I1680="","Not approved | ",IF(UPPER(TRIM(H1680))=UPPER(TRIM(I1680)),"Self-approved | ",""))&amp;IF(J1680="","No support | ","")&amp;IF(WEEKDAY(B1680,2)&gt;5,"Weekend posting | ","")&amp;IF(COUNTIF(Settings!$A$14:$A$43,B1680)&gt;0,"Holiday posting | ","")&amp;IF(B1680&gt;Settings!$C$8,"Posted after close | ","")&amp;IF(OR(B1680&lt;Settings!$C$6,B1680&gt;Settings!$C$7),"Outside period | ","")&amp;IF(COUNTIF(Settings!$E$14:$E$43,C1680&amp;"")&gt;0,"Sensitive account | ","")&amp;IF(AND(MAX(N(E1680),N(F1680))&gt;=Settings!$C$9,MOD(MAX(N(E1680),N(F1680)),Settings!$C$10)=0),"Round amount | ",""),LEN(IF(K1680="No","Does not balance | ","")&amp;IF(I1680="","Not approved | ",IF(UPPER(TRIM(H1680))=UPPER(TRIM(I1680)),"Self-approved | ",""))&amp;IF(J1680="","No support | ","")&amp;IF(WEEKDAY(B1680,2)&gt;5,"Weekend posting | ","")&amp;IF(COUNTIF(Settings!$A$14:$A$43,B1680)&gt;0,"Holiday posting | ","")&amp;IF(B1680&gt;Settings!$C$8,"Posted after close | ","")&amp;IF(OR(B1680&lt;Settings!$C$6,B1680&gt;Settings!$C$7),"Outside period | ","")&amp;IF(COUNTIF(Settings!$E$14:$E$43,C1680&amp;"")&gt;0,"Sensitive account | ","")&amp;IF(AND(MAX(N(E1680),N(F1680))&gt;=Settings!$C$9,MOD(MAX(N(E1680),N(F1680)),Settings!$C$10)=0),"Round amount | ",""))-3)))</f>
        <v/>
      </c>
      <c r="M1680" s="21" t="str">
        <f aca="false">IF(A1680="","",IF(COUNTIF($A$9:A1680,A1680)=1,MAX($M$8:M1679)+1,""))</f>
        <v/>
      </c>
    </row>
    <row r="1681" customFormat="false" ht="15" hidden="false" customHeight="false" outlineLevel="0" collapsed="false">
      <c r="A1681" s="8"/>
      <c r="B1681" s="17"/>
      <c r="C1681" s="19"/>
      <c r="D1681" s="8"/>
      <c r="E1681" s="18"/>
      <c r="F1681" s="18"/>
      <c r="G1681" s="8"/>
      <c r="H1681" s="8"/>
      <c r="I1681" s="8"/>
      <c r="J1681" s="8"/>
      <c r="K1681" s="10" t="str">
        <f aca="false">IF(A1681="","",IF(ABS(SUMIFS($E$9:$E$2008,$A$9:$A$2008,A1681)-SUMIFS($F$9:$F$2008,$A$9:$A$2008,A1681))&lt;0.5,"Yes","No"))</f>
        <v/>
      </c>
      <c r="L1681" s="10" t="str">
        <f aca="false">IF(A1681="","",IF(IF(K1681="No","Does not balance | ","")&amp;IF(I1681="","Not approved | ",IF(UPPER(TRIM(H1681))=UPPER(TRIM(I1681)),"Self-approved | ",""))&amp;IF(J1681="","No support | ","")&amp;IF(WEEKDAY(B1681,2)&gt;5,"Weekend posting | ","")&amp;IF(COUNTIF(Settings!$A$14:$A$43,B1681)&gt;0,"Holiday posting | ","")&amp;IF(B1681&gt;Settings!$C$8,"Posted after close | ","")&amp;IF(OR(B1681&lt;Settings!$C$6,B1681&gt;Settings!$C$7),"Outside period | ","")&amp;IF(COUNTIF(Settings!$E$14:$E$43,C1681&amp;"")&gt;0,"Sensitive account | ","")&amp;IF(AND(MAX(N(E1681),N(F1681))&gt;=Settings!$C$9,MOD(MAX(N(E1681),N(F1681)),Settings!$C$10)=0),"Round amount | ","")="","",LEFT(IF(K1681="No","Does not balance | ","")&amp;IF(I1681="","Not approved | ",IF(UPPER(TRIM(H1681))=UPPER(TRIM(I1681)),"Self-approved | ",""))&amp;IF(J1681="","No support | ","")&amp;IF(WEEKDAY(B1681,2)&gt;5,"Weekend posting | ","")&amp;IF(COUNTIF(Settings!$A$14:$A$43,B1681)&gt;0,"Holiday posting | ","")&amp;IF(B1681&gt;Settings!$C$8,"Posted after close | ","")&amp;IF(OR(B1681&lt;Settings!$C$6,B1681&gt;Settings!$C$7),"Outside period | ","")&amp;IF(COUNTIF(Settings!$E$14:$E$43,C1681&amp;"")&gt;0,"Sensitive account | ","")&amp;IF(AND(MAX(N(E1681),N(F1681))&gt;=Settings!$C$9,MOD(MAX(N(E1681),N(F1681)),Settings!$C$10)=0),"Round amount | ",""),LEN(IF(K1681="No","Does not balance | ","")&amp;IF(I1681="","Not approved | ",IF(UPPER(TRIM(H1681))=UPPER(TRIM(I1681)),"Self-approved | ",""))&amp;IF(J1681="","No support | ","")&amp;IF(WEEKDAY(B1681,2)&gt;5,"Weekend posting | ","")&amp;IF(COUNTIF(Settings!$A$14:$A$43,B1681)&gt;0,"Holiday posting | ","")&amp;IF(B1681&gt;Settings!$C$8,"Posted after close | ","")&amp;IF(OR(B1681&lt;Settings!$C$6,B1681&gt;Settings!$C$7),"Outside period | ","")&amp;IF(COUNTIF(Settings!$E$14:$E$43,C1681&amp;"")&gt;0,"Sensitive account | ","")&amp;IF(AND(MAX(N(E1681),N(F1681))&gt;=Settings!$C$9,MOD(MAX(N(E1681),N(F1681)),Settings!$C$10)=0),"Round amount | ",""))-3)))</f>
        <v/>
      </c>
      <c r="M1681" s="21" t="str">
        <f aca="false">IF(A1681="","",IF(COUNTIF($A$9:A1681,A1681)=1,MAX($M$8:M1680)+1,""))</f>
        <v/>
      </c>
    </row>
    <row r="1682" customFormat="false" ht="15" hidden="false" customHeight="false" outlineLevel="0" collapsed="false">
      <c r="A1682" s="8"/>
      <c r="B1682" s="17"/>
      <c r="C1682" s="19"/>
      <c r="D1682" s="8"/>
      <c r="E1682" s="18"/>
      <c r="F1682" s="18"/>
      <c r="G1682" s="8"/>
      <c r="H1682" s="8"/>
      <c r="I1682" s="8"/>
      <c r="J1682" s="8"/>
      <c r="K1682" s="10" t="str">
        <f aca="false">IF(A1682="","",IF(ABS(SUMIFS($E$9:$E$2008,$A$9:$A$2008,A1682)-SUMIFS($F$9:$F$2008,$A$9:$A$2008,A1682))&lt;0.5,"Yes","No"))</f>
        <v/>
      </c>
      <c r="L1682" s="10" t="str">
        <f aca="false">IF(A1682="","",IF(IF(K1682="No","Does not balance | ","")&amp;IF(I1682="","Not approved | ",IF(UPPER(TRIM(H1682))=UPPER(TRIM(I1682)),"Self-approved | ",""))&amp;IF(J1682="","No support | ","")&amp;IF(WEEKDAY(B1682,2)&gt;5,"Weekend posting | ","")&amp;IF(COUNTIF(Settings!$A$14:$A$43,B1682)&gt;0,"Holiday posting | ","")&amp;IF(B1682&gt;Settings!$C$8,"Posted after close | ","")&amp;IF(OR(B1682&lt;Settings!$C$6,B1682&gt;Settings!$C$7),"Outside period | ","")&amp;IF(COUNTIF(Settings!$E$14:$E$43,C1682&amp;"")&gt;0,"Sensitive account | ","")&amp;IF(AND(MAX(N(E1682),N(F1682))&gt;=Settings!$C$9,MOD(MAX(N(E1682),N(F1682)),Settings!$C$10)=0),"Round amount | ","")="","",LEFT(IF(K1682="No","Does not balance | ","")&amp;IF(I1682="","Not approved | ",IF(UPPER(TRIM(H1682))=UPPER(TRIM(I1682)),"Self-approved | ",""))&amp;IF(J1682="","No support | ","")&amp;IF(WEEKDAY(B1682,2)&gt;5,"Weekend posting | ","")&amp;IF(COUNTIF(Settings!$A$14:$A$43,B1682)&gt;0,"Holiday posting | ","")&amp;IF(B1682&gt;Settings!$C$8,"Posted after close | ","")&amp;IF(OR(B1682&lt;Settings!$C$6,B1682&gt;Settings!$C$7),"Outside period | ","")&amp;IF(COUNTIF(Settings!$E$14:$E$43,C1682&amp;"")&gt;0,"Sensitive account | ","")&amp;IF(AND(MAX(N(E1682),N(F1682))&gt;=Settings!$C$9,MOD(MAX(N(E1682),N(F1682)),Settings!$C$10)=0),"Round amount | ",""),LEN(IF(K1682="No","Does not balance | ","")&amp;IF(I1682="","Not approved | ",IF(UPPER(TRIM(H1682))=UPPER(TRIM(I1682)),"Self-approved | ",""))&amp;IF(J1682="","No support | ","")&amp;IF(WEEKDAY(B1682,2)&gt;5,"Weekend posting | ","")&amp;IF(COUNTIF(Settings!$A$14:$A$43,B1682)&gt;0,"Holiday posting | ","")&amp;IF(B1682&gt;Settings!$C$8,"Posted after close | ","")&amp;IF(OR(B1682&lt;Settings!$C$6,B1682&gt;Settings!$C$7),"Outside period | ","")&amp;IF(COUNTIF(Settings!$E$14:$E$43,C1682&amp;"")&gt;0,"Sensitive account | ","")&amp;IF(AND(MAX(N(E1682),N(F1682))&gt;=Settings!$C$9,MOD(MAX(N(E1682),N(F1682)),Settings!$C$10)=0),"Round amount | ",""))-3)))</f>
        <v/>
      </c>
      <c r="M1682" s="21" t="str">
        <f aca="false">IF(A1682="","",IF(COUNTIF($A$9:A1682,A1682)=1,MAX($M$8:M1681)+1,""))</f>
        <v/>
      </c>
    </row>
    <row r="1683" customFormat="false" ht="15" hidden="false" customHeight="false" outlineLevel="0" collapsed="false">
      <c r="A1683" s="8"/>
      <c r="B1683" s="17"/>
      <c r="C1683" s="19"/>
      <c r="D1683" s="8"/>
      <c r="E1683" s="18"/>
      <c r="F1683" s="18"/>
      <c r="G1683" s="8"/>
      <c r="H1683" s="8"/>
      <c r="I1683" s="8"/>
      <c r="J1683" s="8"/>
      <c r="K1683" s="10" t="str">
        <f aca="false">IF(A1683="","",IF(ABS(SUMIFS($E$9:$E$2008,$A$9:$A$2008,A1683)-SUMIFS($F$9:$F$2008,$A$9:$A$2008,A1683))&lt;0.5,"Yes","No"))</f>
        <v/>
      </c>
      <c r="L1683" s="10" t="str">
        <f aca="false">IF(A1683="","",IF(IF(K1683="No","Does not balance | ","")&amp;IF(I1683="","Not approved | ",IF(UPPER(TRIM(H1683))=UPPER(TRIM(I1683)),"Self-approved | ",""))&amp;IF(J1683="","No support | ","")&amp;IF(WEEKDAY(B1683,2)&gt;5,"Weekend posting | ","")&amp;IF(COUNTIF(Settings!$A$14:$A$43,B1683)&gt;0,"Holiday posting | ","")&amp;IF(B1683&gt;Settings!$C$8,"Posted after close | ","")&amp;IF(OR(B1683&lt;Settings!$C$6,B1683&gt;Settings!$C$7),"Outside period | ","")&amp;IF(COUNTIF(Settings!$E$14:$E$43,C1683&amp;"")&gt;0,"Sensitive account | ","")&amp;IF(AND(MAX(N(E1683),N(F1683))&gt;=Settings!$C$9,MOD(MAX(N(E1683),N(F1683)),Settings!$C$10)=0),"Round amount | ","")="","",LEFT(IF(K1683="No","Does not balance | ","")&amp;IF(I1683="","Not approved | ",IF(UPPER(TRIM(H1683))=UPPER(TRIM(I1683)),"Self-approved | ",""))&amp;IF(J1683="","No support | ","")&amp;IF(WEEKDAY(B1683,2)&gt;5,"Weekend posting | ","")&amp;IF(COUNTIF(Settings!$A$14:$A$43,B1683)&gt;0,"Holiday posting | ","")&amp;IF(B1683&gt;Settings!$C$8,"Posted after close | ","")&amp;IF(OR(B1683&lt;Settings!$C$6,B1683&gt;Settings!$C$7),"Outside period | ","")&amp;IF(COUNTIF(Settings!$E$14:$E$43,C1683&amp;"")&gt;0,"Sensitive account | ","")&amp;IF(AND(MAX(N(E1683),N(F1683))&gt;=Settings!$C$9,MOD(MAX(N(E1683),N(F1683)),Settings!$C$10)=0),"Round amount | ",""),LEN(IF(K1683="No","Does not balance | ","")&amp;IF(I1683="","Not approved | ",IF(UPPER(TRIM(H1683))=UPPER(TRIM(I1683)),"Self-approved | ",""))&amp;IF(J1683="","No support | ","")&amp;IF(WEEKDAY(B1683,2)&gt;5,"Weekend posting | ","")&amp;IF(COUNTIF(Settings!$A$14:$A$43,B1683)&gt;0,"Holiday posting | ","")&amp;IF(B1683&gt;Settings!$C$8,"Posted after close | ","")&amp;IF(OR(B1683&lt;Settings!$C$6,B1683&gt;Settings!$C$7),"Outside period | ","")&amp;IF(COUNTIF(Settings!$E$14:$E$43,C1683&amp;"")&gt;0,"Sensitive account | ","")&amp;IF(AND(MAX(N(E1683),N(F1683))&gt;=Settings!$C$9,MOD(MAX(N(E1683),N(F1683)),Settings!$C$10)=0),"Round amount | ",""))-3)))</f>
        <v/>
      </c>
      <c r="M1683" s="21" t="str">
        <f aca="false">IF(A1683="","",IF(COUNTIF($A$9:A1683,A1683)=1,MAX($M$8:M1682)+1,""))</f>
        <v/>
      </c>
    </row>
    <row r="1684" customFormat="false" ht="15" hidden="false" customHeight="false" outlineLevel="0" collapsed="false">
      <c r="A1684" s="8"/>
      <c r="B1684" s="17"/>
      <c r="C1684" s="19"/>
      <c r="D1684" s="8"/>
      <c r="E1684" s="18"/>
      <c r="F1684" s="18"/>
      <c r="G1684" s="8"/>
      <c r="H1684" s="8"/>
      <c r="I1684" s="8"/>
      <c r="J1684" s="8"/>
      <c r="K1684" s="10" t="str">
        <f aca="false">IF(A1684="","",IF(ABS(SUMIFS($E$9:$E$2008,$A$9:$A$2008,A1684)-SUMIFS($F$9:$F$2008,$A$9:$A$2008,A1684))&lt;0.5,"Yes","No"))</f>
        <v/>
      </c>
      <c r="L1684" s="10" t="str">
        <f aca="false">IF(A1684="","",IF(IF(K1684="No","Does not balance | ","")&amp;IF(I1684="","Not approved | ",IF(UPPER(TRIM(H1684))=UPPER(TRIM(I1684)),"Self-approved | ",""))&amp;IF(J1684="","No support | ","")&amp;IF(WEEKDAY(B1684,2)&gt;5,"Weekend posting | ","")&amp;IF(COUNTIF(Settings!$A$14:$A$43,B1684)&gt;0,"Holiday posting | ","")&amp;IF(B1684&gt;Settings!$C$8,"Posted after close | ","")&amp;IF(OR(B1684&lt;Settings!$C$6,B1684&gt;Settings!$C$7),"Outside period | ","")&amp;IF(COUNTIF(Settings!$E$14:$E$43,C1684&amp;"")&gt;0,"Sensitive account | ","")&amp;IF(AND(MAX(N(E1684),N(F1684))&gt;=Settings!$C$9,MOD(MAX(N(E1684),N(F1684)),Settings!$C$10)=0),"Round amount | ","")="","",LEFT(IF(K1684="No","Does not balance | ","")&amp;IF(I1684="","Not approved | ",IF(UPPER(TRIM(H1684))=UPPER(TRIM(I1684)),"Self-approved | ",""))&amp;IF(J1684="","No support | ","")&amp;IF(WEEKDAY(B1684,2)&gt;5,"Weekend posting | ","")&amp;IF(COUNTIF(Settings!$A$14:$A$43,B1684)&gt;0,"Holiday posting | ","")&amp;IF(B1684&gt;Settings!$C$8,"Posted after close | ","")&amp;IF(OR(B1684&lt;Settings!$C$6,B1684&gt;Settings!$C$7),"Outside period | ","")&amp;IF(COUNTIF(Settings!$E$14:$E$43,C1684&amp;"")&gt;0,"Sensitive account | ","")&amp;IF(AND(MAX(N(E1684),N(F1684))&gt;=Settings!$C$9,MOD(MAX(N(E1684),N(F1684)),Settings!$C$10)=0),"Round amount | ",""),LEN(IF(K1684="No","Does not balance | ","")&amp;IF(I1684="","Not approved | ",IF(UPPER(TRIM(H1684))=UPPER(TRIM(I1684)),"Self-approved | ",""))&amp;IF(J1684="","No support | ","")&amp;IF(WEEKDAY(B1684,2)&gt;5,"Weekend posting | ","")&amp;IF(COUNTIF(Settings!$A$14:$A$43,B1684)&gt;0,"Holiday posting | ","")&amp;IF(B1684&gt;Settings!$C$8,"Posted after close | ","")&amp;IF(OR(B1684&lt;Settings!$C$6,B1684&gt;Settings!$C$7),"Outside period | ","")&amp;IF(COUNTIF(Settings!$E$14:$E$43,C1684&amp;"")&gt;0,"Sensitive account | ","")&amp;IF(AND(MAX(N(E1684),N(F1684))&gt;=Settings!$C$9,MOD(MAX(N(E1684),N(F1684)),Settings!$C$10)=0),"Round amount | ",""))-3)))</f>
        <v/>
      </c>
      <c r="M1684" s="21" t="str">
        <f aca="false">IF(A1684="","",IF(COUNTIF($A$9:A1684,A1684)=1,MAX($M$8:M1683)+1,""))</f>
        <v/>
      </c>
    </row>
    <row r="1685" customFormat="false" ht="15" hidden="false" customHeight="false" outlineLevel="0" collapsed="false">
      <c r="A1685" s="8"/>
      <c r="B1685" s="17"/>
      <c r="C1685" s="19"/>
      <c r="D1685" s="8"/>
      <c r="E1685" s="18"/>
      <c r="F1685" s="18"/>
      <c r="G1685" s="8"/>
      <c r="H1685" s="8"/>
      <c r="I1685" s="8"/>
      <c r="J1685" s="8"/>
      <c r="K1685" s="10" t="str">
        <f aca="false">IF(A1685="","",IF(ABS(SUMIFS($E$9:$E$2008,$A$9:$A$2008,A1685)-SUMIFS($F$9:$F$2008,$A$9:$A$2008,A1685))&lt;0.5,"Yes","No"))</f>
        <v/>
      </c>
      <c r="L1685" s="10" t="str">
        <f aca="false">IF(A1685="","",IF(IF(K1685="No","Does not balance | ","")&amp;IF(I1685="","Not approved | ",IF(UPPER(TRIM(H1685))=UPPER(TRIM(I1685)),"Self-approved | ",""))&amp;IF(J1685="","No support | ","")&amp;IF(WEEKDAY(B1685,2)&gt;5,"Weekend posting | ","")&amp;IF(COUNTIF(Settings!$A$14:$A$43,B1685)&gt;0,"Holiday posting | ","")&amp;IF(B1685&gt;Settings!$C$8,"Posted after close | ","")&amp;IF(OR(B1685&lt;Settings!$C$6,B1685&gt;Settings!$C$7),"Outside period | ","")&amp;IF(COUNTIF(Settings!$E$14:$E$43,C1685&amp;"")&gt;0,"Sensitive account | ","")&amp;IF(AND(MAX(N(E1685),N(F1685))&gt;=Settings!$C$9,MOD(MAX(N(E1685),N(F1685)),Settings!$C$10)=0),"Round amount | ","")="","",LEFT(IF(K1685="No","Does not balance | ","")&amp;IF(I1685="","Not approved | ",IF(UPPER(TRIM(H1685))=UPPER(TRIM(I1685)),"Self-approved | ",""))&amp;IF(J1685="","No support | ","")&amp;IF(WEEKDAY(B1685,2)&gt;5,"Weekend posting | ","")&amp;IF(COUNTIF(Settings!$A$14:$A$43,B1685)&gt;0,"Holiday posting | ","")&amp;IF(B1685&gt;Settings!$C$8,"Posted after close | ","")&amp;IF(OR(B1685&lt;Settings!$C$6,B1685&gt;Settings!$C$7),"Outside period | ","")&amp;IF(COUNTIF(Settings!$E$14:$E$43,C1685&amp;"")&gt;0,"Sensitive account | ","")&amp;IF(AND(MAX(N(E1685),N(F1685))&gt;=Settings!$C$9,MOD(MAX(N(E1685),N(F1685)),Settings!$C$10)=0),"Round amount | ",""),LEN(IF(K1685="No","Does not balance | ","")&amp;IF(I1685="","Not approved | ",IF(UPPER(TRIM(H1685))=UPPER(TRIM(I1685)),"Self-approved | ",""))&amp;IF(J1685="","No support | ","")&amp;IF(WEEKDAY(B1685,2)&gt;5,"Weekend posting | ","")&amp;IF(COUNTIF(Settings!$A$14:$A$43,B1685)&gt;0,"Holiday posting | ","")&amp;IF(B1685&gt;Settings!$C$8,"Posted after close | ","")&amp;IF(OR(B1685&lt;Settings!$C$6,B1685&gt;Settings!$C$7),"Outside period | ","")&amp;IF(COUNTIF(Settings!$E$14:$E$43,C1685&amp;"")&gt;0,"Sensitive account | ","")&amp;IF(AND(MAX(N(E1685),N(F1685))&gt;=Settings!$C$9,MOD(MAX(N(E1685),N(F1685)),Settings!$C$10)=0),"Round amount | ",""))-3)))</f>
        <v/>
      </c>
      <c r="M1685" s="21" t="str">
        <f aca="false">IF(A1685="","",IF(COUNTIF($A$9:A1685,A1685)=1,MAX($M$8:M1684)+1,""))</f>
        <v/>
      </c>
    </row>
    <row r="1686" customFormat="false" ht="15" hidden="false" customHeight="false" outlineLevel="0" collapsed="false">
      <c r="A1686" s="8"/>
      <c r="B1686" s="17"/>
      <c r="C1686" s="19"/>
      <c r="D1686" s="8"/>
      <c r="E1686" s="18"/>
      <c r="F1686" s="18"/>
      <c r="G1686" s="8"/>
      <c r="H1686" s="8"/>
      <c r="I1686" s="8"/>
      <c r="J1686" s="8"/>
      <c r="K1686" s="10" t="str">
        <f aca="false">IF(A1686="","",IF(ABS(SUMIFS($E$9:$E$2008,$A$9:$A$2008,A1686)-SUMIFS($F$9:$F$2008,$A$9:$A$2008,A1686))&lt;0.5,"Yes","No"))</f>
        <v/>
      </c>
      <c r="L1686" s="10" t="str">
        <f aca="false">IF(A1686="","",IF(IF(K1686="No","Does not balance | ","")&amp;IF(I1686="","Not approved | ",IF(UPPER(TRIM(H1686))=UPPER(TRIM(I1686)),"Self-approved | ",""))&amp;IF(J1686="","No support | ","")&amp;IF(WEEKDAY(B1686,2)&gt;5,"Weekend posting | ","")&amp;IF(COUNTIF(Settings!$A$14:$A$43,B1686)&gt;0,"Holiday posting | ","")&amp;IF(B1686&gt;Settings!$C$8,"Posted after close | ","")&amp;IF(OR(B1686&lt;Settings!$C$6,B1686&gt;Settings!$C$7),"Outside period | ","")&amp;IF(COUNTIF(Settings!$E$14:$E$43,C1686&amp;"")&gt;0,"Sensitive account | ","")&amp;IF(AND(MAX(N(E1686),N(F1686))&gt;=Settings!$C$9,MOD(MAX(N(E1686),N(F1686)),Settings!$C$10)=0),"Round amount | ","")="","",LEFT(IF(K1686="No","Does not balance | ","")&amp;IF(I1686="","Not approved | ",IF(UPPER(TRIM(H1686))=UPPER(TRIM(I1686)),"Self-approved | ",""))&amp;IF(J1686="","No support | ","")&amp;IF(WEEKDAY(B1686,2)&gt;5,"Weekend posting | ","")&amp;IF(COUNTIF(Settings!$A$14:$A$43,B1686)&gt;0,"Holiday posting | ","")&amp;IF(B1686&gt;Settings!$C$8,"Posted after close | ","")&amp;IF(OR(B1686&lt;Settings!$C$6,B1686&gt;Settings!$C$7),"Outside period | ","")&amp;IF(COUNTIF(Settings!$E$14:$E$43,C1686&amp;"")&gt;0,"Sensitive account | ","")&amp;IF(AND(MAX(N(E1686),N(F1686))&gt;=Settings!$C$9,MOD(MAX(N(E1686),N(F1686)),Settings!$C$10)=0),"Round amount | ",""),LEN(IF(K1686="No","Does not balance | ","")&amp;IF(I1686="","Not approved | ",IF(UPPER(TRIM(H1686))=UPPER(TRIM(I1686)),"Self-approved | ",""))&amp;IF(J1686="","No support | ","")&amp;IF(WEEKDAY(B1686,2)&gt;5,"Weekend posting | ","")&amp;IF(COUNTIF(Settings!$A$14:$A$43,B1686)&gt;0,"Holiday posting | ","")&amp;IF(B1686&gt;Settings!$C$8,"Posted after close | ","")&amp;IF(OR(B1686&lt;Settings!$C$6,B1686&gt;Settings!$C$7),"Outside period | ","")&amp;IF(COUNTIF(Settings!$E$14:$E$43,C1686&amp;"")&gt;0,"Sensitive account | ","")&amp;IF(AND(MAX(N(E1686),N(F1686))&gt;=Settings!$C$9,MOD(MAX(N(E1686),N(F1686)),Settings!$C$10)=0),"Round amount | ",""))-3)))</f>
        <v/>
      </c>
      <c r="M1686" s="21" t="str">
        <f aca="false">IF(A1686="","",IF(COUNTIF($A$9:A1686,A1686)=1,MAX($M$8:M1685)+1,""))</f>
        <v/>
      </c>
    </row>
    <row r="1687" customFormat="false" ht="15" hidden="false" customHeight="false" outlineLevel="0" collapsed="false">
      <c r="A1687" s="8"/>
      <c r="B1687" s="17"/>
      <c r="C1687" s="19"/>
      <c r="D1687" s="8"/>
      <c r="E1687" s="18"/>
      <c r="F1687" s="18"/>
      <c r="G1687" s="8"/>
      <c r="H1687" s="8"/>
      <c r="I1687" s="8"/>
      <c r="J1687" s="8"/>
      <c r="K1687" s="10" t="str">
        <f aca="false">IF(A1687="","",IF(ABS(SUMIFS($E$9:$E$2008,$A$9:$A$2008,A1687)-SUMIFS($F$9:$F$2008,$A$9:$A$2008,A1687))&lt;0.5,"Yes","No"))</f>
        <v/>
      </c>
      <c r="L1687" s="10" t="str">
        <f aca="false">IF(A1687="","",IF(IF(K1687="No","Does not balance | ","")&amp;IF(I1687="","Not approved | ",IF(UPPER(TRIM(H1687))=UPPER(TRIM(I1687)),"Self-approved | ",""))&amp;IF(J1687="","No support | ","")&amp;IF(WEEKDAY(B1687,2)&gt;5,"Weekend posting | ","")&amp;IF(COUNTIF(Settings!$A$14:$A$43,B1687)&gt;0,"Holiday posting | ","")&amp;IF(B1687&gt;Settings!$C$8,"Posted after close | ","")&amp;IF(OR(B1687&lt;Settings!$C$6,B1687&gt;Settings!$C$7),"Outside period | ","")&amp;IF(COUNTIF(Settings!$E$14:$E$43,C1687&amp;"")&gt;0,"Sensitive account | ","")&amp;IF(AND(MAX(N(E1687),N(F1687))&gt;=Settings!$C$9,MOD(MAX(N(E1687),N(F1687)),Settings!$C$10)=0),"Round amount | ","")="","",LEFT(IF(K1687="No","Does not balance | ","")&amp;IF(I1687="","Not approved | ",IF(UPPER(TRIM(H1687))=UPPER(TRIM(I1687)),"Self-approved | ",""))&amp;IF(J1687="","No support | ","")&amp;IF(WEEKDAY(B1687,2)&gt;5,"Weekend posting | ","")&amp;IF(COUNTIF(Settings!$A$14:$A$43,B1687)&gt;0,"Holiday posting | ","")&amp;IF(B1687&gt;Settings!$C$8,"Posted after close | ","")&amp;IF(OR(B1687&lt;Settings!$C$6,B1687&gt;Settings!$C$7),"Outside period | ","")&amp;IF(COUNTIF(Settings!$E$14:$E$43,C1687&amp;"")&gt;0,"Sensitive account | ","")&amp;IF(AND(MAX(N(E1687),N(F1687))&gt;=Settings!$C$9,MOD(MAX(N(E1687),N(F1687)),Settings!$C$10)=0),"Round amount | ",""),LEN(IF(K1687="No","Does not balance | ","")&amp;IF(I1687="","Not approved | ",IF(UPPER(TRIM(H1687))=UPPER(TRIM(I1687)),"Self-approved | ",""))&amp;IF(J1687="","No support | ","")&amp;IF(WEEKDAY(B1687,2)&gt;5,"Weekend posting | ","")&amp;IF(COUNTIF(Settings!$A$14:$A$43,B1687)&gt;0,"Holiday posting | ","")&amp;IF(B1687&gt;Settings!$C$8,"Posted after close | ","")&amp;IF(OR(B1687&lt;Settings!$C$6,B1687&gt;Settings!$C$7),"Outside period | ","")&amp;IF(COUNTIF(Settings!$E$14:$E$43,C1687&amp;"")&gt;0,"Sensitive account | ","")&amp;IF(AND(MAX(N(E1687),N(F1687))&gt;=Settings!$C$9,MOD(MAX(N(E1687),N(F1687)),Settings!$C$10)=0),"Round amount | ",""))-3)))</f>
        <v/>
      </c>
      <c r="M1687" s="21" t="str">
        <f aca="false">IF(A1687="","",IF(COUNTIF($A$9:A1687,A1687)=1,MAX($M$8:M1686)+1,""))</f>
        <v/>
      </c>
    </row>
    <row r="1688" customFormat="false" ht="15" hidden="false" customHeight="false" outlineLevel="0" collapsed="false">
      <c r="A1688" s="8"/>
      <c r="B1688" s="17"/>
      <c r="C1688" s="19"/>
      <c r="D1688" s="8"/>
      <c r="E1688" s="18"/>
      <c r="F1688" s="18"/>
      <c r="G1688" s="8"/>
      <c r="H1688" s="8"/>
      <c r="I1688" s="8"/>
      <c r="J1688" s="8"/>
      <c r="K1688" s="10" t="str">
        <f aca="false">IF(A1688="","",IF(ABS(SUMIFS($E$9:$E$2008,$A$9:$A$2008,A1688)-SUMIFS($F$9:$F$2008,$A$9:$A$2008,A1688))&lt;0.5,"Yes","No"))</f>
        <v/>
      </c>
      <c r="L1688" s="10" t="str">
        <f aca="false">IF(A1688="","",IF(IF(K1688="No","Does not balance | ","")&amp;IF(I1688="","Not approved | ",IF(UPPER(TRIM(H1688))=UPPER(TRIM(I1688)),"Self-approved | ",""))&amp;IF(J1688="","No support | ","")&amp;IF(WEEKDAY(B1688,2)&gt;5,"Weekend posting | ","")&amp;IF(COUNTIF(Settings!$A$14:$A$43,B1688)&gt;0,"Holiday posting | ","")&amp;IF(B1688&gt;Settings!$C$8,"Posted after close | ","")&amp;IF(OR(B1688&lt;Settings!$C$6,B1688&gt;Settings!$C$7),"Outside period | ","")&amp;IF(COUNTIF(Settings!$E$14:$E$43,C1688&amp;"")&gt;0,"Sensitive account | ","")&amp;IF(AND(MAX(N(E1688),N(F1688))&gt;=Settings!$C$9,MOD(MAX(N(E1688),N(F1688)),Settings!$C$10)=0),"Round amount | ","")="","",LEFT(IF(K1688="No","Does not balance | ","")&amp;IF(I1688="","Not approved | ",IF(UPPER(TRIM(H1688))=UPPER(TRIM(I1688)),"Self-approved | ",""))&amp;IF(J1688="","No support | ","")&amp;IF(WEEKDAY(B1688,2)&gt;5,"Weekend posting | ","")&amp;IF(COUNTIF(Settings!$A$14:$A$43,B1688)&gt;0,"Holiday posting | ","")&amp;IF(B1688&gt;Settings!$C$8,"Posted after close | ","")&amp;IF(OR(B1688&lt;Settings!$C$6,B1688&gt;Settings!$C$7),"Outside period | ","")&amp;IF(COUNTIF(Settings!$E$14:$E$43,C1688&amp;"")&gt;0,"Sensitive account | ","")&amp;IF(AND(MAX(N(E1688),N(F1688))&gt;=Settings!$C$9,MOD(MAX(N(E1688),N(F1688)),Settings!$C$10)=0),"Round amount | ",""),LEN(IF(K1688="No","Does not balance | ","")&amp;IF(I1688="","Not approved | ",IF(UPPER(TRIM(H1688))=UPPER(TRIM(I1688)),"Self-approved | ",""))&amp;IF(J1688="","No support | ","")&amp;IF(WEEKDAY(B1688,2)&gt;5,"Weekend posting | ","")&amp;IF(COUNTIF(Settings!$A$14:$A$43,B1688)&gt;0,"Holiday posting | ","")&amp;IF(B1688&gt;Settings!$C$8,"Posted after close | ","")&amp;IF(OR(B1688&lt;Settings!$C$6,B1688&gt;Settings!$C$7),"Outside period | ","")&amp;IF(COUNTIF(Settings!$E$14:$E$43,C1688&amp;"")&gt;0,"Sensitive account | ","")&amp;IF(AND(MAX(N(E1688),N(F1688))&gt;=Settings!$C$9,MOD(MAX(N(E1688),N(F1688)),Settings!$C$10)=0),"Round amount | ",""))-3)))</f>
        <v/>
      </c>
      <c r="M1688" s="21" t="str">
        <f aca="false">IF(A1688="","",IF(COUNTIF($A$9:A1688,A1688)=1,MAX($M$8:M1687)+1,""))</f>
        <v/>
      </c>
    </row>
    <row r="1689" customFormat="false" ht="15" hidden="false" customHeight="false" outlineLevel="0" collapsed="false">
      <c r="A1689" s="8"/>
      <c r="B1689" s="17"/>
      <c r="C1689" s="19"/>
      <c r="D1689" s="8"/>
      <c r="E1689" s="18"/>
      <c r="F1689" s="18"/>
      <c r="G1689" s="8"/>
      <c r="H1689" s="8"/>
      <c r="I1689" s="8"/>
      <c r="J1689" s="8"/>
      <c r="K1689" s="10" t="str">
        <f aca="false">IF(A1689="","",IF(ABS(SUMIFS($E$9:$E$2008,$A$9:$A$2008,A1689)-SUMIFS($F$9:$F$2008,$A$9:$A$2008,A1689))&lt;0.5,"Yes","No"))</f>
        <v/>
      </c>
      <c r="L1689" s="10" t="str">
        <f aca="false">IF(A1689="","",IF(IF(K1689="No","Does not balance | ","")&amp;IF(I1689="","Not approved | ",IF(UPPER(TRIM(H1689))=UPPER(TRIM(I1689)),"Self-approved | ",""))&amp;IF(J1689="","No support | ","")&amp;IF(WEEKDAY(B1689,2)&gt;5,"Weekend posting | ","")&amp;IF(COUNTIF(Settings!$A$14:$A$43,B1689)&gt;0,"Holiday posting | ","")&amp;IF(B1689&gt;Settings!$C$8,"Posted after close | ","")&amp;IF(OR(B1689&lt;Settings!$C$6,B1689&gt;Settings!$C$7),"Outside period | ","")&amp;IF(COUNTIF(Settings!$E$14:$E$43,C1689&amp;"")&gt;0,"Sensitive account | ","")&amp;IF(AND(MAX(N(E1689),N(F1689))&gt;=Settings!$C$9,MOD(MAX(N(E1689),N(F1689)),Settings!$C$10)=0),"Round amount | ","")="","",LEFT(IF(K1689="No","Does not balance | ","")&amp;IF(I1689="","Not approved | ",IF(UPPER(TRIM(H1689))=UPPER(TRIM(I1689)),"Self-approved | ",""))&amp;IF(J1689="","No support | ","")&amp;IF(WEEKDAY(B1689,2)&gt;5,"Weekend posting | ","")&amp;IF(COUNTIF(Settings!$A$14:$A$43,B1689)&gt;0,"Holiday posting | ","")&amp;IF(B1689&gt;Settings!$C$8,"Posted after close | ","")&amp;IF(OR(B1689&lt;Settings!$C$6,B1689&gt;Settings!$C$7),"Outside period | ","")&amp;IF(COUNTIF(Settings!$E$14:$E$43,C1689&amp;"")&gt;0,"Sensitive account | ","")&amp;IF(AND(MAX(N(E1689),N(F1689))&gt;=Settings!$C$9,MOD(MAX(N(E1689),N(F1689)),Settings!$C$10)=0),"Round amount | ",""),LEN(IF(K1689="No","Does not balance | ","")&amp;IF(I1689="","Not approved | ",IF(UPPER(TRIM(H1689))=UPPER(TRIM(I1689)),"Self-approved | ",""))&amp;IF(J1689="","No support | ","")&amp;IF(WEEKDAY(B1689,2)&gt;5,"Weekend posting | ","")&amp;IF(COUNTIF(Settings!$A$14:$A$43,B1689)&gt;0,"Holiday posting | ","")&amp;IF(B1689&gt;Settings!$C$8,"Posted after close | ","")&amp;IF(OR(B1689&lt;Settings!$C$6,B1689&gt;Settings!$C$7),"Outside period | ","")&amp;IF(COUNTIF(Settings!$E$14:$E$43,C1689&amp;"")&gt;0,"Sensitive account | ","")&amp;IF(AND(MAX(N(E1689),N(F1689))&gt;=Settings!$C$9,MOD(MAX(N(E1689),N(F1689)),Settings!$C$10)=0),"Round amount | ",""))-3)))</f>
        <v/>
      </c>
      <c r="M1689" s="21" t="str">
        <f aca="false">IF(A1689="","",IF(COUNTIF($A$9:A1689,A1689)=1,MAX($M$8:M1688)+1,""))</f>
        <v/>
      </c>
    </row>
    <row r="1690" customFormat="false" ht="15" hidden="false" customHeight="false" outlineLevel="0" collapsed="false">
      <c r="A1690" s="8"/>
      <c r="B1690" s="17"/>
      <c r="C1690" s="19"/>
      <c r="D1690" s="8"/>
      <c r="E1690" s="18"/>
      <c r="F1690" s="18"/>
      <c r="G1690" s="8"/>
      <c r="H1690" s="8"/>
      <c r="I1690" s="8"/>
      <c r="J1690" s="8"/>
      <c r="K1690" s="10" t="str">
        <f aca="false">IF(A1690="","",IF(ABS(SUMIFS($E$9:$E$2008,$A$9:$A$2008,A1690)-SUMIFS($F$9:$F$2008,$A$9:$A$2008,A1690))&lt;0.5,"Yes","No"))</f>
        <v/>
      </c>
      <c r="L1690" s="10" t="str">
        <f aca="false">IF(A1690="","",IF(IF(K1690="No","Does not balance | ","")&amp;IF(I1690="","Not approved | ",IF(UPPER(TRIM(H1690))=UPPER(TRIM(I1690)),"Self-approved | ",""))&amp;IF(J1690="","No support | ","")&amp;IF(WEEKDAY(B1690,2)&gt;5,"Weekend posting | ","")&amp;IF(COUNTIF(Settings!$A$14:$A$43,B1690)&gt;0,"Holiday posting | ","")&amp;IF(B1690&gt;Settings!$C$8,"Posted after close | ","")&amp;IF(OR(B1690&lt;Settings!$C$6,B1690&gt;Settings!$C$7),"Outside period | ","")&amp;IF(COUNTIF(Settings!$E$14:$E$43,C1690&amp;"")&gt;0,"Sensitive account | ","")&amp;IF(AND(MAX(N(E1690),N(F1690))&gt;=Settings!$C$9,MOD(MAX(N(E1690),N(F1690)),Settings!$C$10)=0),"Round amount | ","")="","",LEFT(IF(K1690="No","Does not balance | ","")&amp;IF(I1690="","Not approved | ",IF(UPPER(TRIM(H1690))=UPPER(TRIM(I1690)),"Self-approved | ",""))&amp;IF(J1690="","No support | ","")&amp;IF(WEEKDAY(B1690,2)&gt;5,"Weekend posting | ","")&amp;IF(COUNTIF(Settings!$A$14:$A$43,B1690)&gt;0,"Holiday posting | ","")&amp;IF(B1690&gt;Settings!$C$8,"Posted after close | ","")&amp;IF(OR(B1690&lt;Settings!$C$6,B1690&gt;Settings!$C$7),"Outside period | ","")&amp;IF(COUNTIF(Settings!$E$14:$E$43,C1690&amp;"")&gt;0,"Sensitive account | ","")&amp;IF(AND(MAX(N(E1690),N(F1690))&gt;=Settings!$C$9,MOD(MAX(N(E1690),N(F1690)),Settings!$C$10)=0),"Round amount | ",""),LEN(IF(K1690="No","Does not balance | ","")&amp;IF(I1690="","Not approved | ",IF(UPPER(TRIM(H1690))=UPPER(TRIM(I1690)),"Self-approved | ",""))&amp;IF(J1690="","No support | ","")&amp;IF(WEEKDAY(B1690,2)&gt;5,"Weekend posting | ","")&amp;IF(COUNTIF(Settings!$A$14:$A$43,B1690)&gt;0,"Holiday posting | ","")&amp;IF(B1690&gt;Settings!$C$8,"Posted after close | ","")&amp;IF(OR(B1690&lt;Settings!$C$6,B1690&gt;Settings!$C$7),"Outside period | ","")&amp;IF(COUNTIF(Settings!$E$14:$E$43,C1690&amp;"")&gt;0,"Sensitive account | ","")&amp;IF(AND(MAX(N(E1690),N(F1690))&gt;=Settings!$C$9,MOD(MAX(N(E1690),N(F1690)),Settings!$C$10)=0),"Round amount | ",""))-3)))</f>
        <v/>
      </c>
      <c r="M1690" s="21" t="str">
        <f aca="false">IF(A1690="","",IF(COUNTIF($A$9:A1690,A1690)=1,MAX($M$8:M1689)+1,""))</f>
        <v/>
      </c>
    </row>
    <row r="1691" customFormat="false" ht="15" hidden="false" customHeight="false" outlineLevel="0" collapsed="false">
      <c r="A1691" s="8"/>
      <c r="B1691" s="17"/>
      <c r="C1691" s="19"/>
      <c r="D1691" s="8"/>
      <c r="E1691" s="18"/>
      <c r="F1691" s="18"/>
      <c r="G1691" s="8"/>
      <c r="H1691" s="8"/>
      <c r="I1691" s="8"/>
      <c r="J1691" s="8"/>
      <c r="K1691" s="10" t="str">
        <f aca="false">IF(A1691="","",IF(ABS(SUMIFS($E$9:$E$2008,$A$9:$A$2008,A1691)-SUMIFS($F$9:$F$2008,$A$9:$A$2008,A1691))&lt;0.5,"Yes","No"))</f>
        <v/>
      </c>
      <c r="L1691" s="10" t="str">
        <f aca="false">IF(A1691="","",IF(IF(K1691="No","Does not balance | ","")&amp;IF(I1691="","Not approved | ",IF(UPPER(TRIM(H1691))=UPPER(TRIM(I1691)),"Self-approved | ",""))&amp;IF(J1691="","No support | ","")&amp;IF(WEEKDAY(B1691,2)&gt;5,"Weekend posting | ","")&amp;IF(COUNTIF(Settings!$A$14:$A$43,B1691)&gt;0,"Holiday posting | ","")&amp;IF(B1691&gt;Settings!$C$8,"Posted after close | ","")&amp;IF(OR(B1691&lt;Settings!$C$6,B1691&gt;Settings!$C$7),"Outside period | ","")&amp;IF(COUNTIF(Settings!$E$14:$E$43,C1691&amp;"")&gt;0,"Sensitive account | ","")&amp;IF(AND(MAX(N(E1691),N(F1691))&gt;=Settings!$C$9,MOD(MAX(N(E1691),N(F1691)),Settings!$C$10)=0),"Round amount | ","")="","",LEFT(IF(K1691="No","Does not balance | ","")&amp;IF(I1691="","Not approved | ",IF(UPPER(TRIM(H1691))=UPPER(TRIM(I1691)),"Self-approved | ",""))&amp;IF(J1691="","No support | ","")&amp;IF(WEEKDAY(B1691,2)&gt;5,"Weekend posting | ","")&amp;IF(COUNTIF(Settings!$A$14:$A$43,B1691)&gt;0,"Holiday posting | ","")&amp;IF(B1691&gt;Settings!$C$8,"Posted after close | ","")&amp;IF(OR(B1691&lt;Settings!$C$6,B1691&gt;Settings!$C$7),"Outside period | ","")&amp;IF(COUNTIF(Settings!$E$14:$E$43,C1691&amp;"")&gt;0,"Sensitive account | ","")&amp;IF(AND(MAX(N(E1691),N(F1691))&gt;=Settings!$C$9,MOD(MAX(N(E1691),N(F1691)),Settings!$C$10)=0),"Round amount | ",""),LEN(IF(K1691="No","Does not balance | ","")&amp;IF(I1691="","Not approved | ",IF(UPPER(TRIM(H1691))=UPPER(TRIM(I1691)),"Self-approved | ",""))&amp;IF(J1691="","No support | ","")&amp;IF(WEEKDAY(B1691,2)&gt;5,"Weekend posting | ","")&amp;IF(COUNTIF(Settings!$A$14:$A$43,B1691)&gt;0,"Holiday posting | ","")&amp;IF(B1691&gt;Settings!$C$8,"Posted after close | ","")&amp;IF(OR(B1691&lt;Settings!$C$6,B1691&gt;Settings!$C$7),"Outside period | ","")&amp;IF(COUNTIF(Settings!$E$14:$E$43,C1691&amp;"")&gt;0,"Sensitive account | ","")&amp;IF(AND(MAX(N(E1691),N(F1691))&gt;=Settings!$C$9,MOD(MAX(N(E1691),N(F1691)),Settings!$C$10)=0),"Round amount | ",""))-3)))</f>
        <v/>
      </c>
      <c r="M1691" s="21" t="str">
        <f aca="false">IF(A1691="","",IF(COUNTIF($A$9:A1691,A1691)=1,MAX($M$8:M1690)+1,""))</f>
        <v/>
      </c>
    </row>
    <row r="1692" customFormat="false" ht="15" hidden="false" customHeight="false" outlineLevel="0" collapsed="false">
      <c r="A1692" s="8"/>
      <c r="B1692" s="17"/>
      <c r="C1692" s="19"/>
      <c r="D1692" s="8"/>
      <c r="E1692" s="18"/>
      <c r="F1692" s="18"/>
      <c r="G1692" s="8"/>
      <c r="H1692" s="8"/>
      <c r="I1692" s="8"/>
      <c r="J1692" s="8"/>
      <c r="K1692" s="10" t="str">
        <f aca="false">IF(A1692="","",IF(ABS(SUMIFS($E$9:$E$2008,$A$9:$A$2008,A1692)-SUMIFS($F$9:$F$2008,$A$9:$A$2008,A1692))&lt;0.5,"Yes","No"))</f>
        <v/>
      </c>
      <c r="L1692" s="10" t="str">
        <f aca="false">IF(A1692="","",IF(IF(K1692="No","Does not balance | ","")&amp;IF(I1692="","Not approved | ",IF(UPPER(TRIM(H1692))=UPPER(TRIM(I1692)),"Self-approved | ",""))&amp;IF(J1692="","No support | ","")&amp;IF(WEEKDAY(B1692,2)&gt;5,"Weekend posting | ","")&amp;IF(COUNTIF(Settings!$A$14:$A$43,B1692)&gt;0,"Holiday posting | ","")&amp;IF(B1692&gt;Settings!$C$8,"Posted after close | ","")&amp;IF(OR(B1692&lt;Settings!$C$6,B1692&gt;Settings!$C$7),"Outside period | ","")&amp;IF(COUNTIF(Settings!$E$14:$E$43,C1692&amp;"")&gt;0,"Sensitive account | ","")&amp;IF(AND(MAX(N(E1692),N(F1692))&gt;=Settings!$C$9,MOD(MAX(N(E1692),N(F1692)),Settings!$C$10)=0),"Round amount | ","")="","",LEFT(IF(K1692="No","Does not balance | ","")&amp;IF(I1692="","Not approved | ",IF(UPPER(TRIM(H1692))=UPPER(TRIM(I1692)),"Self-approved | ",""))&amp;IF(J1692="","No support | ","")&amp;IF(WEEKDAY(B1692,2)&gt;5,"Weekend posting | ","")&amp;IF(COUNTIF(Settings!$A$14:$A$43,B1692)&gt;0,"Holiday posting | ","")&amp;IF(B1692&gt;Settings!$C$8,"Posted after close | ","")&amp;IF(OR(B1692&lt;Settings!$C$6,B1692&gt;Settings!$C$7),"Outside period | ","")&amp;IF(COUNTIF(Settings!$E$14:$E$43,C1692&amp;"")&gt;0,"Sensitive account | ","")&amp;IF(AND(MAX(N(E1692),N(F1692))&gt;=Settings!$C$9,MOD(MAX(N(E1692),N(F1692)),Settings!$C$10)=0),"Round amount | ",""),LEN(IF(K1692="No","Does not balance | ","")&amp;IF(I1692="","Not approved | ",IF(UPPER(TRIM(H1692))=UPPER(TRIM(I1692)),"Self-approved | ",""))&amp;IF(J1692="","No support | ","")&amp;IF(WEEKDAY(B1692,2)&gt;5,"Weekend posting | ","")&amp;IF(COUNTIF(Settings!$A$14:$A$43,B1692)&gt;0,"Holiday posting | ","")&amp;IF(B1692&gt;Settings!$C$8,"Posted after close | ","")&amp;IF(OR(B1692&lt;Settings!$C$6,B1692&gt;Settings!$C$7),"Outside period | ","")&amp;IF(COUNTIF(Settings!$E$14:$E$43,C1692&amp;"")&gt;0,"Sensitive account | ","")&amp;IF(AND(MAX(N(E1692),N(F1692))&gt;=Settings!$C$9,MOD(MAX(N(E1692),N(F1692)),Settings!$C$10)=0),"Round amount | ",""))-3)))</f>
        <v/>
      </c>
      <c r="M1692" s="21" t="str">
        <f aca="false">IF(A1692="","",IF(COUNTIF($A$9:A1692,A1692)=1,MAX($M$8:M1691)+1,""))</f>
        <v/>
      </c>
    </row>
    <row r="1693" customFormat="false" ht="15" hidden="false" customHeight="false" outlineLevel="0" collapsed="false">
      <c r="A1693" s="8"/>
      <c r="B1693" s="17"/>
      <c r="C1693" s="19"/>
      <c r="D1693" s="8"/>
      <c r="E1693" s="18"/>
      <c r="F1693" s="18"/>
      <c r="G1693" s="8"/>
      <c r="H1693" s="8"/>
      <c r="I1693" s="8"/>
      <c r="J1693" s="8"/>
      <c r="K1693" s="10" t="str">
        <f aca="false">IF(A1693="","",IF(ABS(SUMIFS($E$9:$E$2008,$A$9:$A$2008,A1693)-SUMIFS($F$9:$F$2008,$A$9:$A$2008,A1693))&lt;0.5,"Yes","No"))</f>
        <v/>
      </c>
      <c r="L1693" s="10" t="str">
        <f aca="false">IF(A1693="","",IF(IF(K1693="No","Does not balance | ","")&amp;IF(I1693="","Not approved | ",IF(UPPER(TRIM(H1693))=UPPER(TRIM(I1693)),"Self-approved | ",""))&amp;IF(J1693="","No support | ","")&amp;IF(WEEKDAY(B1693,2)&gt;5,"Weekend posting | ","")&amp;IF(COUNTIF(Settings!$A$14:$A$43,B1693)&gt;0,"Holiday posting | ","")&amp;IF(B1693&gt;Settings!$C$8,"Posted after close | ","")&amp;IF(OR(B1693&lt;Settings!$C$6,B1693&gt;Settings!$C$7),"Outside period | ","")&amp;IF(COUNTIF(Settings!$E$14:$E$43,C1693&amp;"")&gt;0,"Sensitive account | ","")&amp;IF(AND(MAX(N(E1693),N(F1693))&gt;=Settings!$C$9,MOD(MAX(N(E1693),N(F1693)),Settings!$C$10)=0),"Round amount | ","")="","",LEFT(IF(K1693="No","Does not balance | ","")&amp;IF(I1693="","Not approved | ",IF(UPPER(TRIM(H1693))=UPPER(TRIM(I1693)),"Self-approved | ",""))&amp;IF(J1693="","No support | ","")&amp;IF(WEEKDAY(B1693,2)&gt;5,"Weekend posting | ","")&amp;IF(COUNTIF(Settings!$A$14:$A$43,B1693)&gt;0,"Holiday posting | ","")&amp;IF(B1693&gt;Settings!$C$8,"Posted after close | ","")&amp;IF(OR(B1693&lt;Settings!$C$6,B1693&gt;Settings!$C$7),"Outside period | ","")&amp;IF(COUNTIF(Settings!$E$14:$E$43,C1693&amp;"")&gt;0,"Sensitive account | ","")&amp;IF(AND(MAX(N(E1693),N(F1693))&gt;=Settings!$C$9,MOD(MAX(N(E1693),N(F1693)),Settings!$C$10)=0),"Round amount | ",""),LEN(IF(K1693="No","Does not balance | ","")&amp;IF(I1693="","Not approved | ",IF(UPPER(TRIM(H1693))=UPPER(TRIM(I1693)),"Self-approved | ",""))&amp;IF(J1693="","No support | ","")&amp;IF(WEEKDAY(B1693,2)&gt;5,"Weekend posting | ","")&amp;IF(COUNTIF(Settings!$A$14:$A$43,B1693)&gt;0,"Holiday posting | ","")&amp;IF(B1693&gt;Settings!$C$8,"Posted after close | ","")&amp;IF(OR(B1693&lt;Settings!$C$6,B1693&gt;Settings!$C$7),"Outside period | ","")&amp;IF(COUNTIF(Settings!$E$14:$E$43,C1693&amp;"")&gt;0,"Sensitive account | ","")&amp;IF(AND(MAX(N(E1693),N(F1693))&gt;=Settings!$C$9,MOD(MAX(N(E1693),N(F1693)),Settings!$C$10)=0),"Round amount | ",""))-3)))</f>
        <v/>
      </c>
      <c r="M1693" s="21" t="str">
        <f aca="false">IF(A1693="","",IF(COUNTIF($A$9:A1693,A1693)=1,MAX($M$8:M1692)+1,""))</f>
        <v/>
      </c>
    </row>
    <row r="1694" customFormat="false" ht="15" hidden="false" customHeight="false" outlineLevel="0" collapsed="false">
      <c r="A1694" s="8"/>
      <c r="B1694" s="17"/>
      <c r="C1694" s="19"/>
      <c r="D1694" s="8"/>
      <c r="E1694" s="18"/>
      <c r="F1694" s="18"/>
      <c r="G1694" s="8"/>
      <c r="H1694" s="8"/>
      <c r="I1694" s="8"/>
      <c r="J1694" s="8"/>
      <c r="K1694" s="10" t="str">
        <f aca="false">IF(A1694="","",IF(ABS(SUMIFS($E$9:$E$2008,$A$9:$A$2008,A1694)-SUMIFS($F$9:$F$2008,$A$9:$A$2008,A1694))&lt;0.5,"Yes","No"))</f>
        <v/>
      </c>
      <c r="L1694" s="10" t="str">
        <f aca="false">IF(A1694="","",IF(IF(K1694="No","Does not balance | ","")&amp;IF(I1694="","Not approved | ",IF(UPPER(TRIM(H1694))=UPPER(TRIM(I1694)),"Self-approved | ",""))&amp;IF(J1694="","No support | ","")&amp;IF(WEEKDAY(B1694,2)&gt;5,"Weekend posting | ","")&amp;IF(COUNTIF(Settings!$A$14:$A$43,B1694)&gt;0,"Holiday posting | ","")&amp;IF(B1694&gt;Settings!$C$8,"Posted after close | ","")&amp;IF(OR(B1694&lt;Settings!$C$6,B1694&gt;Settings!$C$7),"Outside period | ","")&amp;IF(COUNTIF(Settings!$E$14:$E$43,C1694&amp;"")&gt;0,"Sensitive account | ","")&amp;IF(AND(MAX(N(E1694),N(F1694))&gt;=Settings!$C$9,MOD(MAX(N(E1694),N(F1694)),Settings!$C$10)=0),"Round amount | ","")="","",LEFT(IF(K1694="No","Does not balance | ","")&amp;IF(I1694="","Not approved | ",IF(UPPER(TRIM(H1694))=UPPER(TRIM(I1694)),"Self-approved | ",""))&amp;IF(J1694="","No support | ","")&amp;IF(WEEKDAY(B1694,2)&gt;5,"Weekend posting | ","")&amp;IF(COUNTIF(Settings!$A$14:$A$43,B1694)&gt;0,"Holiday posting | ","")&amp;IF(B1694&gt;Settings!$C$8,"Posted after close | ","")&amp;IF(OR(B1694&lt;Settings!$C$6,B1694&gt;Settings!$C$7),"Outside period | ","")&amp;IF(COUNTIF(Settings!$E$14:$E$43,C1694&amp;"")&gt;0,"Sensitive account | ","")&amp;IF(AND(MAX(N(E1694),N(F1694))&gt;=Settings!$C$9,MOD(MAX(N(E1694),N(F1694)),Settings!$C$10)=0),"Round amount | ",""),LEN(IF(K1694="No","Does not balance | ","")&amp;IF(I1694="","Not approved | ",IF(UPPER(TRIM(H1694))=UPPER(TRIM(I1694)),"Self-approved | ",""))&amp;IF(J1694="","No support | ","")&amp;IF(WEEKDAY(B1694,2)&gt;5,"Weekend posting | ","")&amp;IF(COUNTIF(Settings!$A$14:$A$43,B1694)&gt;0,"Holiday posting | ","")&amp;IF(B1694&gt;Settings!$C$8,"Posted after close | ","")&amp;IF(OR(B1694&lt;Settings!$C$6,B1694&gt;Settings!$C$7),"Outside period | ","")&amp;IF(COUNTIF(Settings!$E$14:$E$43,C1694&amp;"")&gt;0,"Sensitive account | ","")&amp;IF(AND(MAX(N(E1694),N(F1694))&gt;=Settings!$C$9,MOD(MAX(N(E1694),N(F1694)),Settings!$C$10)=0),"Round amount | ",""))-3)))</f>
        <v/>
      </c>
      <c r="M1694" s="21" t="str">
        <f aca="false">IF(A1694="","",IF(COUNTIF($A$9:A1694,A1694)=1,MAX($M$8:M1693)+1,""))</f>
        <v/>
      </c>
    </row>
    <row r="1695" customFormat="false" ht="15" hidden="false" customHeight="false" outlineLevel="0" collapsed="false">
      <c r="A1695" s="8"/>
      <c r="B1695" s="17"/>
      <c r="C1695" s="19"/>
      <c r="D1695" s="8"/>
      <c r="E1695" s="18"/>
      <c r="F1695" s="18"/>
      <c r="G1695" s="8"/>
      <c r="H1695" s="8"/>
      <c r="I1695" s="8"/>
      <c r="J1695" s="8"/>
      <c r="K1695" s="10" t="str">
        <f aca="false">IF(A1695="","",IF(ABS(SUMIFS($E$9:$E$2008,$A$9:$A$2008,A1695)-SUMIFS($F$9:$F$2008,$A$9:$A$2008,A1695))&lt;0.5,"Yes","No"))</f>
        <v/>
      </c>
      <c r="L1695" s="10" t="str">
        <f aca="false">IF(A1695="","",IF(IF(K1695="No","Does not balance | ","")&amp;IF(I1695="","Not approved | ",IF(UPPER(TRIM(H1695))=UPPER(TRIM(I1695)),"Self-approved | ",""))&amp;IF(J1695="","No support | ","")&amp;IF(WEEKDAY(B1695,2)&gt;5,"Weekend posting | ","")&amp;IF(COUNTIF(Settings!$A$14:$A$43,B1695)&gt;0,"Holiday posting | ","")&amp;IF(B1695&gt;Settings!$C$8,"Posted after close | ","")&amp;IF(OR(B1695&lt;Settings!$C$6,B1695&gt;Settings!$C$7),"Outside period | ","")&amp;IF(COUNTIF(Settings!$E$14:$E$43,C1695&amp;"")&gt;0,"Sensitive account | ","")&amp;IF(AND(MAX(N(E1695),N(F1695))&gt;=Settings!$C$9,MOD(MAX(N(E1695),N(F1695)),Settings!$C$10)=0),"Round amount | ","")="","",LEFT(IF(K1695="No","Does not balance | ","")&amp;IF(I1695="","Not approved | ",IF(UPPER(TRIM(H1695))=UPPER(TRIM(I1695)),"Self-approved | ",""))&amp;IF(J1695="","No support | ","")&amp;IF(WEEKDAY(B1695,2)&gt;5,"Weekend posting | ","")&amp;IF(COUNTIF(Settings!$A$14:$A$43,B1695)&gt;0,"Holiday posting | ","")&amp;IF(B1695&gt;Settings!$C$8,"Posted after close | ","")&amp;IF(OR(B1695&lt;Settings!$C$6,B1695&gt;Settings!$C$7),"Outside period | ","")&amp;IF(COUNTIF(Settings!$E$14:$E$43,C1695&amp;"")&gt;0,"Sensitive account | ","")&amp;IF(AND(MAX(N(E1695),N(F1695))&gt;=Settings!$C$9,MOD(MAX(N(E1695),N(F1695)),Settings!$C$10)=0),"Round amount | ",""),LEN(IF(K1695="No","Does not balance | ","")&amp;IF(I1695="","Not approved | ",IF(UPPER(TRIM(H1695))=UPPER(TRIM(I1695)),"Self-approved | ",""))&amp;IF(J1695="","No support | ","")&amp;IF(WEEKDAY(B1695,2)&gt;5,"Weekend posting | ","")&amp;IF(COUNTIF(Settings!$A$14:$A$43,B1695)&gt;0,"Holiday posting | ","")&amp;IF(B1695&gt;Settings!$C$8,"Posted after close | ","")&amp;IF(OR(B1695&lt;Settings!$C$6,B1695&gt;Settings!$C$7),"Outside period | ","")&amp;IF(COUNTIF(Settings!$E$14:$E$43,C1695&amp;"")&gt;0,"Sensitive account | ","")&amp;IF(AND(MAX(N(E1695),N(F1695))&gt;=Settings!$C$9,MOD(MAX(N(E1695),N(F1695)),Settings!$C$10)=0),"Round amount | ",""))-3)))</f>
        <v/>
      </c>
      <c r="M1695" s="21" t="str">
        <f aca="false">IF(A1695="","",IF(COUNTIF($A$9:A1695,A1695)=1,MAX($M$8:M1694)+1,""))</f>
        <v/>
      </c>
    </row>
    <row r="1696" customFormat="false" ht="15" hidden="false" customHeight="false" outlineLevel="0" collapsed="false">
      <c r="A1696" s="8"/>
      <c r="B1696" s="17"/>
      <c r="C1696" s="19"/>
      <c r="D1696" s="8"/>
      <c r="E1696" s="18"/>
      <c r="F1696" s="18"/>
      <c r="G1696" s="8"/>
      <c r="H1696" s="8"/>
      <c r="I1696" s="8"/>
      <c r="J1696" s="8"/>
      <c r="K1696" s="10" t="str">
        <f aca="false">IF(A1696="","",IF(ABS(SUMIFS($E$9:$E$2008,$A$9:$A$2008,A1696)-SUMIFS($F$9:$F$2008,$A$9:$A$2008,A1696))&lt;0.5,"Yes","No"))</f>
        <v/>
      </c>
      <c r="L1696" s="10" t="str">
        <f aca="false">IF(A1696="","",IF(IF(K1696="No","Does not balance | ","")&amp;IF(I1696="","Not approved | ",IF(UPPER(TRIM(H1696))=UPPER(TRIM(I1696)),"Self-approved | ",""))&amp;IF(J1696="","No support | ","")&amp;IF(WEEKDAY(B1696,2)&gt;5,"Weekend posting | ","")&amp;IF(COUNTIF(Settings!$A$14:$A$43,B1696)&gt;0,"Holiday posting | ","")&amp;IF(B1696&gt;Settings!$C$8,"Posted after close | ","")&amp;IF(OR(B1696&lt;Settings!$C$6,B1696&gt;Settings!$C$7),"Outside period | ","")&amp;IF(COUNTIF(Settings!$E$14:$E$43,C1696&amp;"")&gt;0,"Sensitive account | ","")&amp;IF(AND(MAX(N(E1696),N(F1696))&gt;=Settings!$C$9,MOD(MAX(N(E1696),N(F1696)),Settings!$C$10)=0),"Round amount | ","")="","",LEFT(IF(K1696="No","Does not balance | ","")&amp;IF(I1696="","Not approved | ",IF(UPPER(TRIM(H1696))=UPPER(TRIM(I1696)),"Self-approved | ",""))&amp;IF(J1696="","No support | ","")&amp;IF(WEEKDAY(B1696,2)&gt;5,"Weekend posting | ","")&amp;IF(COUNTIF(Settings!$A$14:$A$43,B1696)&gt;0,"Holiday posting | ","")&amp;IF(B1696&gt;Settings!$C$8,"Posted after close | ","")&amp;IF(OR(B1696&lt;Settings!$C$6,B1696&gt;Settings!$C$7),"Outside period | ","")&amp;IF(COUNTIF(Settings!$E$14:$E$43,C1696&amp;"")&gt;0,"Sensitive account | ","")&amp;IF(AND(MAX(N(E1696),N(F1696))&gt;=Settings!$C$9,MOD(MAX(N(E1696),N(F1696)),Settings!$C$10)=0),"Round amount | ",""),LEN(IF(K1696="No","Does not balance | ","")&amp;IF(I1696="","Not approved | ",IF(UPPER(TRIM(H1696))=UPPER(TRIM(I1696)),"Self-approved | ",""))&amp;IF(J1696="","No support | ","")&amp;IF(WEEKDAY(B1696,2)&gt;5,"Weekend posting | ","")&amp;IF(COUNTIF(Settings!$A$14:$A$43,B1696)&gt;0,"Holiday posting | ","")&amp;IF(B1696&gt;Settings!$C$8,"Posted after close | ","")&amp;IF(OR(B1696&lt;Settings!$C$6,B1696&gt;Settings!$C$7),"Outside period | ","")&amp;IF(COUNTIF(Settings!$E$14:$E$43,C1696&amp;"")&gt;0,"Sensitive account | ","")&amp;IF(AND(MAX(N(E1696),N(F1696))&gt;=Settings!$C$9,MOD(MAX(N(E1696),N(F1696)),Settings!$C$10)=0),"Round amount | ",""))-3)))</f>
        <v/>
      </c>
      <c r="M1696" s="21" t="str">
        <f aca="false">IF(A1696="","",IF(COUNTIF($A$9:A1696,A1696)=1,MAX($M$8:M1695)+1,""))</f>
        <v/>
      </c>
    </row>
    <row r="1697" customFormat="false" ht="15" hidden="false" customHeight="false" outlineLevel="0" collapsed="false">
      <c r="A1697" s="8"/>
      <c r="B1697" s="17"/>
      <c r="C1697" s="19"/>
      <c r="D1697" s="8"/>
      <c r="E1697" s="18"/>
      <c r="F1697" s="18"/>
      <c r="G1697" s="8"/>
      <c r="H1697" s="8"/>
      <c r="I1697" s="8"/>
      <c r="J1697" s="8"/>
      <c r="K1697" s="10" t="str">
        <f aca="false">IF(A1697="","",IF(ABS(SUMIFS($E$9:$E$2008,$A$9:$A$2008,A1697)-SUMIFS($F$9:$F$2008,$A$9:$A$2008,A1697))&lt;0.5,"Yes","No"))</f>
        <v/>
      </c>
      <c r="L1697" s="10" t="str">
        <f aca="false">IF(A1697="","",IF(IF(K1697="No","Does not balance | ","")&amp;IF(I1697="","Not approved | ",IF(UPPER(TRIM(H1697))=UPPER(TRIM(I1697)),"Self-approved | ",""))&amp;IF(J1697="","No support | ","")&amp;IF(WEEKDAY(B1697,2)&gt;5,"Weekend posting | ","")&amp;IF(COUNTIF(Settings!$A$14:$A$43,B1697)&gt;0,"Holiday posting | ","")&amp;IF(B1697&gt;Settings!$C$8,"Posted after close | ","")&amp;IF(OR(B1697&lt;Settings!$C$6,B1697&gt;Settings!$C$7),"Outside period | ","")&amp;IF(COUNTIF(Settings!$E$14:$E$43,C1697&amp;"")&gt;0,"Sensitive account | ","")&amp;IF(AND(MAX(N(E1697),N(F1697))&gt;=Settings!$C$9,MOD(MAX(N(E1697),N(F1697)),Settings!$C$10)=0),"Round amount | ","")="","",LEFT(IF(K1697="No","Does not balance | ","")&amp;IF(I1697="","Not approved | ",IF(UPPER(TRIM(H1697))=UPPER(TRIM(I1697)),"Self-approved | ",""))&amp;IF(J1697="","No support | ","")&amp;IF(WEEKDAY(B1697,2)&gt;5,"Weekend posting | ","")&amp;IF(COUNTIF(Settings!$A$14:$A$43,B1697)&gt;0,"Holiday posting | ","")&amp;IF(B1697&gt;Settings!$C$8,"Posted after close | ","")&amp;IF(OR(B1697&lt;Settings!$C$6,B1697&gt;Settings!$C$7),"Outside period | ","")&amp;IF(COUNTIF(Settings!$E$14:$E$43,C1697&amp;"")&gt;0,"Sensitive account | ","")&amp;IF(AND(MAX(N(E1697),N(F1697))&gt;=Settings!$C$9,MOD(MAX(N(E1697),N(F1697)),Settings!$C$10)=0),"Round amount | ",""),LEN(IF(K1697="No","Does not balance | ","")&amp;IF(I1697="","Not approved | ",IF(UPPER(TRIM(H1697))=UPPER(TRIM(I1697)),"Self-approved | ",""))&amp;IF(J1697="","No support | ","")&amp;IF(WEEKDAY(B1697,2)&gt;5,"Weekend posting | ","")&amp;IF(COUNTIF(Settings!$A$14:$A$43,B1697)&gt;0,"Holiday posting | ","")&amp;IF(B1697&gt;Settings!$C$8,"Posted after close | ","")&amp;IF(OR(B1697&lt;Settings!$C$6,B1697&gt;Settings!$C$7),"Outside period | ","")&amp;IF(COUNTIF(Settings!$E$14:$E$43,C1697&amp;"")&gt;0,"Sensitive account | ","")&amp;IF(AND(MAX(N(E1697),N(F1697))&gt;=Settings!$C$9,MOD(MAX(N(E1697),N(F1697)),Settings!$C$10)=0),"Round amount | ",""))-3)))</f>
        <v/>
      </c>
      <c r="M1697" s="21" t="str">
        <f aca="false">IF(A1697="","",IF(COUNTIF($A$9:A1697,A1697)=1,MAX($M$8:M1696)+1,""))</f>
        <v/>
      </c>
    </row>
    <row r="1698" customFormat="false" ht="15" hidden="false" customHeight="false" outlineLevel="0" collapsed="false">
      <c r="A1698" s="8"/>
      <c r="B1698" s="17"/>
      <c r="C1698" s="19"/>
      <c r="D1698" s="8"/>
      <c r="E1698" s="18"/>
      <c r="F1698" s="18"/>
      <c r="G1698" s="8"/>
      <c r="H1698" s="8"/>
      <c r="I1698" s="8"/>
      <c r="J1698" s="8"/>
      <c r="K1698" s="10" t="str">
        <f aca="false">IF(A1698="","",IF(ABS(SUMIFS($E$9:$E$2008,$A$9:$A$2008,A1698)-SUMIFS($F$9:$F$2008,$A$9:$A$2008,A1698))&lt;0.5,"Yes","No"))</f>
        <v/>
      </c>
      <c r="L1698" s="10" t="str">
        <f aca="false">IF(A1698="","",IF(IF(K1698="No","Does not balance | ","")&amp;IF(I1698="","Not approved | ",IF(UPPER(TRIM(H1698))=UPPER(TRIM(I1698)),"Self-approved | ",""))&amp;IF(J1698="","No support | ","")&amp;IF(WEEKDAY(B1698,2)&gt;5,"Weekend posting | ","")&amp;IF(COUNTIF(Settings!$A$14:$A$43,B1698)&gt;0,"Holiday posting | ","")&amp;IF(B1698&gt;Settings!$C$8,"Posted after close | ","")&amp;IF(OR(B1698&lt;Settings!$C$6,B1698&gt;Settings!$C$7),"Outside period | ","")&amp;IF(COUNTIF(Settings!$E$14:$E$43,C1698&amp;"")&gt;0,"Sensitive account | ","")&amp;IF(AND(MAX(N(E1698),N(F1698))&gt;=Settings!$C$9,MOD(MAX(N(E1698),N(F1698)),Settings!$C$10)=0),"Round amount | ","")="","",LEFT(IF(K1698="No","Does not balance | ","")&amp;IF(I1698="","Not approved | ",IF(UPPER(TRIM(H1698))=UPPER(TRIM(I1698)),"Self-approved | ",""))&amp;IF(J1698="","No support | ","")&amp;IF(WEEKDAY(B1698,2)&gt;5,"Weekend posting | ","")&amp;IF(COUNTIF(Settings!$A$14:$A$43,B1698)&gt;0,"Holiday posting | ","")&amp;IF(B1698&gt;Settings!$C$8,"Posted after close | ","")&amp;IF(OR(B1698&lt;Settings!$C$6,B1698&gt;Settings!$C$7),"Outside period | ","")&amp;IF(COUNTIF(Settings!$E$14:$E$43,C1698&amp;"")&gt;0,"Sensitive account | ","")&amp;IF(AND(MAX(N(E1698),N(F1698))&gt;=Settings!$C$9,MOD(MAX(N(E1698),N(F1698)),Settings!$C$10)=0),"Round amount | ",""),LEN(IF(K1698="No","Does not balance | ","")&amp;IF(I1698="","Not approved | ",IF(UPPER(TRIM(H1698))=UPPER(TRIM(I1698)),"Self-approved | ",""))&amp;IF(J1698="","No support | ","")&amp;IF(WEEKDAY(B1698,2)&gt;5,"Weekend posting | ","")&amp;IF(COUNTIF(Settings!$A$14:$A$43,B1698)&gt;0,"Holiday posting | ","")&amp;IF(B1698&gt;Settings!$C$8,"Posted after close | ","")&amp;IF(OR(B1698&lt;Settings!$C$6,B1698&gt;Settings!$C$7),"Outside period | ","")&amp;IF(COUNTIF(Settings!$E$14:$E$43,C1698&amp;"")&gt;0,"Sensitive account | ","")&amp;IF(AND(MAX(N(E1698),N(F1698))&gt;=Settings!$C$9,MOD(MAX(N(E1698),N(F1698)),Settings!$C$10)=0),"Round amount | ",""))-3)))</f>
        <v/>
      </c>
      <c r="M1698" s="21" t="str">
        <f aca="false">IF(A1698="","",IF(COUNTIF($A$9:A1698,A1698)=1,MAX($M$8:M1697)+1,""))</f>
        <v/>
      </c>
    </row>
    <row r="1699" customFormat="false" ht="15" hidden="false" customHeight="false" outlineLevel="0" collapsed="false">
      <c r="A1699" s="8"/>
      <c r="B1699" s="17"/>
      <c r="C1699" s="19"/>
      <c r="D1699" s="8"/>
      <c r="E1699" s="18"/>
      <c r="F1699" s="18"/>
      <c r="G1699" s="8"/>
      <c r="H1699" s="8"/>
      <c r="I1699" s="8"/>
      <c r="J1699" s="8"/>
      <c r="K1699" s="10" t="str">
        <f aca="false">IF(A1699="","",IF(ABS(SUMIFS($E$9:$E$2008,$A$9:$A$2008,A1699)-SUMIFS($F$9:$F$2008,$A$9:$A$2008,A1699))&lt;0.5,"Yes","No"))</f>
        <v/>
      </c>
      <c r="L1699" s="10" t="str">
        <f aca="false">IF(A1699="","",IF(IF(K1699="No","Does not balance | ","")&amp;IF(I1699="","Not approved | ",IF(UPPER(TRIM(H1699))=UPPER(TRIM(I1699)),"Self-approved | ",""))&amp;IF(J1699="","No support | ","")&amp;IF(WEEKDAY(B1699,2)&gt;5,"Weekend posting | ","")&amp;IF(COUNTIF(Settings!$A$14:$A$43,B1699)&gt;0,"Holiday posting | ","")&amp;IF(B1699&gt;Settings!$C$8,"Posted after close | ","")&amp;IF(OR(B1699&lt;Settings!$C$6,B1699&gt;Settings!$C$7),"Outside period | ","")&amp;IF(COUNTIF(Settings!$E$14:$E$43,C1699&amp;"")&gt;0,"Sensitive account | ","")&amp;IF(AND(MAX(N(E1699),N(F1699))&gt;=Settings!$C$9,MOD(MAX(N(E1699),N(F1699)),Settings!$C$10)=0),"Round amount | ","")="","",LEFT(IF(K1699="No","Does not balance | ","")&amp;IF(I1699="","Not approved | ",IF(UPPER(TRIM(H1699))=UPPER(TRIM(I1699)),"Self-approved | ",""))&amp;IF(J1699="","No support | ","")&amp;IF(WEEKDAY(B1699,2)&gt;5,"Weekend posting | ","")&amp;IF(COUNTIF(Settings!$A$14:$A$43,B1699)&gt;0,"Holiday posting | ","")&amp;IF(B1699&gt;Settings!$C$8,"Posted after close | ","")&amp;IF(OR(B1699&lt;Settings!$C$6,B1699&gt;Settings!$C$7),"Outside period | ","")&amp;IF(COUNTIF(Settings!$E$14:$E$43,C1699&amp;"")&gt;0,"Sensitive account | ","")&amp;IF(AND(MAX(N(E1699),N(F1699))&gt;=Settings!$C$9,MOD(MAX(N(E1699),N(F1699)),Settings!$C$10)=0),"Round amount | ",""),LEN(IF(K1699="No","Does not balance | ","")&amp;IF(I1699="","Not approved | ",IF(UPPER(TRIM(H1699))=UPPER(TRIM(I1699)),"Self-approved | ",""))&amp;IF(J1699="","No support | ","")&amp;IF(WEEKDAY(B1699,2)&gt;5,"Weekend posting | ","")&amp;IF(COUNTIF(Settings!$A$14:$A$43,B1699)&gt;0,"Holiday posting | ","")&amp;IF(B1699&gt;Settings!$C$8,"Posted after close | ","")&amp;IF(OR(B1699&lt;Settings!$C$6,B1699&gt;Settings!$C$7),"Outside period | ","")&amp;IF(COUNTIF(Settings!$E$14:$E$43,C1699&amp;"")&gt;0,"Sensitive account | ","")&amp;IF(AND(MAX(N(E1699),N(F1699))&gt;=Settings!$C$9,MOD(MAX(N(E1699),N(F1699)),Settings!$C$10)=0),"Round amount | ",""))-3)))</f>
        <v/>
      </c>
      <c r="M1699" s="21" t="str">
        <f aca="false">IF(A1699="","",IF(COUNTIF($A$9:A1699,A1699)=1,MAX($M$8:M1698)+1,""))</f>
        <v/>
      </c>
    </row>
    <row r="1700" customFormat="false" ht="15" hidden="false" customHeight="false" outlineLevel="0" collapsed="false">
      <c r="A1700" s="8"/>
      <c r="B1700" s="17"/>
      <c r="C1700" s="19"/>
      <c r="D1700" s="8"/>
      <c r="E1700" s="18"/>
      <c r="F1700" s="18"/>
      <c r="G1700" s="8"/>
      <c r="H1700" s="8"/>
      <c r="I1700" s="8"/>
      <c r="J1700" s="8"/>
      <c r="K1700" s="10" t="str">
        <f aca="false">IF(A1700="","",IF(ABS(SUMIFS($E$9:$E$2008,$A$9:$A$2008,A1700)-SUMIFS($F$9:$F$2008,$A$9:$A$2008,A1700))&lt;0.5,"Yes","No"))</f>
        <v/>
      </c>
      <c r="L1700" s="10" t="str">
        <f aca="false">IF(A1700="","",IF(IF(K1700="No","Does not balance | ","")&amp;IF(I1700="","Not approved | ",IF(UPPER(TRIM(H1700))=UPPER(TRIM(I1700)),"Self-approved | ",""))&amp;IF(J1700="","No support | ","")&amp;IF(WEEKDAY(B1700,2)&gt;5,"Weekend posting | ","")&amp;IF(COUNTIF(Settings!$A$14:$A$43,B1700)&gt;0,"Holiday posting | ","")&amp;IF(B1700&gt;Settings!$C$8,"Posted after close | ","")&amp;IF(OR(B1700&lt;Settings!$C$6,B1700&gt;Settings!$C$7),"Outside period | ","")&amp;IF(COUNTIF(Settings!$E$14:$E$43,C1700&amp;"")&gt;0,"Sensitive account | ","")&amp;IF(AND(MAX(N(E1700),N(F1700))&gt;=Settings!$C$9,MOD(MAX(N(E1700),N(F1700)),Settings!$C$10)=0),"Round amount | ","")="","",LEFT(IF(K1700="No","Does not balance | ","")&amp;IF(I1700="","Not approved | ",IF(UPPER(TRIM(H1700))=UPPER(TRIM(I1700)),"Self-approved | ",""))&amp;IF(J1700="","No support | ","")&amp;IF(WEEKDAY(B1700,2)&gt;5,"Weekend posting | ","")&amp;IF(COUNTIF(Settings!$A$14:$A$43,B1700)&gt;0,"Holiday posting | ","")&amp;IF(B1700&gt;Settings!$C$8,"Posted after close | ","")&amp;IF(OR(B1700&lt;Settings!$C$6,B1700&gt;Settings!$C$7),"Outside period | ","")&amp;IF(COUNTIF(Settings!$E$14:$E$43,C1700&amp;"")&gt;0,"Sensitive account | ","")&amp;IF(AND(MAX(N(E1700),N(F1700))&gt;=Settings!$C$9,MOD(MAX(N(E1700),N(F1700)),Settings!$C$10)=0),"Round amount | ",""),LEN(IF(K1700="No","Does not balance | ","")&amp;IF(I1700="","Not approved | ",IF(UPPER(TRIM(H1700))=UPPER(TRIM(I1700)),"Self-approved | ",""))&amp;IF(J1700="","No support | ","")&amp;IF(WEEKDAY(B1700,2)&gt;5,"Weekend posting | ","")&amp;IF(COUNTIF(Settings!$A$14:$A$43,B1700)&gt;0,"Holiday posting | ","")&amp;IF(B1700&gt;Settings!$C$8,"Posted after close | ","")&amp;IF(OR(B1700&lt;Settings!$C$6,B1700&gt;Settings!$C$7),"Outside period | ","")&amp;IF(COUNTIF(Settings!$E$14:$E$43,C1700&amp;"")&gt;0,"Sensitive account | ","")&amp;IF(AND(MAX(N(E1700),N(F1700))&gt;=Settings!$C$9,MOD(MAX(N(E1700),N(F1700)),Settings!$C$10)=0),"Round amount | ",""))-3)))</f>
        <v/>
      </c>
      <c r="M1700" s="21" t="str">
        <f aca="false">IF(A1700="","",IF(COUNTIF($A$9:A1700,A1700)=1,MAX($M$8:M1699)+1,""))</f>
        <v/>
      </c>
    </row>
    <row r="1701" customFormat="false" ht="15" hidden="false" customHeight="false" outlineLevel="0" collapsed="false">
      <c r="A1701" s="8"/>
      <c r="B1701" s="17"/>
      <c r="C1701" s="19"/>
      <c r="D1701" s="8"/>
      <c r="E1701" s="18"/>
      <c r="F1701" s="18"/>
      <c r="G1701" s="8"/>
      <c r="H1701" s="8"/>
      <c r="I1701" s="8"/>
      <c r="J1701" s="8"/>
      <c r="K1701" s="10" t="str">
        <f aca="false">IF(A1701="","",IF(ABS(SUMIFS($E$9:$E$2008,$A$9:$A$2008,A1701)-SUMIFS($F$9:$F$2008,$A$9:$A$2008,A1701))&lt;0.5,"Yes","No"))</f>
        <v/>
      </c>
      <c r="L1701" s="10" t="str">
        <f aca="false">IF(A1701="","",IF(IF(K1701="No","Does not balance | ","")&amp;IF(I1701="","Not approved | ",IF(UPPER(TRIM(H1701))=UPPER(TRIM(I1701)),"Self-approved | ",""))&amp;IF(J1701="","No support | ","")&amp;IF(WEEKDAY(B1701,2)&gt;5,"Weekend posting | ","")&amp;IF(COUNTIF(Settings!$A$14:$A$43,B1701)&gt;0,"Holiday posting | ","")&amp;IF(B1701&gt;Settings!$C$8,"Posted after close | ","")&amp;IF(OR(B1701&lt;Settings!$C$6,B1701&gt;Settings!$C$7),"Outside period | ","")&amp;IF(COUNTIF(Settings!$E$14:$E$43,C1701&amp;"")&gt;0,"Sensitive account | ","")&amp;IF(AND(MAX(N(E1701),N(F1701))&gt;=Settings!$C$9,MOD(MAX(N(E1701),N(F1701)),Settings!$C$10)=0),"Round amount | ","")="","",LEFT(IF(K1701="No","Does not balance | ","")&amp;IF(I1701="","Not approved | ",IF(UPPER(TRIM(H1701))=UPPER(TRIM(I1701)),"Self-approved | ",""))&amp;IF(J1701="","No support | ","")&amp;IF(WEEKDAY(B1701,2)&gt;5,"Weekend posting | ","")&amp;IF(COUNTIF(Settings!$A$14:$A$43,B1701)&gt;0,"Holiday posting | ","")&amp;IF(B1701&gt;Settings!$C$8,"Posted after close | ","")&amp;IF(OR(B1701&lt;Settings!$C$6,B1701&gt;Settings!$C$7),"Outside period | ","")&amp;IF(COUNTIF(Settings!$E$14:$E$43,C1701&amp;"")&gt;0,"Sensitive account | ","")&amp;IF(AND(MAX(N(E1701),N(F1701))&gt;=Settings!$C$9,MOD(MAX(N(E1701),N(F1701)),Settings!$C$10)=0),"Round amount | ",""),LEN(IF(K1701="No","Does not balance | ","")&amp;IF(I1701="","Not approved | ",IF(UPPER(TRIM(H1701))=UPPER(TRIM(I1701)),"Self-approved | ",""))&amp;IF(J1701="","No support | ","")&amp;IF(WEEKDAY(B1701,2)&gt;5,"Weekend posting | ","")&amp;IF(COUNTIF(Settings!$A$14:$A$43,B1701)&gt;0,"Holiday posting | ","")&amp;IF(B1701&gt;Settings!$C$8,"Posted after close | ","")&amp;IF(OR(B1701&lt;Settings!$C$6,B1701&gt;Settings!$C$7),"Outside period | ","")&amp;IF(COUNTIF(Settings!$E$14:$E$43,C1701&amp;"")&gt;0,"Sensitive account | ","")&amp;IF(AND(MAX(N(E1701),N(F1701))&gt;=Settings!$C$9,MOD(MAX(N(E1701),N(F1701)),Settings!$C$10)=0),"Round amount | ",""))-3)))</f>
        <v/>
      </c>
      <c r="M1701" s="21" t="str">
        <f aca="false">IF(A1701="","",IF(COUNTIF($A$9:A1701,A1701)=1,MAX($M$8:M1700)+1,""))</f>
        <v/>
      </c>
    </row>
    <row r="1702" customFormat="false" ht="15" hidden="false" customHeight="false" outlineLevel="0" collapsed="false">
      <c r="A1702" s="8"/>
      <c r="B1702" s="17"/>
      <c r="C1702" s="19"/>
      <c r="D1702" s="8"/>
      <c r="E1702" s="18"/>
      <c r="F1702" s="18"/>
      <c r="G1702" s="8"/>
      <c r="H1702" s="8"/>
      <c r="I1702" s="8"/>
      <c r="J1702" s="8"/>
      <c r="K1702" s="10" t="str">
        <f aca="false">IF(A1702="","",IF(ABS(SUMIFS($E$9:$E$2008,$A$9:$A$2008,A1702)-SUMIFS($F$9:$F$2008,$A$9:$A$2008,A1702))&lt;0.5,"Yes","No"))</f>
        <v/>
      </c>
      <c r="L1702" s="10" t="str">
        <f aca="false">IF(A1702="","",IF(IF(K1702="No","Does not balance | ","")&amp;IF(I1702="","Not approved | ",IF(UPPER(TRIM(H1702))=UPPER(TRIM(I1702)),"Self-approved | ",""))&amp;IF(J1702="","No support | ","")&amp;IF(WEEKDAY(B1702,2)&gt;5,"Weekend posting | ","")&amp;IF(COUNTIF(Settings!$A$14:$A$43,B1702)&gt;0,"Holiday posting | ","")&amp;IF(B1702&gt;Settings!$C$8,"Posted after close | ","")&amp;IF(OR(B1702&lt;Settings!$C$6,B1702&gt;Settings!$C$7),"Outside period | ","")&amp;IF(COUNTIF(Settings!$E$14:$E$43,C1702&amp;"")&gt;0,"Sensitive account | ","")&amp;IF(AND(MAX(N(E1702),N(F1702))&gt;=Settings!$C$9,MOD(MAX(N(E1702),N(F1702)),Settings!$C$10)=0),"Round amount | ","")="","",LEFT(IF(K1702="No","Does not balance | ","")&amp;IF(I1702="","Not approved | ",IF(UPPER(TRIM(H1702))=UPPER(TRIM(I1702)),"Self-approved | ",""))&amp;IF(J1702="","No support | ","")&amp;IF(WEEKDAY(B1702,2)&gt;5,"Weekend posting | ","")&amp;IF(COUNTIF(Settings!$A$14:$A$43,B1702)&gt;0,"Holiday posting | ","")&amp;IF(B1702&gt;Settings!$C$8,"Posted after close | ","")&amp;IF(OR(B1702&lt;Settings!$C$6,B1702&gt;Settings!$C$7),"Outside period | ","")&amp;IF(COUNTIF(Settings!$E$14:$E$43,C1702&amp;"")&gt;0,"Sensitive account | ","")&amp;IF(AND(MAX(N(E1702),N(F1702))&gt;=Settings!$C$9,MOD(MAX(N(E1702),N(F1702)),Settings!$C$10)=0),"Round amount | ",""),LEN(IF(K1702="No","Does not balance | ","")&amp;IF(I1702="","Not approved | ",IF(UPPER(TRIM(H1702))=UPPER(TRIM(I1702)),"Self-approved | ",""))&amp;IF(J1702="","No support | ","")&amp;IF(WEEKDAY(B1702,2)&gt;5,"Weekend posting | ","")&amp;IF(COUNTIF(Settings!$A$14:$A$43,B1702)&gt;0,"Holiday posting | ","")&amp;IF(B1702&gt;Settings!$C$8,"Posted after close | ","")&amp;IF(OR(B1702&lt;Settings!$C$6,B1702&gt;Settings!$C$7),"Outside period | ","")&amp;IF(COUNTIF(Settings!$E$14:$E$43,C1702&amp;"")&gt;0,"Sensitive account | ","")&amp;IF(AND(MAX(N(E1702),N(F1702))&gt;=Settings!$C$9,MOD(MAX(N(E1702),N(F1702)),Settings!$C$10)=0),"Round amount | ",""))-3)))</f>
        <v/>
      </c>
      <c r="M1702" s="21" t="str">
        <f aca="false">IF(A1702="","",IF(COUNTIF($A$9:A1702,A1702)=1,MAX($M$8:M1701)+1,""))</f>
        <v/>
      </c>
    </row>
    <row r="1703" customFormat="false" ht="15" hidden="false" customHeight="false" outlineLevel="0" collapsed="false">
      <c r="A1703" s="8"/>
      <c r="B1703" s="17"/>
      <c r="C1703" s="19"/>
      <c r="D1703" s="8"/>
      <c r="E1703" s="18"/>
      <c r="F1703" s="18"/>
      <c r="G1703" s="8"/>
      <c r="H1703" s="8"/>
      <c r="I1703" s="8"/>
      <c r="J1703" s="8"/>
      <c r="K1703" s="10" t="str">
        <f aca="false">IF(A1703="","",IF(ABS(SUMIFS($E$9:$E$2008,$A$9:$A$2008,A1703)-SUMIFS($F$9:$F$2008,$A$9:$A$2008,A1703))&lt;0.5,"Yes","No"))</f>
        <v/>
      </c>
      <c r="L1703" s="10" t="str">
        <f aca="false">IF(A1703="","",IF(IF(K1703="No","Does not balance | ","")&amp;IF(I1703="","Not approved | ",IF(UPPER(TRIM(H1703))=UPPER(TRIM(I1703)),"Self-approved | ",""))&amp;IF(J1703="","No support | ","")&amp;IF(WEEKDAY(B1703,2)&gt;5,"Weekend posting | ","")&amp;IF(COUNTIF(Settings!$A$14:$A$43,B1703)&gt;0,"Holiday posting | ","")&amp;IF(B1703&gt;Settings!$C$8,"Posted after close | ","")&amp;IF(OR(B1703&lt;Settings!$C$6,B1703&gt;Settings!$C$7),"Outside period | ","")&amp;IF(COUNTIF(Settings!$E$14:$E$43,C1703&amp;"")&gt;0,"Sensitive account | ","")&amp;IF(AND(MAX(N(E1703),N(F1703))&gt;=Settings!$C$9,MOD(MAX(N(E1703),N(F1703)),Settings!$C$10)=0),"Round amount | ","")="","",LEFT(IF(K1703="No","Does not balance | ","")&amp;IF(I1703="","Not approved | ",IF(UPPER(TRIM(H1703))=UPPER(TRIM(I1703)),"Self-approved | ",""))&amp;IF(J1703="","No support | ","")&amp;IF(WEEKDAY(B1703,2)&gt;5,"Weekend posting | ","")&amp;IF(COUNTIF(Settings!$A$14:$A$43,B1703)&gt;0,"Holiday posting | ","")&amp;IF(B1703&gt;Settings!$C$8,"Posted after close | ","")&amp;IF(OR(B1703&lt;Settings!$C$6,B1703&gt;Settings!$C$7),"Outside period | ","")&amp;IF(COUNTIF(Settings!$E$14:$E$43,C1703&amp;"")&gt;0,"Sensitive account | ","")&amp;IF(AND(MAX(N(E1703),N(F1703))&gt;=Settings!$C$9,MOD(MAX(N(E1703),N(F1703)),Settings!$C$10)=0),"Round amount | ",""),LEN(IF(K1703="No","Does not balance | ","")&amp;IF(I1703="","Not approved | ",IF(UPPER(TRIM(H1703))=UPPER(TRIM(I1703)),"Self-approved | ",""))&amp;IF(J1703="","No support | ","")&amp;IF(WEEKDAY(B1703,2)&gt;5,"Weekend posting | ","")&amp;IF(COUNTIF(Settings!$A$14:$A$43,B1703)&gt;0,"Holiday posting | ","")&amp;IF(B1703&gt;Settings!$C$8,"Posted after close | ","")&amp;IF(OR(B1703&lt;Settings!$C$6,B1703&gt;Settings!$C$7),"Outside period | ","")&amp;IF(COUNTIF(Settings!$E$14:$E$43,C1703&amp;"")&gt;0,"Sensitive account | ","")&amp;IF(AND(MAX(N(E1703),N(F1703))&gt;=Settings!$C$9,MOD(MAX(N(E1703),N(F1703)),Settings!$C$10)=0),"Round amount | ",""))-3)))</f>
        <v/>
      </c>
      <c r="M1703" s="21" t="str">
        <f aca="false">IF(A1703="","",IF(COUNTIF($A$9:A1703,A1703)=1,MAX($M$8:M1702)+1,""))</f>
        <v/>
      </c>
    </row>
    <row r="1704" customFormat="false" ht="15" hidden="false" customHeight="false" outlineLevel="0" collapsed="false">
      <c r="A1704" s="8"/>
      <c r="B1704" s="17"/>
      <c r="C1704" s="19"/>
      <c r="D1704" s="8"/>
      <c r="E1704" s="18"/>
      <c r="F1704" s="18"/>
      <c r="G1704" s="8"/>
      <c r="H1704" s="8"/>
      <c r="I1704" s="8"/>
      <c r="J1704" s="8"/>
      <c r="K1704" s="10" t="str">
        <f aca="false">IF(A1704="","",IF(ABS(SUMIFS($E$9:$E$2008,$A$9:$A$2008,A1704)-SUMIFS($F$9:$F$2008,$A$9:$A$2008,A1704))&lt;0.5,"Yes","No"))</f>
        <v/>
      </c>
      <c r="L1704" s="10" t="str">
        <f aca="false">IF(A1704="","",IF(IF(K1704="No","Does not balance | ","")&amp;IF(I1704="","Not approved | ",IF(UPPER(TRIM(H1704))=UPPER(TRIM(I1704)),"Self-approved | ",""))&amp;IF(J1704="","No support | ","")&amp;IF(WEEKDAY(B1704,2)&gt;5,"Weekend posting | ","")&amp;IF(COUNTIF(Settings!$A$14:$A$43,B1704)&gt;0,"Holiday posting | ","")&amp;IF(B1704&gt;Settings!$C$8,"Posted after close | ","")&amp;IF(OR(B1704&lt;Settings!$C$6,B1704&gt;Settings!$C$7),"Outside period | ","")&amp;IF(COUNTIF(Settings!$E$14:$E$43,C1704&amp;"")&gt;0,"Sensitive account | ","")&amp;IF(AND(MAX(N(E1704),N(F1704))&gt;=Settings!$C$9,MOD(MAX(N(E1704),N(F1704)),Settings!$C$10)=0),"Round amount | ","")="","",LEFT(IF(K1704="No","Does not balance | ","")&amp;IF(I1704="","Not approved | ",IF(UPPER(TRIM(H1704))=UPPER(TRIM(I1704)),"Self-approved | ",""))&amp;IF(J1704="","No support | ","")&amp;IF(WEEKDAY(B1704,2)&gt;5,"Weekend posting | ","")&amp;IF(COUNTIF(Settings!$A$14:$A$43,B1704)&gt;0,"Holiday posting | ","")&amp;IF(B1704&gt;Settings!$C$8,"Posted after close | ","")&amp;IF(OR(B1704&lt;Settings!$C$6,B1704&gt;Settings!$C$7),"Outside period | ","")&amp;IF(COUNTIF(Settings!$E$14:$E$43,C1704&amp;"")&gt;0,"Sensitive account | ","")&amp;IF(AND(MAX(N(E1704),N(F1704))&gt;=Settings!$C$9,MOD(MAX(N(E1704),N(F1704)),Settings!$C$10)=0),"Round amount | ",""),LEN(IF(K1704="No","Does not balance | ","")&amp;IF(I1704="","Not approved | ",IF(UPPER(TRIM(H1704))=UPPER(TRIM(I1704)),"Self-approved | ",""))&amp;IF(J1704="","No support | ","")&amp;IF(WEEKDAY(B1704,2)&gt;5,"Weekend posting | ","")&amp;IF(COUNTIF(Settings!$A$14:$A$43,B1704)&gt;0,"Holiday posting | ","")&amp;IF(B1704&gt;Settings!$C$8,"Posted after close | ","")&amp;IF(OR(B1704&lt;Settings!$C$6,B1704&gt;Settings!$C$7),"Outside period | ","")&amp;IF(COUNTIF(Settings!$E$14:$E$43,C1704&amp;"")&gt;0,"Sensitive account | ","")&amp;IF(AND(MAX(N(E1704),N(F1704))&gt;=Settings!$C$9,MOD(MAX(N(E1704),N(F1704)),Settings!$C$10)=0),"Round amount | ",""))-3)))</f>
        <v/>
      </c>
      <c r="M1704" s="21" t="str">
        <f aca="false">IF(A1704="","",IF(COUNTIF($A$9:A1704,A1704)=1,MAX($M$8:M1703)+1,""))</f>
        <v/>
      </c>
    </row>
    <row r="1705" customFormat="false" ht="15" hidden="false" customHeight="false" outlineLevel="0" collapsed="false">
      <c r="A1705" s="8"/>
      <c r="B1705" s="17"/>
      <c r="C1705" s="19"/>
      <c r="D1705" s="8"/>
      <c r="E1705" s="18"/>
      <c r="F1705" s="18"/>
      <c r="G1705" s="8"/>
      <c r="H1705" s="8"/>
      <c r="I1705" s="8"/>
      <c r="J1705" s="8"/>
      <c r="K1705" s="10" t="str">
        <f aca="false">IF(A1705="","",IF(ABS(SUMIFS($E$9:$E$2008,$A$9:$A$2008,A1705)-SUMIFS($F$9:$F$2008,$A$9:$A$2008,A1705))&lt;0.5,"Yes","No"))</f>
        <v/>
      </c>
      <c r="L1705" s="10" t="str">
        <f aca="false">IF(A1705="","",IF(IF(K1705="No","Does not balance | ","")&amp;IF(I1705="","Not approved | ",IF(UPPER(TRIM(H1705))=UPPER(TRIM(I1705)),"Self-approved | ",""))&amp;IF(J1705="","No support | ","")&amp;IF(WEEKDAY(B1705,2)&gt;5,"Weekend posting | ","")&amp;IF(COUNTIF(Settings!$A$14:$A$43,B1705)&gt;0,"Holiday posting | ","")&amp;IF(B1705&gt;Settings!$C$8,"Posted after close | ","")&amp;IF(OR(B1705&lt;Settings!$C$6,B1705&gt;Settings!$C$7),"Outside period | ","")&amp;IF(COUNTIF(Settings!$E$14:$E$43,C1705&amp;"")&gt;0,"Sensitive account | ","")&amp;IF(AND(MAX(N(E1705),N(F1705))&gt;=Settings!$C$9,MOD(MAX(N(E1705),N(F1705)),Settings!$C$10)=0),"Round amount | ","")="","",LEFT(IF(K1705="No","Does not balance | ","")&amp;IF(I1705="","Not approved | ",IF(UPPER(TRIM(H1705))=UPPER(TRIM(I1705)),"Self-approved | ",""))&amp;IF(J1705="","No support | ","")&amp;IF(WEEKDAY(B1705,2)&gt;5,"Weekend posting | ","")&amp;IF(COUNTIF(Settings!$A$14:$A$43,B1705)&gt;0,"Holiday posting | ","")&amp;IF(B1705&gt;Settings!$C$8,"Posted after close | ","")&amp;IF(OR(B1705&lt;Settings!$C$6,B1705&gt;Settings!$C$7),"Outside period | ","")&amp;IF(COUNTIF(Settings!$E$14:$E$43,C1705&amp;"")&gt;0,"Sensitive account | ","")&amp;IF(AND(MAX(N(E1705),N(F1705))&gt;=Settings!$C$9,MOD(MAX(N(E1705),N(F1705)),Settings!$C$10)=0),"Round amount | ",""),LEN(IF(K1705="No","Does not balance | ","")&amp;IF(I1705="","Not approved | ",IF(UPPER(TRIM(H1705))=UPPER(TRIM(I1705)),"Self-approved | ",""))&amp;IF(J1705="","No support | ","")&amp;IF(WEEKDAY(B1705,2)&gt;5,"Weekend posting | ","")&amp;IF(COUNTIF(Settings!$A$14:$A$43,B1705)&gt;0,"Holiday posting | ","")&amp;IF(B1705&gt;Settings!$C$8,"Posted after close | ","")&amp;IF(OR(B1705&lt;Settings!$C$6,B1705&gt;Settings!$C$7),"Outside period | ","")&amp;IF(COUNTIF(Settings!$E$14:$E$43,C1705&amp;"")&gt;0,"Sensitive account | ","")&amp;IF(AND(MAX(N(E1705),N(F1705))&gt;=Settings!$C$9,MOD(MAX(N(E1705),N(F1705)),Settings!$C$10)=0),"Round amount | ",""))-3)))</f>
        <v/>
      </c>
      <c r="M1705" s="21" t="str">
        <f aca="false">IF(A1705="","",IF(COUNTIF($A$9:A1705,A1705)=1,MAX($M$8:M1704)+1,""))</f>
        <v/>
      </c>
    </row>
    <row r="1706" customFormat="false" ht="15" hidden="false" customHeight="false" outlineLevel="0" collapsed="false">
      <c r="A1706" s="8"/>
      <c r="B1706" s="17"/>
      <c r="C1706" s="19"/>
      <c r="D1706" s="8"/>
      <c r="E1706" s="18"/>
      <c r="F1706" s="18"/>
      <c r="G1706" s="8"/>
      <c r="H1706" s="8"/>
      <c r="I1706" s="8"/>
      <c r="J1706" s="8"/>
      <c r="K1706" s="10" t="str">
        <f aca="false">IF(A1706="","",IF(ABS(SUMIFS($E$9:$E$2008,$A$9:$A$2008,A1706)-SUMIFS($F$9:$F$2008,$A$9:$A$2008,A1706))&lt;0.5,"Yes","No"))</f>
        <v/>
      </c>
      <c r="L1706" s="10" t="str">
        <f aca="false">IF(A1706="","",IF(IF(K1706="No","Does not balance | ","")&amp;IF(I1706="","Not approved | ",IF(UPPER(TRIM(H1706))=UPPER(TRIM(I1706)),"Self-approved | ",""))&amp;IF(J1706="","No support | ","")&amp;IF(WEEKDAY(B1706,2)&gt;5,"Weekend posting | ","")&amp;IF(COUNTIF(Settings!$A$14:$A$43,B1706)&gt;0,"Holiday posting | ","")&amp;IF(B1706&gt;Settings!$C$8,"Posted after close | ","")&amp;IF(OR(B1706&lt;Settings!$C$6,B1706&gt;Settings!$C$7),"Outside period | ","")&amp;IF(COUNTIF(Settings!$E$14:$E$43,C1706&amp;"")&gt;0,"Sensitive account | ","")&amp;IF(AND(MAX(N(E1706),N(F1706))&gt;=Settings!$C$9,MOD(MAX(N(E1706),N(F1706)),Settings!$C$10)=0),"Round amount | ","")="","",LEFT(IF(K1706="No","Does not balance | ","")&amp;IF(I1706="","Not approved | ",IF(UPPER(TRIM(H1706))=UPPER(TRIM(I1706)),"Self-approved | ",""))&amp;IF(J1706="","No support | ","")&amp;IF(WEEKDAY(B1706,2)&gt;5,"Weekend posting | ","")&amp;IF(COUNTIF(Settings!$A$14:$A$43,B1706)&gt;0,"Holiday posting | ","")&amp;IF(B1706&gt;Settings!$C$8,"Posted after close | ","")&amp;IF(OR(B1706&lt;Settings!$C$6,B1706&gt;Settings!$C$7),"Outside period | ","")&amp;IF(COUNTIF(Settings!$E$14:$E$43,C1706&amp;"")&gt;0,"Sensitive account | ","")&amp;IF(AND(MAX(N(E1706),N(F1706))&gt;=Settings!$C$9,MOD(MAX(N(E1706),N(F1706)),Settings!$C$10)=0),"Round amount | ",""),LEN(IF(K1706="No","Does not balance | ","")&amp;IF(I1706="","Not approved | ",IF(UPPER(TRIM(H1706))=UPPER(TRIM(I1706)),"Self-approved | ",""))&amp;IF(J1706="","No support | ","")&amp;IF(WEEKDAY(B1706,2)&gt;5,"Weekend posting | ","")&amp;IF(COUNTIF(Settings!$A$14:$A$43,B1706)&gt;0,"Holiday posting | ","")&amp;IF(B1706&gt;Settings!$C$8,"Posted after close | ","")&amp;IF(OR(B1706&lt;Settings!$C$6,B1706&gt;Settings!$C$7),"Outside period | ","")&amp;IF(COUNTIF(Settings!$E$14:$E$43,C1706&amp;"")&gt;0,"Sensitive account | ","")&amp;IF(AND(MAX(N(E1706),N(F1706))&gt;=Settings!$C$9,MOD(MAX(N(E1706),N(F1706)),Settings!$C$10)=0),"Round amount | ",""))-3)))</f>
        <v/>
      </c>
      <c r="M1706" s="21" t="str">
        <f aca="false">IF(A1706="","",IF(COUNTIF($A$9:A1706,A1706)=1,MAX($M$8:M1705)+1,""))</f>
        <v/>
      </c>
    </row>
    <row r="1707" customFormat="false" ht="15" hidden="false" customHeight="false" outlineLevel="0" collapsed="false">
      <c r="A1707" s="8"/>
      <c r="B1707" s="17"/>
      <c r="C1707" s="19"/>
      <c r="D1707" s="8"/>
      <c r="E1707" s="18"/>
      <c r="F1707" s="18"/>
      <c r="G1707" s="8"/>
      <c r="H1707" s="8"/>
      <c r="I1707" s="8"/>
      <c r="J1707" s="8"/>
      <c r="K1707" s="10" t="str">
        <f aca="false">IF(A1707="","",IF(ABS(SUMIFS($E$9:$E$2008,$A$9:$A$2008,A1707)-SUMIFS($F$9:$F$2008,$A$9:$A$2008,A1707))&lt;0.5,"Yes","No"))</f>
        <v/>
      </c>
      <c r="L1707" s="10" t="str">
        <f aca="false">IF(A1707="","",IF(IF(K1707="No","Does not balance | ","")&amp;IF(I1707="","Not approved | ",IF(UPPER(TRIM(H1707))=UPPER(TRIM(I1707)),"Self-approved | ",""))&amp;IF(J1707="","No support | ","")&amp;IF(WEEKDAY(B1707,2)&gt;5,"Weekend posting | ","")&amp;IF(COUNTIF(Settings!$A$14:$A$43,B1707)&gt;0,"Holiday posting | ","")&amp;IF(B1707&gt;Settings!$C$8,"Posted after close | ","")&amp;IF(OR(B1707&lt;Settings!$C$6,B1707&gt;Settings!$C$7),"Outside period | ","")&amp;IF(COUNTIF(Settings!$E$14:$E$43,C1707&amp;"")&gt;0,"Sensitive account | ","")&amp;IF(AND(MAX(N(E1707),N(F1707))&gt;=Settings!$C$9,MOD(MAX(N(E1707),N(F1707)),Settings!$C$10)=0),"Round amount | ","")="","",LEFT(IF(K1707="No","Does not balance | ","")&amp;IF(I1707="","Not approved | ",IF(UPPER(TRIM(H1707))=UPPER(TRIM(I1707)),"Self-approved | ",""))&amp;IF(J1707="","No support | ","")&amp;IF(WEEKDAY(B1707,2)&gt;5,"Weekend posting | ","")&amp;IF(COUNTIF(Settings!$A$14:$A$43,B1707)&gt;0,"Holiday posting | ","")&amp;IF(B1707&gt;Settings!$C$8,"Posted after close | ","")&amp;IF(OR(B1707&lt;Settings!$C$6,B1707&gt;Settings!$C$7),"Outside period | ","")&amp;IF(COUNTIF(Settings!$E$14:$E$43,C1707&amp;"")&gt;0,"Sensitive account | ","")&amp;IF(AND(MAX(N(E1707),N(F1707))&gt;=Settings!$C$9,MOD(MAX(N(E1707),N(F1707)),Settings!$C$10)=0),"Round amount | ",""),LEN(IF(K1707="No","Does not balance | ","")&amp;IF(I1707="","Not approved | ",IF(UPPER(TRIM(H1707))=UPPER(TRIM(I1707)),"Self-approved | ",""))&amp;IF(J1707="","No support | ","")&amp;IF(WEEKDAY(B1707,2)&gt;5,"Weekend posting | ","")&amp;IF(COUNTIF(Settings!$A$14:$A$43,B1707)&gt;0,"Holiday posting | ","")&amp;IF(B1707&gt;Settings!$C$8,"Posted after close | ","")&amp;IF(OR(B1707&lt;Settings!$C$6,B1707&gt;Settings!$C$7),"Outside period | ","")&amp;IF(COUNTIF(Settings!$E$14:$E$43,C1707&amp;"")&gt;0,"Sensitive account | ","")&amp;IF(AND(MAX(N(E1707),N(F1707))&gt;=Settings!$C$9,MOD(MAX(N(E1707),N(F1707)),Settings!$C$10)=0),"Round amount | ",""))-3)))</f>
        <v/>
      </c>
      <c r="M1707" s="21" t="str">
        <f aca="false">IF(A1707="","",IF(COUNTIF($A$9:A1707,A1707)=1,MAX($M$8:M1706)+1,""))</f>
        <v/>
      </c>
    </row>
    <row r="1708" customFormat="false" ht="15" hidden="false" customHeight="false" outlineLevel="0" collapsed="false">
      <c r="A1708" s="8"/>
      <c r="B1708" s="17"/>
      <c r="C1708" s="19"/>
      <c r="D1708" s="8"/>
      <c r="E1708" s="18"/>
      <c r="F1708" s="18"/>
      <c r="G1708" s="8"/>
      <c r="H1708" s="8"/>
      <c r="I1708" s="8"/>
      <c r="J1708" s="8"/>
      <c r="K1708" s="10" t="str">
        <f aca="false">IF(A1708="","",IF(ABS(SUMIFS($E$9:$E$2008,$A$9:$A$2008,A1708)-SUMIFS($F$9:$F$2008,$A$9:$A$2008,A1708))&lt;0.5,"Yes","No"))</f>
        <v/>
      </c>
      <c r="L1708" s="10" t="str">
        <f aca="false">IF(A1708="","",IF(IF(K1708="No","Does not balance | ","")&amp;IF(I1708="","Not approved | ",IF(UPPER(TRIM(H1708))=UPPER(TRIM(I1708)),"Self-approved | ",""))&amp;IF(J1708="","No support | ","")&amp;IF(WEEKDAY(B1708,2)&gt;5,"Weekend posting | ","")&amp;IF(COUNTIF(Settings!$A$14:$A$43,B1708)&gt;0,"Holiday posting | ","")&amp;IF(B1708&gt;Settings!$C$8,"Posted after close | ","")&amp;IF(OR(B1708&lt;Settings!$C$6,B1708&gt;Settings!$C$7),"Outside period | ","")&amp;IF(COUNTIF(Settings!$E$14:$E$43,C1708&amp;"")&gt;0,"Sensitive account | ","")&amp;IF(AND(MAX(N(E1708),N(F1708))&gt;=Settings!$C$9,MOD(MAX(N(E1708),N(F1708)),Settings!$C$10)=0),"Round amount | ","")="","",LEFT(IF(K1708="No","Does not balance | ","")&amp;IF(I1708="","Not approved | ",IF(UPPER(TRIM(H1708))=UPPER(TRIM(I1708)),"Self-approved | ",""))&amp;IF(J1708="","No support | ","")&amp;IF(WEEKDAY(B1708,2)&gt;5,"Weekend posting | ","")&amp;IF(COUNTIF(Settings!$A$14:$A$43,B1708)&gt;0,"Holiday posting | ","")&amp;IF(B1708&gt;Settings!$C$8,"Posted after close | ","")&amp;IF(OR(B1708&lt;Settings!$C$6,B1708&gt;Settings!$C$7),"Outside period | ","")&amp;IF(COUNTIF(Settings!$E$14:$E$43,C1708&amp;"")&gt;0,"Sensitive account | ","")&amp;IF(AND(MAX(N(E1708),N(F1708))&gt;=Settings!$C$9,MOD(MAX(N(E1708),N(F1708)),Settings!$C$10)=0),"Round amount | ",""),LEN(IF(K1708="No","Does not balance | ","")&amp;IF(I1708="","Not approved | ",IF(UPPER(TRIM(H1708))=UPPER(TRIM(I1708)),"Self-approved | ",""))&amp;IF(J1708="","No support | ","")&amp;IF(WEEKDAY(B1708,2)&gt;5,"Weekend posting | ","")&amp;IF(COUNTIF(Settings!$A$14:$A$43,B1708)&gt;0,"Holiday posting | ","")&amp;IF(B1708&gt;Settings!$C$8,"Posted after close | ","")&amp;IF(OR(B1708&lt;Settings!$C$6,B1708&gt;Settings!$C$7),"Outside period | ","")&amp;IF(COUNTIF(Settings!$E$14:$E$43,C1708&amp;"")&gt;0,"Sensitive account | ","")&amp;IF(AND(MAX(N(E1708),N(F1708))&gt;=Settings!$C$9,MOD(MAX(N(E1708),N(F1708)),Settings!$C$10)=0),"Round amount | ",""))-3)))</f>
        <v/>
      </c>
      <c r="M1708" s="21" t="str">
        <f aca="false">IF(A1708="","",IF(COUNTIF($A$9:A1708,A1708)=1,MAX($M$8:M1707)+1,""))</f>
        <v/>
      </c>
    </row>
    <row r="1709" customFormat="false" ht="15" hidden="false" customHeight="false" outlineLevel="0" collapsed="false">
      <c r="A1709" s="8"/>
      <c r="B1709" s="17"/>
      <c r="C1709" s="19"/>
      <c r="D1709" s="8"/>
      <c r="E1709" s="18"/>
      <c r="F1709" s="18"/>
      <c r="G1709" s="8"/>
      <c r="H1709" s="8"/>
      <c r="I1709" s="8"/>
      <c r="J1709" s="8"/>
      <c r="K1709" s="10" t="str">
        <f aca="false">IF(A1709="","",IF(ABS(SUMIFS($E$9:$E$2008,$A$9:$A$2008,A1709)-SUMIFS($F$9:$F$2008,$A$9:$A$2008,A1709))&lt;0.5,"Yes","No"))</f>
        <v/>
      </c>
      <c r="L1709" s="10" t="str">
        <f aca="false">IF(A1709="","",IF(IF(K1709="No","Does not balance | ","")&amp;IF(I1709="","Not approved | ",IF(UPPER(TRIM(H1709))=UPPER(TRIM(I1709)),"Self-approved | ",""))&amp;IF(J1709="","No support | ","")&amp;IF(WEEKDAY(B1709,2)&gt;5,"Weekend posting | ","")&amp;IF(COUNTIF(Settings!$A$14:$A$43,B1709)&gt;0,"Holiday posting | ","")&amp;IF(B1709&gt;Settings!$C$8,"Posted after close | ","")&amp;IF(OR(B1709&lt;Settings!$C$6,B1709&gt;Settings!$C$7),"Outside period | ","")&amp;IF(COUNTIF(Settings!$E$14:$E$43,C1709&amp;"")&gt;0,"Sensitive account | ","")&amp;IF(AND(MAX(N(E1709),N(F1709))&gt;=Settings!$C$9,MOD(MAX(N(E1709),N(F1709)),Settings!$C$10)=0),"Round amount | ","")="","",LEFT(IF(K1709="No","Does not balance | ","")&amp;IF(I1709="","Not approved | ",IF(UPPER(TRIM(H1709))=UPPER(TRIM(I1709)),"Self-approved | ",""))&amp;IF(J1709="","No support | ","")&amp;IF(WEEKDAY(B1709,2)&gt;5,"Weekend posting | ","")&amp;IF(COUNTIF(Settings!$A$14:$A$43,B1709)&gt;0,"Holiday posting | ","")&amp;IF(B1709&gt;Settings!$C$8,"Posted after close | ","")&amp;IF(OR(B1709&lt;Settings!$C$6,B1709&gt;Settings!$C$7),"Outside period | ","")&amp;IF(COUNTIF(Settings!$E$14:$E$43,C1709&amp;"")&gt;0,"Sensitive account | ","")&amp;IF(AND(MAX(N(E1709),N(F1709))&gt;=Settings!$C$9,MOD(MAX(N(E1709),N(F1709)),Settings!$C$10)=0),"Round amount | ",""),LEN(IF(K1709="No","Does not balance | ","")&amp;IF(I1709="","Not approved | ",IF(UPPER(TRIM(H1709))=UPPER(TRIM(I1709)),"Self-approved | ",""))&amp;IF(J1709="","No support | ","")&amp;IF(WEEKDAY(B1709,2)&gt;5,"Weekend posting | ","")&amp;IF(COUNTIF(Settings!$A$14:$A$43,B1709)&gt;0,"Holiday posting | ","")&amp;IF(B1709&gt;Settings!$C$8,"Posted after close | ","")&amp;IF(OR(B1709&lt;Settings!$C$6,B1709&gt;Settings!$C$7),"Outside period | ","")&amp;IF(COUNTIF(Settings!$E$14:$E$43,C1709&amp;"")&gt;0,"Sensitive account | ","")&amp;IF(AND(MAX(N(E1709),N(F1709))&gt;=Settings!$C$9,MOD(MAX(N(E1709),N(F1709)),Settings!$C$10)=0),"Round amount | ",""))-3)))</f>
        <v/>
      </c>
      <c r="M1709" s="21" t="str">
        <f aca="false">IF(A1709="","",IF(COUNTIF($A$9:A1709,A1709)=1,MAX($M$8:M1708)+1,""))</f>
        <v/>
      </c>
    </row>
    <row r="1710" customFormat="false" ht="15" hidden="false" customHeight="false" outlineLevel="0" collapsed="false">
      <c r="A1710" s="8"/>
      <c r="B1710" s="17"/>
      <c r="C1710" s="19"/>
      <c r="D1710" s="8"/>
      <c r="E1710" s="18"/>
      <c r="F1710" s="18"/>
      <c r="G1710" s="8"/>
      <c r="H1710" s="8"/>
      <c r="I1710" s="8"/>
      <c r="J1710" s="8"/>
      <c r="K1710" s="10" t="str">
        <f aca="false">IF(A1710="","",IF(ABS(SUMIFS($E$9:$E$2008,$A$9:$A$2008,A1710)-SUMIFS($F$9:$F$2008,$A$9:$A$2008,A1710))&lt;0.5,"Yes","No"))</f>
        <v/>
      </c>
      <c r="L1710" s="10" t="str">
        <f aca="false">IF(A1710="","",IF(IF(K1710="No","Does not balance | ","")&amp;IF(I1710="","Not approved | ",IF(UPPER(TRIM(H1710))=UPPER(TRIM(I1710)),"Self-approved | ",""))&amp;IF(J1710="","No support | ","")&amp;IF(WEEKDAY(B1710,2)&gt;5,"Weekend posting | ","")&amp;IF(COUNTIF(Settings!$A$14:$A$43,B1710)&gt;0,"Holiday posting | ","")&amp;IF(B1710&gt;Settings!$C$8,"Posted after close | ","")&amp;IF(OR(B1710&lt;Settings!$C$6,B1710&gt;Settings!$C$7),"Outside period | ","")&amp;IF(COUNTIF(Settings!$E$14:$E$43,C1710&amp;"")&gt;0,"Sensitive account | ","")&amp;IF(AND(MAX(N(E1710),N(F1710))&gt;=Settings!$C$9,MOD(MAX(N(E1710),N(F1710)),Settings!$C$10)=0),"Round amount | ","")="","",LEFT(IF(K1710="No","Does not balance | ","")&amp;IF(I1710="","Not approved | ",IF(UPPER(TRIM(H1710))=UPPER(TRIM(I1710)),"Self-approved | ",""))&amp;IF(J1710="","No support | ","")&amp;IF(WEEKDAY(B1710,2)&gt;5,"Weekend posting | ","")&amp;IF(COUNTIF(Settings!$A$14:$A$43,B1710)&gt;0,"Holiday posting | ","")&amp;IF(B1710&gt;Settings!$C$8,"Posted after close | ","")&amp;IF(OR(B1710&lt;Settings!$C$6,B1710&gt;Settings!$C$7),"Outside period | ","")&amp;IF(COUNTIF(Settings!$E$14:$E$43,C1710&amp;"")&gt;0,"Sensitive account | ","")&amp;IF(AND(MAX(N(E1710),N(F1710))&gt;=Settings!$C$9,MOD(MAX(N(E1710),N(F1710)),Settings!$C$10)=0),"Round amount | ",""),LEN(IF(K1710="No","Does not balance | ","")&amp;IF(I1710="","Not approved | ",IF(UPPER(TRIM(H1710))=UPPER(TRIM(I1710)),"Self-approved | ",""))&amp;IF(J1710="","No support | ","")&amp;IF(WEEKDAY(B1710,2)&gt;5,"Weekend posting | ","")&amp;IF(COUNTIF(Settings!$A$14:$A$43,B1710)&gt;0,"Holiday posting | ","")&amp;IF(B1710&gt;Settings!$C$8,"Posted after close | ","")&amp;IF(OR(B1710&lt;Settings!$C$6,B1710&gt;Settings!$C$7),"Outside period | ","")&amp;IF(COUNTIF(Settings!$E$14:$E$43,C1710&amp;"")&gt;0,"Sensitive account | ","")&amp;IF(AND(MAX(N(E1710),N(F1710))&gt;=Settings!$C$9,MOD(MAX(N(E1710),N(F1710)),Settings!$C$10)=0),"Round amount | ",""))-3)))</f>
        <v/>
      </c>
      <c r="M1710" s="21" t="str">
        <f aca="false">IF(A1710="","",IF(COUNTIF($A$9:A1710,A1710)=1,MAX($M$8:M1709)+1,""))</f>
        <v/>
      </c>
    </row>
    <row r="1711" customFormat="false" ht="15" hidden="false" customHeight="false" outlineLevel="0" collapsed="false">
      <c r="A1711" s="8"/>
      <c r="B1711" s="17"/>
      <c r="C1711" s="19"/>
      <c r="D1711" s="8"/>
      <c r="E1711" s="18"/>
      <c r="F1711" s="18"/>
      <c r="G1711" s="8"/>
      <c r="H1711" s="8"/>
      <c r="I1711" s="8"/>
      <c r="J1711" s="8"/>
      <c r="K1711" s="10" t="str">
        <f aca="false">IF(A1711="","",IF(ABS(SUMIFS($E$9:$E$2008,$A$9:$A$2008,A1711)-SUMIFS($F$9:$F$2008,$A$9:$A$2008,A1711))&lt;0.5,"Yes","No"))</f>
        <v/>
      </c>
      <c r="L1711" s="10" t="str">
        <f aca="false">IF(A1711="","",IF(IF(K1711="No","Does not balance | ","")&amp;IF(I1711="","Not approved | ",IF(UPPER(TRIM(H1711))=UPPER(TRIM(I1711)),"Self-approved | ",""))&amp;IF(J1711="","No support | ","")&amp;IF(WEEKDAY(B1711,2)&gt;5,"Weekend posting | ","")&amp;IF(COUNTIF(Settings!$A$14:$A$43,B1711)&gt;0,"Holiday posting | ","")&amp;IF(B1711&gt;Settings!$C$8,"Posted after close | ","")&amp;IF(OR(B1711&lt;Settings!$C$6,B1711&gt;Settings!$C$7),"Outside period | ","")&amp;IF(COUNTIF(Settings!$E$14:$E$43,C1711&amp;"")&gt;0,"Sensitive account | ","")&amp;IF(AND(MAX(N(E1711),N(F1711))&gt;=Settings!$C$9,MOD(MAX(N(E1711),N(F1711)),Settings!$C$10)=0),"Round amount | ","")="","",LEFT(IF(K1711="No","Does not balance | ","")&amp;IF(I1711="","Not approved | ",IF(UPPER(TRIM(H1711))=UPPER(TRIM(I1711)),"Self-approved | ",""))&amp;IF(J1711="","No support | ","")&amp;IF(WEEKDAY(B1711,2)&gt;5,"Weekend posting | ","")&amp;IF(COUNTIF(Settings!$A$14:$A$43,B1711)&gt;0,"Holiday posting | ","")&amp;IF(B1711&gt;Settings!$C$8,"Posted after close | ","")&amp;IF(OR(B1711&lt;Settings!$C$6,B1711&gt;Settings!$C$7),"Outside period | ","")&amp;IF(COUNTIF(Settings!$E$14:$E$43,C1711&amp;"")&gt;0,"Sensitive account | ","")&amp;IF(AND(MAX(N(E1711),N(F1711))&gt;=Settings!$C$9,MOD(MAX(N(E1711),N(F1711)),Settings!$C$10)=0),"Round amount | ",""),LEN(IF(K1711="No","Does not balance | ","")&amp;IF(I1711="","Not approved | ",IF(UPPER(TRIM(H1711))=UPPER(TRIM(I1711)),"Self-approved | ",""))&amp;IF(J1711="","No support | ","")&amp;IF(WEEKDAY(B1711,2)&gt;5,"Weekend posting | ","")&amp;IF(COUNTIF(Settings!$A$14:$A$43,B1711)&gt;0,"Holiday posting | ","")&amp;IF(B1711&gt;Settings!$C$8,"Posted after close | ","")&amp;IF(OR(B1711&lt;Settings!$C$6,B1711&gt;Settings!$C$7),"Outside period | ","")&amp;IF(COUNTIF(Settings!$E$14:$E$43,C1711&amp;"")&gt;0,"Sensitive account | ","")&amp;IF(AND(MAX(N(E1711),N(F1711))&gt;=Settings!$C$9,MOD(MAX(N(E1711),N(F1711)),Settings!$C$10)=0),"Round amount | ",""))-3)))</f>
        <v/>
      </c>
      <c r="M1711" s="21" t="str">
        <f aca="false">IF(A1711="","",IF(COUNTIF($A$9:A1711,A1711)=1,MAX($M$8:M1710)+1,""))</f>
        <v/>
      </c>
    </row>
    <row r="1712" customFormat="false" ht="15" hidden="false" customHeight="false" outlineLevel="0" collapsed="false">
      <c r="A1712" s="8"/>
      <c r="B1712" s="17"/>
      <c r="C1712" s="19"/>
      <c r="D1712" s="8"/>
      <c r="E1712" s="18"/>
      <c r="F1712" s="18"/>
      <c r="G1712" s="8"/>
      <c r="H1712" s="8"/>
      <c r="I1712" s="8"/>
      <c r="J1712" s="8"/>
      <c r="K1712" s="10" t="str">
        <f aca="false">IF(A1712="","",IF(ABS(SUMIFS($E$9:$E$2008,$A$9:$A$2008,A1712)-SUMIFS($F$9:$F$2008,$A$9:$A$2008,A1712))&lt;0.5,"Yes","No"))</f>
        <v/>
      </c>
      <c r="L1712" s="10" t="str">
        <f aca="false">IF(A1712="","",IF(IF(K1712="No","Does not balance | ","")&amp;IF(I1712="","Not approved | ",IF(UPPER(TRIM(H1712))=UPPER(TRIM(I1712)),"Self-approved | ",""))&amp;IF(J1712="","No support | ","")&amp;IF(WEEKDAY(B1712,2)&gt;5,"Weekend posting | ","")&amp;IF(COUNTIF(Settings!$A$14:$A$43,B1712)&gt;0,"Holiday posting | ","")&amp;IF(B1712&gt;Settings!$C$8,"Posted after close | ","")&amp;IF(OR(B1712&lt;Settings!$C$6,B1712&gt;Settings!$C$7),"Outside period | ","")&amp;IF(COUNTIF(Settings!$E$14:$E$43,C1712&amp;"")&gt;0,"Sensitive account | ","")&amp;IF(AND(MAX(N(E1712),N(F1712))&gt;=Settings!$C$9,MOD(MAX(N(E1712),N(F1712)),Settings!$C$10)=0),"Round amount | ","")="","",LEFT(IF(K1712="No","Does not balance | ","")&amp;IF(I1712="","Not approved | ",IF(UPPER(TRIM(H1712))=UPPER(TRIM(I1712)),"Self-approved | ",""))&amp;IF(J1712="","No support | ","")&amp;IF(WEEKDAY(B1712,2)&gt;5,"Weekend posting | ","")&amp;IF(COUNTIF(Settings!$A$14:$A$43,B1712)&gt;0,"Holiday posting | ","")&amp;IF(B1712&gt;Settings!$C$8,"Posted after close | ","")&amp;IF(OR(B1712&lt;Settings!$C$6,B1712&gt;Settings!$C$7),"Outside period | ","")&amp;IF(COUNTIF(Settings!$E$14:$E$43,C1712&amp;"")&gt;0,"Sensitive account | ","")&amp;IF(AND(MAX(N(E1712),N(F1712))&gt;=Settings!$C$9,MOD(MAX(N(E1712),N(F1712)),Settings!$C$10)=0),"Round amount | ",""),LEN(IF(K1712="No","Does not balance | ","")&amp;IF(I1712="","Not approved | ",IF(UPPER(TRIM(H1712))=UPPER(TRIM(I1712)),"Self-approved | ",""))&amp;IF(J1712="","No support | ","")&amp;IF(WEEKDAY(B1712,2)&gt;5,"Weekend posting | ","")&amp;IF(COUNTIF(Settings!$A$14:$A$43,B1712)&gt;0,"Holiday posting | ","")&amp;IF(B1712&gt;Settings!$C$8,"Posted after close | ","")&amp;IF(OR(B1712&lt;Settings!$C$6,B1712&gt;Settings!$C$7),"Outside period | ","")&amp;IF(COUNTIF(Settings!$E$14:$E$43,C1712&amp;"")&gt;0,"Sensitive account | ","")&amp;IF(AND(MAX(N(E1712),N(F1712))&gt;=Settings!$C$9,MOD(MAX(N(E1712),N(F1712)),Settings!$C$10)=0),"Round amount | ",""))-3)))</f>
        <v/>
      </c>
      <c r="M1712" s="21" t="str">
        <f aca="false">IF(A1712="","",IF(COUNTIF($A$9:A1712,A1712)=1,MAX($M$8:M1711)+1,""))</f>
        <v/>
      </c>
    </row>
    <row r="1713" customFormat="false" ht="15" hidden="false" customHeight="false" outlineLevel="0" collapsed="false">
      <c r="A1713" s="8"/>
      <c r="B1713" s="17"/>
      <c r="C1713" s="19"/>
      <c r="D1713" s="8"/>
      <c r="E1713" s="18"/>
      <c r="F1713" s="18"/>
      <c r="G1713" s="8"/>
      <c r="H1713" s="8"/>
      <c r="I1713" s="8"/>
      <c r="J1713" s="8"/>
      <c r="K1713" s="10" t="str">
        <f aca="false">IF(A1713="","",IF(ABS(SUMIFS($E$9:$E$2008,$A$9:$A$2008,A1713)-SUMIFS($F$9:$F$2008,$A$9:$A$2008,A1713))&lt;0.5,"Yes","No"))</f>
        <v/>
      </c>
      <c r="L1713" s="10" t="str">
        <f aca="false">IF(A1713="","",IF(IF(K1713="No","Does not balance | ","")&amp;IF(I1713="","Not approved | ",IF(UPPER(TRIM(H1713))=UPPER(TRIM(I1713)),"Self-approved | ",""))&amp;IF(J1713="","No support | ","")&amp;IF(WEEKDAY(B1713,2)&gt;5,"Weekend posting | ","")&amp;IF(COUNTIF(Settings!$A$14:$A$43,B1713)&gt;0,"Holiday posting | ","")&amp;IF(B1713&gt;Settings!$C$8,"Posted after close | ","")&amp;IF(OR(B1713&lt;Settings!$C$6,B1713&gt;Settings!$C$7),"Outside period | ","")&amp;IF(COUNTIF(Settings!$E$14:$E$43,C1713&amp;"")&gt;0,"Sensitive account | ","")&amp;IF(AND(MAX(N(E1713),N(F1713))&gt;=Settings!$C$9,MOD(MAX(N(E1713),N(F1713)),Settings!$C$10)=0),"Round amount | ","")="","",LEFT(IF(K1713="No","Does not balance | ","")&amp;IF(I1713="","Not approved | ",IF(UPPER(TRIM(H1713))=UPPER(TRIM(I1713)),"Self-approved | ",""))&amp;IF(J1713="","No support | ","")&amp;IF(WEEKDAY(B1713,2)&gt;5,"Weekend posting | ","")&amp;IF(COUNTIF(Settings!$A$14:$A$43,B1713)&gt;0,"Holiday posting | ","")&amp;IF(B1713&gt;Settings!$C$8,"Posted after close | ","")&amp;IF(OR(B1713&lt;Settings!$C$6,B1713&gt;Settings!$C$7),"Outside period | ","")&amp;IF(COUNTIF(Settings!$E$14:$E$43,C1713&amp;"")&gt;0,"Sensitive account | ","")&amp;IF(AND(MAX(N(E1713),N(F1713))&gt;=Settings!$C$9,MOD(MAX(N(E1713),N(F1713)),Settings!$C$10)=0),"Round amount | ",""),LEN(IF(K1713="No","Does not balance | ","")&amp;IF(I1713="","Not approved | ",IF(UPPER(TRIM(H1713))=UPPER(TRIM(I1713)),"Self-approved | ",""))&amp;IF(J1713="","No support | ","")&amp;IF(WEEKDAY(B1713,2)&gt;5,"Weekend posting | ","")&amp;IF(COUNTIF(Settings!$A$14:$A$43,B1713)&gt;0,"Holiday posting | ","")&amp;IF(B1713&gt;Settings!$C$8,"Posted after close | ","")&amp;IF(OR(B1713&lt;Settings!$C$6,B1713&gt;Settings!$C$7),"Outside period | ","")&amp;IF(COUNTIF(Settings!$E$14:$E$43,C1713&amp;"")&gt;0,"Sensitive account | ","")&amp;IF(AND(MAX(N(E1713),N(F1713))&gt;=Settings!$C$9,MOD(MAX(N(E1713),N(F1713)),Settings!$C$10)=0),"Round amount | ",""))-3)))</f>
        <v/>
      </c>
      <c r="M1713" s="21" t="str">
        <f aca="false">IF(A1713="","",IF(COUNTIF($A$9:A1713,A1713)=1,MAX($M$8:M1712)+1,""))</f>
        <v/>
      </c>
    </row>
    <row r="1714" customFormat="false" ht="15" hidden="false" customHeight="false" outlineLevel="0" collapsed="false">
      <c r="A1714" s="8"/>
      <c r="B1714" s="17"/>
      <c r="C1714" s="19"/>
      <c r="D1714" s="8"/>
      <c r="E1714" s="18"/>
      <c r="F1714" s="18"/>
      <c r="G1714" s="8"/>
      <c r="H1714" s="8"/>
      <c r="I1714" s="8"/>
      <c r="J1714" s="8"/>
      <c r="K1714" s="10" t="str">
        <f aca="false">IF(A1714="","",IF(ABS(SUMIFS($E$9:$E$2008,$A$9:$A$2008,A1714)-SUMIFS($F$9:$F$2008,$A$9:$A$2008,A1714))&lt;0.5,"Yes","No"))</f>
        <v/>
      </c>
      <c r="L1714" s="10" t="str">
        <f aca="false">IF(A1714="","",IF(IF(K1714="No","Does not balance | ","")&amp;IF(I1714="","Not approved | ",IF(UPPER(TRIM(H1714))=UPPER(TRIM(I1714)),"Self-approved | ",""))&amp;IF(J1714="","No support | ","")&amp;IF(WEEKDAY(B1714,2)&gt;5,"Weekend posting | ","")&amp;IF(COUNTIF(Settings!$A$14:$A$43,B1714)&gt;0,"Holiday posting | ","")&amp;IF(B1714&gt;Settings!$C$8,"Posted after close | ","")&amp;IF(OR(B1714&lt;Settings!$C$6,B1714&gt;Settings!$C$7),"Outside period | ","")&amp;IF(COUNTIF(Settings!$E$14:$E$43,C1714&amp;"")&gt;0,"Sensitive account | ","")&amp;IF(AND(MAX(N(E1714),N(F1714))&gt;=Settings!$C$9,MOD(MAX(N(E1714),N(F1714)),Settings!$C$10)=0),"Round amount | ","")="","",LEFT(IF(K1714="No","Does not balance | ","")&amp;IF(I1714="","Not approved | ",IF(UPPER(TRIM(H1714))=UPPER(TRIM(I1714)),"Self-approved | ",""))&amp;IF(J1714="","No support | ","")&amp;IF(WEEKDAY(B1714,2)&gt;5,"Weekend posting | ","")&amp;IF(COUNTIF(Settings!$A$14:$A$43,B1714)&gt;0,"Holiday posting | ","")&amp;IF(B1714&gt;Settings!$C$8,"Posted after close | ","")&amp;IF(OR(B1714&lt;Settings!$C$6,B1714&gt;Settings!$C$7),"Outside period | ","")&amp;IF(COUNTIF(Settings!$E$14:$E$43,C1714&amp;"")&gt;0,"Sensitive account | ","")&amp;IF(AND(MAX(N(E1714),N(F1714))&gt;=Settings!$C$9,MOD(MAX(N(E1714),N(F1714)),Settings!$C$10)=0),"Round amount | ",""),LEN(IF(K1714="No","Does not balance | ","")&amp;IF(I1714="","Not approved | ",IF(UPPER(TRIM(H1714))=UPPER(TRIM(I1714)),"Self-approved | ",""))&amp;IF(J1714="","No support | ","")&amp;IF(WEEKDAY(B1714,2)&gt;5,"Weekend posting | ","")&amp;IF(COUNTIF(Settings!$A$14:$A$43,B1714)&gt;0,"Holiday posting | ","")&amp;IF(B1714&gt;Settings!$C$8,"Posted after close | ","")&amp;IF(OR(B1714&lt;Settings!$C$6,B1714&gt;Settings!$C$7),"Outside period | ","")&amp;IF(COUNTIF(Settings!$E$14:$E$43,C1714&amp;"")&gt;0,"Sensitive account | ","")&amp;IF(AND(MAX(N(E1714),N(F1714))&gt;=Settings!$C$9,MOD(MAX(N(E1714),N(F1714)),Settings!$C$10)=0),"Round amount | ",""))-3)))</f>
        <v/>
      </c>
      <c r="M1714" s="21" t="str">
        <f aca="false">IF(A1714="","",IF(COUNTIF($A$9:A1714,A1714)=1,MAX($M$8:M1713)+1,""))</f>
        <v/>
      </c>
    </row>
    <row r="1715" customFormat="false" ht="15" hidden="false" customHeight="false" outlineLevel="0" collapsed="false">
      <c r="A1715" s="8"/>
      <c r="B1715" s="17"/>
      <c r="C1715" s="19"/>
      <c r="D1715" s="8"/>
      <c r="E1715" s="18"/>
      <c r="F1715" s="18"/>
      <c r="G1715" s="8"/>
      <c r="H1715" s="8"/>
      <c r="I1715" s="8"/>
      <c r="J1715" s="8"/>
      <c r="K1715" s="10" t="str">
        <f aca="false">IF(A1715="","",IF(ABS(SUMIFS($E$9:$E$2008,$A$9:$A$2008,A1715)-SUMIFS($F$9:$F$2008,$A$9:$A$2008,A1715))&lt;0.5,"Yes","No"))</f>
        <v/>
      </c>
      <c r="L1715" s="10" t="str">
        <f aca="false">IF(A1715="","",IF(IF(K1715="No","Does not balance | ","")&amp;IF(I1715="","Not approved | ",IF(UPPER(TRIM(H1715))=UPPER(TRIM(I1715)),"Self-approved | ",""))&amp;IF(J1715="","No support | ","")&amp;IF(WEEKDAY(B1715,2)&gt;5,"Weekend posting | ","")&amp;IF(COUNTIF(Settings!$A$14:$A$43,B1715)&gt;0,"Holiday posting | ","")&amp;IF(B1715&gt;Settings!$C$8,"Posted after close | ","")&amp;IF(OR(B1715&lt;Settings!$C$6,B1715&gt;Settings!$C$7),"Outside period | ","")&amp;IF(COUNTIF(Settings!$E$14:$E$43,C1715&amp;"")&gt;0,"Sensitive account | ","")&amp;IF(AND(MAX(N(E1715),N(F1715))&gt;=Settings!$C$9,MOD(MAX(N(E1715),N(F1715)),Settings!$C$10)=0),"Round amount | ","")="","",LEFT(IF(K1715="No","Does not balance | ","")&amp;IF(I1715="","Not approved | ",IF(UPPER(TRIM(H1715))=UPPER(TRIM(I1715)),"Self-approved | ",""))&amp;IF(J1715="","No support | ","")&amp;IF(WEEKDAY(B1715,2)&gt;5,"Weekend posting | ","")&amp;IF(COUNTIF(Settings!$A$14:$A$43,B1715)&gt;0,"Holiday posting | ","")&amp;IF(B1715&gt;Settings!$C$8,"Posted after close | ","")&amp;IF(OR(B1715&lt;Settings!$C$6,B1715&gt;Settings!$C$7),"Outside period | ","")&amp;IF(COUNTIF(Settings!$E$14:$E$43,C1715&amp;"")&gt;0,"Sensitive account | ","")&amp;IF(AND(MAX(N(E1715),N(F1715))&gt;=Settings!$C$9,MOD(MAX(N(E1715),N(F1715)),Settings!$C$10)=0),"Round amount | ",""),LEN(IF(K1715="No","Does not balance | ","")&amp;IF(I1715="","Not approved | ",IF(UPPER(TRIM(H1715))=UPPER(TRIM(I1715)),"Self-approved | ",""))&amp;IF(J1715="","No support | ","")&amp;IF(WEEKDAY(B1715,2)&gt;5,"Weekend posting | ","")&amp;IF(COUNTIF(Settings!$A$14:$A$43,B1715)&gt;0,"Holiday posting | ","")&amp;IF(B1715&gt;Settings!$C$8,"Posted after close | ","")&amp;IF(OR(B1715&lt;Settings!$C$6,B1715&gt;Settings!$C$7),"Outside period | ","")&amp;IF(COUNTIF(Settings!$E$14:$E$43,C1715&amp;"")&gt;0,"Sensitive account | ","")&amp;IF(AND(MAX(N(E1715),N(F1715))&gt;=Settings!$C$9,MOD(MAX(N(E1715),N(F1715)),Settings!$C$10)=0),"Round amount | ",""))-3)))</f>
        <v/>
      </c>
      <c r="M1715" s="21" t="str">
        <f aca="false">IF(A1715="","",IF(COUNTIF($A$9:A1715,A1715)=1,MAX($M$8:M1714)+1,""))</f>
        <v/>
      </c>
    </row>
    <row r="1716" customFormat="false" ht="15" hidden="false" customHeight="false" outlineLevel="0" collapsed="false">
      <c r="A1716" s="8"/>
      <c r="B1716" s="17"/>
      <c r="C1716" s="19"/>
      <c r="D1716" s="8"/>
      <c r="E1716" s="18"/>
      <c r="F1716" s="18"/>
      <c r="G1716" s="8"/>
      <c r="H1716" s="8"/>
      <c r="I1716" s="8"/>
      <c r="J1716" s="8"/>
      <c r="K1716" s="10" t="str">
        <f aca="false">IF(A1716="","",IF(ABS(SUMIFS($E$9:$E$2008,$A$9:$A$2008,A1716)-SUMIFS($F$9:$F$2008,$A$9:$A$2008,A1716))&lt;0.5,"Yes","No"))</f>
        <v/>
      </c>
      <c r="L1716" s="10" t="str">
        <f aca="false">IF(A1716="","",IF(IF(K1716="No","Does not balance | ","")&amp;IF(I1716="","Not approved | ",IF(UPPER(TRIM(H1716))=UPPER(TRIM(I1716)),"Self-approved | ",""))&amp;IF(J1716="","No support | ","")&amp;IF(WEEKDAY(B1716,2)&gt;5,"Weekend posting | ","")&amp;IF(COUNTIF(Settings!$A$14:$A$43,B1716)&gt;0,"Holiday posting | ","")&amp;IF(B1716&gt;Settings!$C$8,"Posted after close | ","")&amp;IF(OR(B1716&lt;Settings!$C$6,B1716&gt;Settings!$C$7),"Outside period | ","")&amp;IF(COUNTIF(Settings!$E$14:$E$43,C1716&amp;"")&gt;0,"Sensitive account | ","")&amp;IF(AND(MAX(N(E1716),N(F1716))&gt;=Settings!$C$9,MOD(MAX(N(E1716),N(F1716)),Settings!$C$10)=0),"Round amount | ","")="","",LEFT(IF(K1716="No","Does not balance | ","")&amp;IF(I1716="","Not approved | ",IF(UPPER(TRIM(H1716))=UPPER(TRIM(I1716)),"Self-approved | ",""))&amp;IF(J1716="","No support | ","")&amp;IF(WEEKDAY(B1716,2)&gt;5,"Weekend posting | ","")&amp;IF(COUNTIF(Settings!$A$14:$A$43,B1716)&gt;0,"Holiday posting | ","")&amp;IF(B1716&gt;Settings!$C$8,"Posted after close | ","")&amp;IF(OR(B1716&lt;Settings!$C$6,B1716&gt;Settings!$C$7),"Outside period | ","")&amp;IF(COUNTIF(Settings!$E$14:$E$43,C1716&amp;"")&gt;0,"Sensitive account | ","")&amp;IF(AND(MAX(N(E1716),N(F1716))&gt;=Settings!$C$9,MOD(MAX(N(E1716),N(F1716)),Settings!$C$10)=0),"Round amount | ",""),LEN(IF(K1716="No","Does not balance | ","")&amp;IF(I1716="","Not approved | ",IF(UPPER(TRIM(H1716))=UPPER(TRIM(I1716)),"Self-approved | ",""))&amp;IF(J1716="","No support | ","")&amp;IF(WEEKDAY(B1716,2)&gt;5,"Weekend posting | ","")&amp;IF(COUNTIF(Settings!$A$14:$A$43,B1716)&gt;0,"Holiday posting | ","")&amp;IF(B1716&gt;Settings!$C$8,"Posted after close | ","")&amp;IF(OR(B1716&lt;Settings!$C$6,B1716&gt;Settings!$C$7),"Outside period | ","")&amp;IF(COUNTIF(Settings!$E$14:$E$43,C1716&amp;"")&gt;0,"Sensitive account | ","")&amp;IF(AND(MAX(N(E1716),N(F1716))&gt;=Settings!$C$9,MOD(MAX(N(E1716),N(F1716)),Settings!$C$10)=0),"Round amount | ",""))-3)))</f>
        <v/>
      </c>
      <c r="M1716" s="21" t="str">
        <f aca="false">IF(A1716="","",IF(COUNTIF($A$9:A1716,A1716)=1,MAX($M$8:M1715)+1,""))</f>
        <v/>
      </c>
    </row>
    <row r="1717" customFormat="false" ht="15" hidden="false" customHeight="false" outlineLevel="0" collapsed="false">
      <c r="A1717" s="8"/>
      <c r="B1717" s="17"/>
      <c r="C1717" s="19"/>
      <c r="D1717" s="8"/>
      <c r="E1717" s="18"/>
      <c r="F1717" s="18"/>
      <c r="G1717" s="8"/>
      <c r="H1717" s="8"/>
      <c r="I1717" s="8"/>
      <c r="J1717" s="8"/>
      <c r="K1717" s="10" t="str">
        <f aca="false">IF(A1717="","",IF(ABS(SUMIFS($E$9:$E$2008,$A$9:$A$2008,A1717)-SUMIFS($F$9:$F$2008,$A$9:$A$2008,A1717))&lt;0.5,"Yes","No"))</f>
        <v/>
      </c>
      <c r="L1717" s="10" t="str">
        <f aca="false">IF(A1717="","",IF(IF(K1717="No","Does not balance | ","")&amp;IF(I1717="","Not approved | ",IF(UPPER(TRIM(H1717))=UPPER(TRIM(I1717)),"Self-approved | ",""))&amp;IF(J1717="","No support | ","")&amp;IF(WEEKDAY(B1717,2)&gt;5,"Weekend posting | ","")&amp;IF(COUNTIF(Settings!$A$14:$A$43,B1717)&gt;0,"Holiday posting | ","")&amp;IF(B1717&gt;Settings!$C$8,"Posted after close | ","")&amp;IF(OR(B1717&lt;Settings!$C$6,B1717&gt;Settings!$C$7),"Outside period | ","")&amp;IF(COUNTIF(Settings!$E$14:$E$43,C1717&amp;"")&gt;0,"Sensitive account | ","")&amp;IF(AND(MAX(N(E1717),N(F1717))&gt;=Settings!$C$9,MOD(MAX(N(E1717),N(F1717)),Settings!$C$10)=0),"Round amount | ","")="","",LEFT(IF(K1717="No","Does not balance | ","")&amp;IF(I1717="","Not approved | ",IF(UPPER(TRIM(H1717))=UPPER(TRIM(I1717)),"Self-approved | ",""))&amp;IF(J1717="","No support | ","")&amp;IF(WEEKDAY(B1717,2)&gt;5,"Weekend posting | ","")&amp;IF(COUNTIF(Settings!$A$14:$A$43,B1717)&gt;0,"Holiday posting | ","")&amp;IF(B1717&gt;Settings!$C$8,"Posted after close | ","")&amp;IF(OR(B1717&lt;Settings!$C$6,B1717&gt;Settings!$C$7),"Outside period | ","")&amp;IF(COUNTIF(Settings!$E$14:$E$43,C1717&amp;"")&gt;0,"Sensitive account | ","")&amp;IF(AND(MAX(N(E1717),N(F1717))&gt;=Settings!$C$9,MOD(MAX(N(E1717),N(F1717)),Settings!$C$10)=0),"Round amount | ",""),LEN(IF(K1717="No","Does not balance | ","")&amp;IF(I1717="","Not approved | ",IF(UPPER(TRIM(H1717))=UPPER(TRIM(I1717)),"Self-approved | ",""))&amp;IF(J1717="","No support | ","")&amp;IF(WEEKDAY(B1717,2)&gt;5,"Weekend posting | ","")&amp;IF(COUNTIF(Settings!$A$14:$A$43,B1717)&gt;0,"Holiday posting | ","")&amp;IF(B1717&gt;Settings!$C$8,"Posted after close | ","")&amp;IF(OR(B1717&lt;Settings!$C$6,B1717&gt;Settings!$C$7),"Outside period | ","")&amp;IF(COUNTIF(Settings!$E$14:$E$43,C1717&amp;"")&gt;0,"Sensitive account | ","")&amp;IF(AND(MAX(N(E1717),N(F1717))&gt;=Settings!$C$9,MOD(MAX(N(E1717),N(F1717)),Settings!$C$10)=0),"Round amount | ",""))-3)))</f>
        <v/>
      </c>
      <c r="M1717" s="21" t="str">
        <f aca="false">IF(A1717="","",IF(COUNTIF($A$9:A1717,A1717)=1,MAX($M$8:M1716)+1,""))</f>
        <v/>
      </c>
    </row>
    <row r="1718" customFormat="false" ht="15" hidden="false" customHeight="false" outlineLevel="0" collapsed="false">
      <c r="A1718" s="8"/>
      <c r="B1718" s="17"/>
      <c r="C1718" s="19"/>
      <c r="D1718" s="8"/>
      <c r="E1718" s="18"/>
      <c r="F1718" s="18"/>
      <c r="G1718" s="8"/>
      <c r="H1718" s="8"/>
      <c r="I1718" s="8"/>
      <c r="J1718" s="8"/>
      <c r="K1718" s="10" t="str">
        <f aca="false">IF(A1718="","",IF(ABS(SUMIFS($E$9:$E$2008,$A$9:$A$2008,A1718)-SUMIFS($F$9:$F$2008,$A$9:$A$2008,A1718))&lt;0.5,"Yes","No"))</f>
        <v/>
      </c>
      <c r="L1718" s="10" t="str">
        <f aca="false">IF(A1718="","",IF(IF(K1718="No","Does not balance | ","")&amp;IF(I1718="","Not approved | ",IF(UPPER(TRIM(H1718))=UPPER(TRIM(I1718)),"Self-approved | ",""))&amp;IF(J1718="","No support | ","")&amp;IF(WEEKDAY(B1718,2)&gt;5,"Weekend posting | ","")&amp;IF(COUNTIF(Settings!$A$14:$A$43,B1718)&gt;0,"Holiday posting | ","")&amp;IF(B1718&gt;Settings!$C$8,"Posted after close | ","")&amp;IF(OR(B1718&lt;Settings!$C$6,B1718&gt;Settings!$C$7),"Outside period | ","")&amp;IF(COUNTIF(Settings!$E$14:$E$43,C1718&amp;"")&gt;0,"Sensitive account | ","")&amp;IF(AND(MAX(N(E1718),N(F1718))&gt;=Settings!$C$9,MOD(MAX(N(E1718),N(F1718)),Settings!$C$10)=0),"Round amount | ","")="","",LEFT(IF(K1718="No","Does not balance | ","")&amp;IF(I1718="","Not approved | ",IF(UPPER(TRIM(H1718))=UPPER(TRIM(I1718)),"Self-approved | ",""))&amp;IF(J1718="","No support | ","")&amp;IF(WEEKDAY(B1718,2)&gt;5,"Weekend posting | ","")&amp;IF(COUNTIF(Settings!$A$14:$A$43,B1718)&gt;0,"Holiday posting | ","")&amp;IF(B1718&gt;Settings!$C$8,"Posted after close | ","")&amp;IF(OR(B1718&lt;Settings!$C$6,B1718&gt;Settings!$C$7),"Outside period | ","")&amp;IF(COUNTIF(Settings!$E$14:$E$43,C1718&amp;"")&gt;0,"Sensitive account | ","")&amp;IF(AND(MAX(N(E1718),N(F1718))&gt;=Settings!$C$9,MOD(MAX(N(E1718),N(F1718)),Settings!$C$10)=0),"Round amount | ",""),LEN(IF(K1718="No","Does not balance | ","")&amp;IF(I1718="","Not approved | ",IF(UPPER(TRIM(H1718))=UPPER(TRIM(I1718)),"Self-approved | ",""))&amp;IF(J1718="","No support | ","")&amp;IF(WEEKDAY(B1718,2)&gt;5,"Weekend posting | ","")&amp;IF(COUNTIF(Settings!$A$14:$A$43,B1718)&gt;0,"Holiday posting | ","")&amp;IF(B1718&gt;Settings!$C$8,"Posted after close | ","")&amp;IF(OR(B1718&lt;Settings!$C$6,B1718&gt;Settings!$C$7),"Outside period | ","")&amp;IF(COUNTIF(Settings!$E$14:$E$43,C1718&amp;"")&gt;0,"Sensitive account | ","")&amp;IF(AND(MAX(N(E1718),N(F1718))&gt;=Settings!$C$9,MOD(MAX(N(E1718),N(F1718)),Settings!$C$10)=0),"Round amount | ",""))-3)))</f>
        <v/>
      </c>
      <c r="M1718" s="21" t="str">
        <f aca="false">IF(A1718="","",IF(COUNTIF($A$9:A1718,A1718)=1,MAX($M$8:M1717)+1,""))</f>
        <v/>
      </c>
    </row>
    <row r="1719" customFormat="false" ht="15" hidden="false" customHeight="false" outlineLevel="0" collapsed="false">
      <c r="A1719" s="8"/>
      <c r="B1719" s="17"/>
      <c r="C1719" s="19"/>
      <c r="D1719" s="8"/>
      <c r="E1719" s="18"/>
      <c r="F1719" s="18"/>
      <c r="G1719" s="8"/>
      <c r="H1719" s="8"/>
      <c r="I1719" s="8"/>
      <c r="J1719" s="8"/>
      <c r="K1719" s="10" t="str">
        <f aca="false">IF(A1719="","",IF(ABS(SUMIFS($E$9:$E$2008,$A$9:$A$2008,A1719)-SUMIFS($F$9:$F$2008,$A$9:$A$2008,A1719))&lt;0.5,"Yes","No"))</f>
        <v/>
      </c>
      <c r="L1719" s="10" t="str">
        <f aca="false">IF(A1719="","",IF(IF(K1719="No","Does not balance | ","")&amp;IF(I1719="","Not approved | ",IF(UPPER(TRIM(H1719))=UPPER(TRIM(I1719)),"Self-approved | ",""))&amp;IF(J1719="","No support | ","")&amp;IF(WEEKDAY(B1719,2)&gt;5,"Weekend posting | ","")&amp;IF(COUNTIF(Settings!$A$14:$A$43,B1719)&gt;0,"Holiday posting | ","")&amp;IF(B1719&gt;Settings!$C$8,"Posted after close | ","")&amp;IF(OR(B1719&lt;Settings!$C$6,B1719&gt;Settings!$C$7),"Outside period | ","")&amp;IF(COUNTIF(Settings!$E$14:$E$43,C1719&amp;"")&gt;0,"Sensitive account | ","")&amp;IF(AND(MAX(N(E1719),N(F1719))&gt;=Settings!$C$9,MOD(MAX(N(E1719),N(F1719)),Settings!$C$10)=0),"Round amount | ","")="","",LEFT(IF(K1719="No","Does not balance | ","")&amp;IF(I1719="","Not approved | ",IF(UPPER(TRIM(H1719))=UPPER(TRIM(I1719)),"Self-approved | ",""))&amp;IF(J1719="","No support | ","")&amp;IF(WEEKDAY(B1719,2)&gt;5,"Weekend posting | ","")&amp;IF(COUNTIF(Settings!$A$14:$A$43,B1719)&gt;0,"Holiday posting | ","")&amp;IF(B1719&gt;Settings!$C$8,"Posted after close | ","")&amp;IF(OR(B1719&lt;Settings!$C$6,B1719&gt;Settings!$C$7),"Outside period | ","")&amp;IF(COUNTIF(Settings!$E$14:$E$43,C1719&amp;"")&gt;0,"Sensitive account | ","")&amp;IF(AND(MAX(N(E1719),N(F1719))&gt;=Settings!$C$9,MOD(MAX(N(E1719),N(F1719)),Settings!$C$10)=0),"Round amount | ",""),LEN(IF(K1719="No","Does not balance | ","")&amp;IF(I1719="","Not approved | ",IF(UPPER(TRIM(H1719))=UPPER(TRIM(I1719)),"Self-approved | ",""))&amp;IF(J1719="","No support | ","")&amp;IF(WEEKDAY(B1719,2)&gt;5,"Weekend posting | ","")&amp;IF(COUNTIF(Settings!$A$14:$A$43,B1719)&gt;0,"Holiday posting | ","")&amp;IF(B1719&gt;Settings!$C$8,"Posted after close | ","")&amp;IF(OR(B1719&lt;Settings!$C$6,B1719&gt;Settings!$C$7),"Outside period | ","")&amp;IF(COUNTIF(Settings!$E$14:$E$43,C1719&amp;"")&gt;0,"Sensitive account | ","")&amp;IF(AND(MAX(N(E1719),N(F1719))&gt;=Settings!$C$9,MOD(MAX(N(E1719),N(F1719)),Settings!$C$10)=0),"Round amount | ",""))-3)))</f>
        <v/>
      </c>
      <c r="M1719" s="21" t="str">
        <f aca="false">IF(A1719="","",IF(COUNTIF($A$9:A1719,A1719)=1,MAX($M$8:M1718)+1,""))</f>
        <v/>
      </c>
    </row>
    <row r="1720" customFormat="false" ht="15" hidden="false" customHeight="false" outlineLevel="0" collapsed="false">
      <c r="A1720" s="8"/>
      <c r="B1720" s="17"/>
      <c r="C1720" s="19"/>
      <c r="D1720" s="8"/>
      <c r="E1720" s="18"/>
      <c r="F1720" s="18"/>
      <c r="G1720" s="8"/>
      <c r="H1720" s="8"/>
      <c r="I1720" s="8"/>
      <c r="J1720" s="8"/>
      <c r="K1720" s="10" t="str">
        <f aca="false">IF(A1720="","",IF(ABS(SUMIFS($E$9:$E$2008,$A$9:$A$2008,A1720)-SUMIFS($F$9:$F$2008,$A$9:$A$2008,A1720))&lt;0.5,"Yes","No"))</f>
        <v/>
      </c>
      <c r="L1720" s="10" t="str">
        <f aca="false">IF(A1720="","",IF(IF(K1720="No","Does not balance | ","")&amp;IF(I1720="","Not approved | ",IF(UPPER(TRIM(H1720))=UPPER(TRIM(I1720)),"Self-approved | ",""))&amp;IF(J1720="","No support | ","")&amp;IF(WEEKDAY(B1720,2)&gt;5,"Weekend posting | ","")&amp;IF(COUNTIF(Settings!$A$14:$A$43,B1720)&gt;0,"Holiday posting | ","")&amp;IF(B1720&gt;Settings!$C$8,"Posted after close | ","")&amp;IF(OR(B1720&lt;Settings!$C$6,B1720&gt;Settings!$C$7),"Outside period | ","")&amp;IF(COUNTIF(Settings!$E$14:$E$43,C1720&amp;"")&gt;0,"Sensitive account | ","")&amp;IF(AND(MAX(N(E1720),N(F1720))&gt;=Settings!$C$9,MOD(MAX(N(E1720),N(F1720)),Settings!$C$10)=0),"Round amount | ","")="","",LEFT(IF(K1720="No","Does not balance | ","")&amp;IF(I1720="","Not approved | ",IF(UPPER(TRIM(H1720))=UPPER(TRIM(I1720)),"Self-approved | ",""))&amp;IF(J1720="","No support | ","")&amp;IF(WEEKDAY(B1720,2)&gt;5,"Weekend posting | ","")&amp;IF(COUNTIF(Settings!$A$14:$A$43,B1720)&gt;0,"Holiday posting | ","")&amp;IF(B1720&gt;Settings!$C$8,"Posted after close | ","")&amp;IF(OR(B1720&lt;Settings!$C$6,B1720&gt;Settings!$C$7),"Outside period | ","")&amp;IF(COUNTIF(Settings!$E$14:$E$43,C1720&amp;"")&gt;0,"Sensitive account | ","")&amp;IF(AND(MAX(N(E1720),N(F1720))&gt;=Settings!$C$9,MOD(MAX(N(E1720),N(F1720)),Settings!$C$10)=0),"Round amount | ",""),LEN(IF(K1720="No","Does not balance | ","")&amp;IF(I1720="","Not approved | ",IF(UPPER(TRIM(H1720))=UPPER(TRIM(I1720)),"Self-approved | ",""))&amp;IF(J1720="","No support | ","")&amp;IF(WEEKDAY(B1720,2)&gt;5,"Weekend posting | ","")&amp;IF(COUNTIF(Settings!$A$14:$A$43,B1720)&gt;0,"Holiday posting | ","")&amp;IF(B1720&gt;Settings!$C$8,"Posted after close | ","")&amp;IF(OR(B1720&lt;Settings!$C$6,B1720&gt;Settings!$C$7),"Outside period | ","")&amp;IF(COUNTIF(Settings!$E$14:$E$43,C1720&amp;"")&gt;0,"Sensitive account | ","")&amp;IF(AND(MAX(N(E1720),N(F1720))&gt;=Settings!$C$9,MOD(MAX(N(E1720),N(F1720)),Settings!$C$10)=0),"Round amount | ",""))-3)))</f>
        <v/>
      </c>
      <c r="M1720" s="21" t="str">
        <f aca="false">IF(A1720="","",IF(COUNTIF($A$9:A1720,A1720)=1,MAX($M$8:M1719)+1,""))</f>
        <v/>
      </c>
    </row>
    <row r="1721" customFormat="false" ht="15" hidden="false" customHeight="false" outlineLevel="0" collapsed="false">
      <c r="A1721" s="8"/>
      <c r="B1721" s="17"/>
      <c r="C1721" s="19"/>
      <c r="D1721" s="8"/>
      <c r="E1721" s="18"/>
      <c r="F1721" s="18"/>
      <c r="G1721" s="8"/>
      <c r="H1721" s="8"/>
      <c r="I1721" s="8"/>
      <c r="J1721" s="8"/>
      <c r="K1721" s="10" t="str">
        <f aca="false">IF(A1721="","",IF(ABS(SUMIFS($E$9:$E$2008,$A$9:$A$2008,A1721)-SUMIFS($F$9:$F$2008,$A$9:$A$2008,A1721))&lt;0.5,"Yes","No"))</f>
        <v/>
      </c>
      <c r="L1721" s="10" t="str">
        <f aca="false">IF(A1721="","",IF(IF(K1721="No","Does not balance | ","")&amp;IF(I1721="","Not approved | ",IF(UPPER(TRIM(H1721))=UPPER(TRIM(I1721)),"Self-approved | ",""))&amp;IF(J1721="","No support | ","")&amp;IF(WEEKDAY(B1721,2)&gt;5,"Weekend posting | ","")&amp;IF(COUNTIF(Settings!$A$14:$A$43,B1721)&gt;0,"Holiday posting | ","")&amp;IF(B1721&gt;Settings!$C$8,"Posted after close | ","")&amp;IF(OR(B1721&lt;Settings!$C$6,B1721&gt;Settings!$C$7),"Outside period | ","")&amp;IF(COUNTIF(Settings!$E$14:$E$43,C1721&amp;"")&gt;0,"Sensitive account | ","")&amp;IF(AND(MAX(N(E1721),N(F1721))&gt;=Settings!$C$9,MOD(MAX(N(E1721),N(F1721)),Settings!$C$10)=0),"Round amount | ","")="","",LEFT(IF(K1721="No","Does not balance | ","")&amp;IF(I1721="","Not approved | ",IF(UPPER(TRIM(H1721))=UPPER(TRIM(I1721)),"Self-approved | ",""))&amp;IF(J1721="","No support | ","")&amp;IF(WEEKDAY(B1721,2)&gt;5,"Weekend posting | ","")&amp;IF(COUNTIF(Settings!$A$14:$A$43,B1721)&gt;0,"Holiday posting | ","")&amp;IF(B1721&gt;Settings!$C$8,"Posted after close | ","")&amp;IF(OR(B1721&lt;Settings!$C$6,B1721&gt;Settings!$C$7),"Outside period | ","")&amp;IF(COUNTIF(Settings!$E$14:$E$43,C1721&amp;"")&gt;0,"Sensitive account | ","")&amp;IF(AND(MAX(N(E1721),N(F1721))&gt;=Settings!$C$9,MOD(MAX(N(E1721),N(F1721)),Settings!$C$10)=0),"Round amount | ",""),LEN(IF(K1721="No","Does not balance | ","")&amp;IF(I1721="","Not approved | ",IF(UPPER(TRIM(H1721))=UPPER(TRIM(I1721)),"Self-approved | ",""))&amp;IF(J1721="","No support | ","")&amp;IF(WEEKDAY(B1721,2)&gt;5,"Weekend posting | ","")&amp;IF(COUNTIF(Settings!$A$14:$A$43,B1721)&gt;0,"Holiday posting | ","")&amp;IF(B1721&gt;Settings!$C$8,"Posted after close | ","")&amp;IF(OR(B1721&lt;Settings!$C$6,B1721&gt;Settings!$C$7),"Outside period | ","")&amp;IF(COUNTIF(Settings!$E$14:$E$43,C1721&amp;"")&gt;0,"Sensitive account | ","")&amp;IF(AND(MAX(N(E1721),N(F1721))&gt;=Settings!$C$9,MOD(MAX(N(E1721),N(F1721)),Settings!$C$10)=0),"Round amount | ",""))-3)))</f>
        <v/>
      </c>
      <c r="M1721" s="21" t="str">
        <f aca="false">IF(A1721="","",IF(COUNTIF($A$9:A1721,A1721)=1,MAX($M$8:M1720)+1,""))</f>
        <v/>
      </c>
    </row>
    <row r="1722" customFormat="false" ht="15" hidden="false" customHeight="false" outlineLevel="0" collapsed="false">
      <c r="A1722" s="8"/>
      <c r="B1722" s="17"/>
      <c r="C1722" s="19"/>
      <c r="D1722" s="8"/>
      <c r="E1722" s="18"/>
      <c r="F1722" s="18"/>
      <c r="G1722" s="8"/>
      <c r="H1722" s="8"/>
      <c r="I1722" s="8"/>
      <c r="J1722" s="8"/>
      <c r="K1722" s="10" t="str">
        <f aca="false">IF(A1722="","",IF(ABS(SUMIFS($E$9:$E$2008,$A$9:$A$2008,A1722)-SUMIFS($F$9:$F$2008,$A$9:$A$2008,A1722))&lt;0.5,"Yes","No"))</f>
        <v/>
      </c>
      <c r="L1722" s="10" t="str">
        <f aca="false">IF(A1722="","",IF(IF(K1722="No","Does not balance | ","")&amp;IF(I1722="","Not approved | ",IF(UPPER(TRIM(H1722))=UPPER(TRIM(I1722)),"Self-approved | ",""))&amp;IF(J1722="","No support | ","")&amp;IF(WEEKDAY(B1722,2)&gt;5,"Weekend posting | ","")&amp;IF(COUNTIF(Settings!$A$14:$A$43,B1722)&gt;0,"Holiday posting | ","")&amp;IF(B1722&gt;Settings!$C$8,"Posted after close | ","")&amp;IF(OR(B1722&lt;Settings!$C$6,B1722&gt;Settings!$C$7),"Outside period | ","")&amp;IF(COUNTIF(Settings!$E$14:$E$43,C1722&amp;"")&gt;0,"Sensitive account | ","")&amp;IF(AND(MAX(N(E1722),N(F1722))&gt;=Settings!$C$9,MOD(MAX(N(E1722),N(F1722)),Settings!$C$10)=0),"Round amount | ","")="","",LEFT(IF(K1722="No","Does not balance | ","")&amp;IF(I1722="","Not approved | ",IF(UPPER(TRIM(H1722))=UPPER(TRIM(I1722)),"Self-approved | ",""))&amp;IF(J1722="","No support | ","")&amp;IF(WEEKDAY(B1722,2)&gt;5,"Weekend posting | ","")&amp;IF(COUNTIF(Settings!$A$14:$A$43,B1722)&gt;0,"Holiday posting | ","")&amp;IF(B1722&gt;Settings!$C$8,"Posted after close | ","")&amp;IF(OR(B1722&lt;Settings!$C$6,B1722&gt;Settings!$C$7),"Outside period | ","")&amp;IF(COUNTIF(Settings!$E$14:$E$43,C1722&amp;"")&gt;0,"Sensitive account | ","")&amp;IF(AND(MAX(N(E1722),N(F1722))&gt;=Settings!$C$9,MOD(MAX(N(E1722),N(F1722)),Settings!$C$10)=0),"Round amount | ",""),LEN(IF(K1722="No","Does not balance | ","")&amp;IF(I1722="","Not approved | ",IF(UPPER(TRIM(H1722))=UPPER(TRIM(I1722)),"Self-approved | ",""))&amp;IF(J1722="","No support | ","")&amp;IF(WEEKDAY(B1722,2)&gt;5,"Weekend posting | ","")&amp;IF(COUNTIF(Settings!$A$14:$A$43,B1722)&gt;0,"Holiday posting | ","")&amp;IF(B1722&gt;Settings!$C$8,"Posted after close | ","")&amp;IF(OR(B1722&lt;Settings!$C$6,B1722&gt;Settings!$C$7),"Outside period | ","")&amp;IF(COUNTIF(Settings!$E$14:$E$43,C1722&amp;"")&gt;0,"Sensitive account | ","")&amp;IF(AND(MAX(N(E1722),N(F1722))&gt;=Settings!$C$9,MOD(MAX(N(E1722),N(F1722)),Settings!$C$10)=0),"Round amount | ",""))-3)))</f>
        <v/>
      </c>
      <c r="M1722" s="21" t="str">
        <f aca="false">IF(A1722="","",IF(COUNTIF($A$9:A1722,A1722)=1,MAX($M$8:M1721)+1,""))</f>
        <v/>
      </c>
    </row>
    <row r="1723" customFormat="false" ht="15" hidden="false" customHeight="false" outlineLevel="0" collapsed="false">
      <c r="A1723" s="8"/>
      <c r="B1723" s="17"/>
      <c r="C1723" s="19"/>
      <c r="D1723" s="8"/>
      <c r="E1723" s="18"/>
      <c r="F1723" s="18"/>
      <c r="G1723" s="8"/>
      <c r="H1723" s="8"/>
      <c r="I1723" s="8"/>
      <c r="J1723" s="8"/>
      <c r="K1723" s="10" t="str">
        <f aca="false">IF(A1723="","",IF(ABS(SUMIFS($E$9:$E$2008,$A$9:$A$2008,A1723)-SUMIFS($F$9:$F$2008,$A$9:$A$2008,A1723))&lt;0.5,"Yes","No"))</f>
        <v/>
      </c>
      <c r="L1723" s="10" t="str">
        <f aca="false">IF(A1723="","",IF(IF(K1723="No","Does not balance | ","")&amp;IF(I1723="","Not approved | ",IF(UPPER(TRIM(H1723))=UPPER(TRIM(I1723)),"Self-approved | ",""))&amp;IF(J1723="","No support | ","")&amp;IF(WEEKDAY(B1723,2)&gt;5,"Weekend posting | ","")&amp;IF(COUNTIF(Settings!$A$14:$A$43,B1723)&gt;0,"Holiday posting | ","")&amp;IF(B1723&gt;Settings!$C$8,"Posted after close | ","")&amp;IF(OR(B1723&lt;Settings!$C$6,B1723&gt;Settings!$C$7),"Outside period | ","")&amp;IF(COUNTIF(Settings!$E$14:$E$43,C1723&amp;"")&gt;0,"Sensitive account | ","")&amp;IF(AND(MAX(N(E1723),N(F1723))&gt;=Settings!$C$9,MOD(MAX(N(E1723),N(F1723)),Settings!$C$10)=0),"Round amount | ","")="","",LEFT(IF(K1723="No","Does not balance | ","")&amp;IF(I1723="","Not approved | ",IF(UPPER(TRIM(H1723))=UPPER(TRIM(I1723)),"Self-approved | ",""))&amp;IF(J1723="","No support | ","")&amp;IF(WEEKDAY(B1723,2)&gt;5,"Weekend posting | ","")&amp;IF(COUNTIF(Settings!$A$14:$A$43,B1723)&gt;0,"Holiday posting | ","")&amp;IF(B1723&gt;Settings!$C$8,"Posted after close | ","")&amp;IF(OR(B1723&lt;Settings!$C$6,B1723&gt;Settings!$C$7),"Outside period | ","")&amp;IF(COUNTIF(Settings!$E$14:$E$43,C1723&amp;"")&gt;0,"Sensitive account | ","")&amp;IF(AND(MAX(N(E1723),N(F1723))&gt;=Settings!$C$9,MOD(MAX(N(E1723),N(F1723)),Settings!$C$10)=0),"Round amount | ",""),LEN(IF(K1723="No","Does not balance | ","")&amp;IF(I1723="","Not approved | ",IF(UPPER(TRIM(H1723))=UPPER(TRIM(I1723)),"Self-approved | ",""))&amp;IF(J1723="","No support | ","")&amp;IF(WEEKDAY(B1723,2)&gt;5,"Weekend posting | ","")&amp;IF(COUNTIF(Settings!$A$14:$A$43,B1723)&gt;0,"Holiday posting | ","")&amp;IF(B1723&gt;Settings!$C$8,"Posted after close | ","")&amp;IF(OR(B1723&lt;Settings!$C$6,B1723&gt;Settings!$C$7),"Outside period | ","")&amp;IF(COUNTIF(Settings!$E$14:$E$43,C1723&amp;"")&gt;0,"Sensitive account | ","")&amp;IF(AND(MAX(N(E1723),N(F1723))&gt;=Settings!$C$9,MOD(MAX(N(E1723),N(F1723)),Settings!$C$10)=0),"Round amount | ",""))-3)))</f>
        <v/>
      </c>
      <c r="M1723" s="21" t="str">
        <f aca="false">IF(A1723="","",IF(COUNTIF($A$9:A1723,A1723)=1,MAX($M$8:M1722)+1,""))</f>
        <v/>
      </c>
    </row>
    <row r="1724" customFormat="false" ht="15" hidden="false" customHeight="false" outlineLevel="0" collapsed="false">
      <c r="A1724" s="8"/>
      <c r="B1724" s="17"/>
      <c r="C1724" s="19"/>
      <c r="D1724" s="8"/>
      <c r="E1724" s="18"/>
      <c r="F1724" s="18"/>
      <c r="G1724" s="8"/>
      <c r="H1724" s="8"/>
      <c r="I1724" s="8"/>
      <c r="J1724" s="8"/>
      <c r="K1724" s="10" t="str">
        <f aca="false">IF(A1724="","",IF(ABS(SUMIFS($E$9:$E$2008,$A$9:$A$2008,A1724)-SUMIFS($F$9:$F$2008,$A$9:$A$2008,A1724))&lt;0.5,"Yes","No"))</f>
        <v/>
      </c>
      <c r="L1724" s="10" t="str">
        <f aca="false">IF(A1724="","",IF(IF(K1724="No","Does not balance | ","")&amp;IF(I1724="","Not approved | ",IF(UPPER(TRIM(H1724))=UPPER(TRIM(I1724)),"Self-approved | ",""))&amp;IF(J1724="","No support | ","")&amp;IF(WEEKDAY(B1724,2)&gt;5,"Weekend posting | ","")&amp;IF(COUNTIF(Settings!$A$14:$A$43,B1724)&gt;0,"Holiday posting | ","")&amp;IF(B1724&gt;Settings!$C$8,"Posted after close | ","")&amp;IF(OR(B1724&lt;Settings!$C$6,B1724&gt;Settings!$C$7),"Outside period | ","")&amp;IF(COUNTIF(Settings!$E$14:$E$43,C1724&amp;"")&gt;0,"Sensitive account | ","")&amp;IF(AND(MAX(N(E1724),N(F1724))&gt;=Settings!$C$9,MOD(MAX(N(E1724),N(F1724)),Settings!$C$10)=0),"Round amount | ","")="","",LEFT(IF(K1724="No","Does not balance | ","")&amp;IF(I1724="","Not approved | ",IF(UPPER(TRIM(H1724))=UPPER(TRIM(I1724)),"Self-approved | ",""))&amp;IF(J1724="","No support | ","")&amp;IF(WEEKDAY(B1724,2)&gt;5,"Weekend posting | ","")&amp;IF(COUNTIF(Settings!$A$14:$A$43,B1724)&gt;0,"Holiday posting | ","")&amp;IF(B1724&gt;Settings!$C$8,"Posted after close | ","")&amp;IF(OR(B1724&lt;Settings!$C$6,B1724&gt;Settings!$C$7),"Outside period | ","")&amp;IF(COUNTIF(Settings!$E$14:$E$43,C1724&amp;"")&gt;0,"Sensitive account | ","")&amp;IF(AND(MAX(N(E1724),N(F1724))&gt;=Settings!$C$9,MOD(MAX(N(E1724),N(F1724)),Settings!$C$10)=0),"Round amount | ",""),LEN(IF(K1724="No","Does not balance | ","")&amp;IF(I1724="","Not approved | ",IF(UPPER(TRIM(H1724))=UPPER(TRIM(I1724)),"Self-approved | ",""))&amp;IF(J1724="","No support | ","")&amp;IF(WEEKDAY(B1724,2)&gt;5,"Weekend posting | ","")&amp;IF(COUNTIF(Settings!$A$14:$A$43,B1724)&gt;0,"Holiday posting | ","")&amp;IF(B1724&gt;Settings!$C$8,"Posted after close | ","")&amp;IF(OR(B1724&lt;Settings!$C$6,B1724&gt;Settings!$C$7),"Outside period | ","")&amp;IF(COUNTIF(Settings!$E$14:$E$43,C1724&amp;"")&gt;0,"Sensitive account | ","")&amp;IF(AND(MAX(N(E1724),N(F1724))&gt;=Settings!$C$9,MOD(MAX(N(E1724),N(F1724)),Settings!$C$10)=0),"Round amount | ",""))-3)))</f>
        <v/>
      </c>
      <c r="M1724" s="21" t="str">
        <f aca="false">IF(A1724="","",IF(COUNTIF($A$9:A1724,A1724)=1,MAX($M$8:M1723)+1,""))</f>
        <v/>
      </c>
    </row>
    <row r="1725" customFormat="false" ht="15" hidden="false" customHeight="false" outlineLevel="0" collapsed="false">
      <c r="A1725" s="8"/>
      <c r="B1725" s="17"/>
      <c r="C1725" s="19"/>
      <c r="D1725" s="8"/>
      <c r="E1725" s="18"/>
      <c r="F1725" s="18"/>
      <c r="G1725" s="8"/>
      <c r="H1725" s="8"/>
      <c r="I1725" s="8"/>
      <c r="J1725" s="8"/>
      <c r="K1725" s="10" t="str">
        <f aca="false">IF(A1725="","",IF(ABS(SUMIFS($E$9:$E$2008,$A$9:$A$2008,A1725)-SUMIFS($F$9:$F$2008,$A$9:$A$2008,A1725))&lt;0.5,"Yes","No"))</f>
        <v/>
      </c>
      <c r="L1725" s="10" t="str">
        <f aca="false">IF(A1725="","",IF(IF(K1725="No","Does not balance | ","")&amp;IF(I1725="","Not approved | ",IF(UPPER(TRIM(H1725))=UPPER(TRIM(I1725)),"Self-approved | ",""))&amp;IF(J1725="","No support | ","")&amp;IF(WEEKDAY(B1725,2)&gt;5,"Weekend posting | ","")&amp;IF(COUNTIF(Settings!$A$14:$A$43,B1725)&gt;0,"Holiday posting | ","")&amp;IF(B1725&gt;Settings!$C$8,"Posted after close | ","")&amp;IF(OR(B1725&lt;Settings!$C$6,B1725&gt;Settings!$C$7),"Outside period | ","")&amp;IF(COUNTIF(Settings!$E$14:$E$43,C1725&amp;"")&gt;0,"Sensitive account | ","")&amp;IF(AND(MAX(N(E1725),N(F1725))&gt;=Settings!$C$9,MOD(MAX(N(E1725),N(F1725)),Settings!$C$10)=0),"Round amount | ","")="","",LEFT(IF(K1725="No","Does not balance | ","")&amp;IF(I1725="","Not approved | ",IF(UPPER(TRIM(H1725))=UPPER(TRIM(I1725)),"Self-approved | ",""))&amp;IF(J1725="","No support | ","")&amp;IF(WEEKDAY(B1725,2)&gt;5,"Weekend posting | ","")&amp;IF(COUNTIF(Settings!$A$14:$A$43,B1725)&gt;0,"Holiday posting | ","")&amp;IF(B1725&gt;Settings!$C$8,"Posted after close | ","")&amp;IF(OR(B1725&lt;Settings!$C$6,B1725&gt;Settings!$C$7),"Outside period | ","")&amp;IF(COUNTIF(Settings!$E$14:$E$43,C1725&amp;"")&gt;0,"Sensitive account | ","")&amp;IF(AND(MAX(N(E1725),N(F1725))&gt;=Settings!$C$9,MOD(MAX(N(E1725),N(F1725)),Settings!$C$10)=0),"Round amount | ",""),LEN(IF(K1725="No","Does not balance | ","")&amp;IF(I1725="","Not approved | ",IF(UPPER(TRIM(H1725))=UPPER(TRIM(I1725)),"Self-approved | ",""))&amp;IF(J1725="","No support | ","")&amp;IF(WEEKDAY(B1725,2)&gt;5,"Weekend posting | ","")&amp;IF(COUNTIF(Settings!$A$14:$A$43,B1725)&gt;0,"Holiday posting | ","")&amp;IF(B1725&gt;Settings!$C$8,"Posted after close | ","")&amp;IF(OR(B1725&lt;Settings!$C$6,B1725&gt;Settings!$C$7),"Outside period | ","")&amp;IF(COUNTIF(Settings!$E$14:$E$43,C1725&amp;"")&gt;0,"Sensitive account | ","")&amp;IF(AND(MAX(N(E1725),N(F1725))&gt;=Settings!$C$9,MOD(MAX(N(E1725),N(F1725)),Settings!$C$10)=0),"Round amount | ",""))-3)))</f>
        <v/>
      </c>
      <c r="M1725" s="21" t="str">
        <f aca="false">IF(A1725="","",IF(COUNTIF($A$9:A1725,A1725)=1,MAX($M$8:M1724)+1,""))</f>
        <v/>
      </c>
    </row>
    <row r="1726" customFormat="false" ht="15" hidden="false" customHeight="false" outlineLevel="0" collapsed="false">
      <c r="A1726" s="8"/>
      <c r="B1726" s="17"/>
      <c r="C1726" s="19"/>
      <c r="D1726" s="8"/>
      <c r="E1726" s="18"/>
      <c r="F1726" s="18"/>
      <c r="G1726" s="8"/>
      <c r="H1726" s="8"/>
      <c r="I1726" s="8"/>
      <c r="J1726" s="8"/>
      <c r="K1726" s="10" t="str">
        <f aca="false">IF(A1726="","",IF(ABS(SUMIFS($E$9:$E$2008,$A$9:$A$2008,A1726)-SUMIFS($F$9:$F$2008,$A$9:$A$2008,A1726))&lt;0.5,"Yes","No"))</f>
        <v/>
      </c>
      <c r="L1726" s="10" t="str">
        <f aca="false">IF(A1726="","",IF(IF(K1726="No","Does not balance | ","")&amp;IF(I1726="","Not approved | ",IF(UPPER(TRIM(H1726))=UPPER(TRIM(I1726)),"Self-approved | ",""))&amp;IF(J1726="","No support | ","")&amp;IF(WEEKDAY(B1726,2)&gt;5,"Weekend posting | ","")&amp;IF(COUNTIF(Settings!$A$14:$A$43,B1726)&gt;0,"Holiday posting | ","")&amp;IF(B1726&gt;Settings!$C$8,"Posted after close | ","")&amp;IF(OR(B1726&lt;Settings!$C$6,B1726&gt;Settings!$C$7),"Outside period | ","")&amp;IF(COUNTIF(Settings!$E$14:$E$43,C1726&amp;"")&gt;0,"Sensitive account | ","")&amp;IF(AND(MAX(N(E1726),N(F1726))&gt;=Settings!$C$9,MOD(MAX(N(E1726),N(F1726)),Settings!$C$10)=0),"Round amount | ","")="","",LEFT(IF(K1726="No","Does not balance | ","")&amp;IF(I1726="","Not approved | ",IF(UPPER(TRIM(H1726))=UPPER(TRIM(I1726)),"Self-approved | ",""))&amp;IF(J1726="","No support | ","")&amp;IF(WEEKDAY(B1726,2)&gt;5,"Weekend posting | ","")&amp;IF(COUNTIF(Settings!$A$14:$A$43,B1726)&gt;0,"Holiday posting | ","")&amp;IF(B1726&gt;Settings!$C$8,"Posted after close | ","")&amp;IF(OR(B1726&lt;Settings!$C$6,B1726&gt;Settings!$C$7),"Outside period | ","")&amp;IF(COUNTIF(Settings!$E$14:$E$43,C1726&amp;"")&gt;0,"Sensitive account | ","")&amp;IF(AND(MAX(N(E1726),N(F1726))&gt;=Settings!$C$9,MOD(MAX(N(E1726),N(F1726)),Settings!$C$10)=0),"Round amount | ",""),LEN(IF(K1726="No","Does not balance | ","")&amp;IF(I1726="","Not approved | ",IF(UPPER(TRIM(H1726))=UPPER(TRIM(I1726)),"Self-approved | ",""))&amp;IF(J1726="","No support | ","")&amp;IF(WEEKDAY(B1726,2)&gt;5,"Weekend posting | ","")&amp;IF(COUNTIF(Settings!$A$14:$A$43,B1726)&gt;0,"Holiday posting | ","")&amp;IF(B1726&gt;Settings!$C$8,"Posted after close | ","")&amp;IF(OR(B1726&lt;Settings!$C$6,B1726&gt;Settings!$C$7),"Outside period | ","")&amp;IF(COUNTIF(Settings!$E$14:$E$43,C1726&amp;"")&gt;0,"Sensitive account | ","")&amp;IF(AND(MAX(N(E1726),N(F1726))&gt;=Settings!$C$9,MOD(MAX(N(E1726),N(F1726)),Settings!$C$10)=0),"Round amount | ",""))-3)))</f>
        <v/>
      </c>
      <c r="M1726" s="21" t="str">
        <f aca="false">IF(A1726="","",IF(COUNTIF($A$9:A1726,A1726)=1,MAX($M$8:M1725)+1,""))</f>
        <v/>
      </c>
    </row>
    <row r="1727" customFormat="false" ht="15" hidden="false" customHeight="false" outlineLevel="0" collapsed="false">
      <c r="A1727" s="8"/>
      <c r="B1727" s="17"/>
      <c r="C1727" s="19"/>
      <c r="D1727" s="8"/>
      <c r="E1727" s="18"/>
      <c r="F1727" s="18"/>
      <c r="G1727" s="8"/>
      <c r="H1727" s="8"/>
      <c r="I1727" s="8"/>
      <c r="J1727" s="8"/>
      <c r="K1727" s="10" t="str">
        <f aca="false">IF(A1727="","",IF(ABS(SUMIFS($E$9:$E$2008,$A$9:$A$2008,A1727)-SUMIFS($F$9:$F$2008,$A$9:$A$2008,A1727))&lt;0.5,"Yes","No"))</f>
        <v/>
      </c>
      <c r="L1727" s="10" t="str">
        <f aca="false">IF(A1727="","",IF(IF(K1727="No","Does not balance | ","")&amp;IF(I1727="","Not approved | ",IF(UPPER(TRIM(H1727))=UPPER(TRIM(I1727)),"Self-approved | ",""))&amp;IF(J1727="","No support | ","")&amp;IF(WEEKDAY(B1727,2)&gt;5,"Weekend posting | ","")&amp;IF(COUNTIF(Settings!$A$14:$A$43,B1727)&gt;0,"Holiday posting | ","")&amp;IF(B1727&gt;Settings!$C$8,"Posted after close | ","")&amp;IF(OR(B1727&lt;Settings!$C$6,B1727&gt;Settings!$C$7),"Outside period | ","")&amp;IF(COUNTIF(Settings!$E$14:$E$43,C1727&amp;"")&gt;0,"Sensitive account | ","")&amp;IF(AND(MAX(N(E1727),N(F1727))&gt;=Settings!$C$9,MOD(MAX(N(E1727),N(F1727)),Settings!$C$10)=0),"Round amount | ","")="","",LEFT(IF(K1727="No","Does not balance | ","")&amp;IF(I1727="","Not approved | ",IF(UPPER(TRIM(H1727))=UPPER(TRIM(I1727)),"Self-approved | ",""))&amp;IF(J1727="","No support | ","")&amp;IF(WEEKDAY(B1727,2)&gt;5,"Weekend posting | ","")&amp;IF(COUNTIF(Settings!$A$14:$A$43,B1727)&gt;0,"Holiday posting | ","")&amp;IF(B1727&gt;Settings!$C$8,"Posted after close | ","")&amp;IF(OR(B1727&lt;Settings!$C$6,B1727&gt;Settings!$C$7),"Outside period | ","")&amp;IF(COUNTIF(Settings!$E$14:$E$43,C1727&amp;"")&gt;0,"Sensitive account | ","")&amp;IF(AND(MAX(N(E1727),N(F1727))&gt;=Settings!$C$9,MOD(MAX(N(E1727),N(F1727)),Settings!$C$10)=0),"Round amount | ",""),LEN(IF(K1727="No","Does not balance | ","")&amp;IF(I1727="","Not approved | ",IF(UPPER(TRIM(H1727))=UPPER(TRIM(I1727)),"Self-approved | ",""))&amp;IF(J1727="","No support | ","")&amp;IF(WEEKDAY(B1727,2)&gt;5,"Weekend posting | ","")&amp;IF(COUNTIF(Settings!$A$14:$A$43,B1727)&gt;0,"Holiday posting | ","")&amp;IF(B1727&gt;Settings!$C$8,"Posted after close | ","")&amp;IF(OR(B1727&lt;Settings!$C$6,B1727&gt;Settings!$C$7),"Outside period | ","")&amp;IF(COUNTIF(Settings!$E$14:$E$43,C1727&amp;"")&gt;0,"Sensitive account | ","")&amp;IF(AND(MAX(N(E1727),N(F1727))&gt;=Settings!$C$9,MOD(MAX(N(E1727),N(F1727)),Settings!$C$10)=0),"Round amount | ",""))-3)))</f>
        <v/>
      </c>
      <c r="M1727" s="21" t="str">
        <f aca="false">IF(A1727="","",IF(COUNTIF($A$9:A1727,A1727)=1,MAX($M$8:M1726)+1,""))</f>
        <v/>
      </c>
    </row>
    <row r="1728" customFormat="false" ht="15" hidden="false" customHeight="false" outlineLevel="0" collapsed="false">
      <c r="A1728" s="8"/>
      <c r="B1728" s="17"/>
      <c r="C1728" s="19"/>
      <c r="D1728" s="8"/>
      <c r="E1728" s="18"/>
      <c r="F1728" s="18"/>
      <c r="G1728" s="8"/>
      <c r="H1728" s="8"/>
      <c r="I1728" s="8"/>
      <c r="J1728" s="8"/>
      <c r="K1728" s="10" t="str">
        <f aca="false">IF(A1728="","",IF(ABS(SUMIFS($E$9:$E$2008,$A$9:$A$2008,A1728)-SUMIFS($F$9:$F$2008,$A$9:$A$2008,A1728))&lt;0.5,"Yes","No"))</f>
        <v/>
      </c>
      <c r="L1728" s="10" t="str">
        <f aca="false">IF(A1728="","",IF(IF(K1728="No","Does not balance | ","")&amp;IF(I1728="","Not approved | ",IF(UPPER(TRIM(H1728))=UPPER(TRIM(I1728)),"Self-approved | ",""))&amp;IF(J1728="","No support | ","")&amp;IF(WEEKDAY(B1728,2)&gt;5,"Weekend posting | ","")&amp;IF(COUNTIF(Settings!$A$14:$A$43,B1728)&gt;0,"Holiday posting | ","")&amp;IF(B1728&gt;Settings!$C$8,"Posted after close | ","")&amp;IF(OR(B1728&lt;Settings!$C$6,B1728&gt;Settings!$C$7),"Outside period | ","")&amp;IF(COUNTIF(Settings!$E$14:$E$43,C1728&amp;"")&gt;0,"Sensitive account | ","")&amp;IF(AND(MAX(N(E1728),N(F1728))&gt;=Settings!$C$9,MOD(MAX(N(E1728),N(F1728)),Settings!$C$10)=0),"Round amount | ","")="","",LEFT(IF(K1728="No","Does not balance | ","")&amp;IF(I1728="","Not approved | ",IF(UPPER(TRIM(H1728))=UPPER(TRIM(I1728)),"Self-approved | ",""))&amp;IF(J1728="","No support | ","")&amp;IF(WEEKDAY(B1728,2)&gt;5,"Weekend posting | ","")&amp;IF(COUNTIF(Settings!$A$14:$A$43,B1728)&gt;0,"Holiday posting | ","")&amp;IF(B1728&gt;Settings!$C$8,"Posted after close | ","")&amp;IF(OR(B1728&lt;Settings!$C$6,B1728&gt;Settings!$C$7),"Outside period | ","")&amp;IF(COUNTIF(Settings!$E$14:$E$43,C1728&amp;"")&gt;0,"Sensitive account | ","")&amp;IF(AND(MAX(N(E1728),N(F1728))&gt;=Settings!$C$9,MOD(MAX(N(E1728),N(F1728)),Settings!$C$10)=0),"Round amount | ",""),LEN(IF(K1728="No","Does not balance | ","")&amp;IF(I1728="","Not approved | ",IF(UPPER(TRIM(H1728))=UPPER(TRIM(I1728)),"Self-approved | ",""))&amp;IF(J1728="","No support | ","")&amp;IF(WEEKDAY(B1728,2)&gt;5,"Weekend posting | ","")&amp;IF(COUNTIF(Settings!$A$14:$A$43,B1728)&gt;0,"Holiday posting | ","")&amp;IF(B1728&gt;Settings!$C$8,"Posted after close | ","")&amp;IF(OR(B1728&lt;Settings!$C$6,B1728&gt;Settings!$C$7),"Outside period | ","")&amp;IF(COUNTIF(Settings!$E$14:$E$43,C1728&amp;"")&gt;0,"Sensitive account | ","")&amp;IF(AND(MAX(N(E1728),N(F1728))&gt;=Settings!$C$9,MOD(MAX(N(E1728),N(F1728)),Settings!$C$10)=0),"Round amount | ",""))-3)))</f>
        <v/>
      </c>
      <c r="M1728" s="21" t="str">
        <f aca="false">IF(A1728="","",IF(COUNTIF($A$9:A1728,A1728)=1,MAX($M$8:M1727)+1,""))</f>
        <v/>
      </c>
    </row>
    <row r="1729" customFormat="false" ht="15" hidden="false" customHeight="false" outlineLevel="0" collapsed="false">
      <c r="A1729" s="8"/>
      <c r="B1729" s="17"/>
      <c r="C1729" s="19"/>
      <c r="D1729" s="8"/>
      <c r="E1729" s="18"/>
      <c r="F1729" s="18"/>
      <c r="G1729" s="8"/>
      <c r="H1729" s="8"/>
      <c r="I1729" s="8"/>
      <c r="J1729" s="8"/>
      <c r="K1729" s="10" t="str">
        <f aca="false">IF(A1729="","",IF(ABS(SUMIFS($E$9:$E$2008,$A$9:$A$2008,A1729)-SUMIFS($F$9:$F$2008,$A$9:$A$2008,A1729))&lt;0.5,"Yes","No"))</f>
        <v/>
      </c>
      <c r="L1729" s="10" t="str">
        <f aca="false">IF(A1729="","",IF(IF(K1729="No","Does not balance | ","")&amp;IF(I1729="","Not approved | ",IF(UPPER(TRIM(H1729))=UPPER(TRIM(I1729)),"Self-approved | ",""))&amp;IF(J1729="","No support | ","")&amp;IF(WEEKDAY(B1729,2)&gt;5,"Weekend posting | ","")&amp;IF(COUNTIF(Settings!$A$14:$A$43,B1729)&gt;0,"Holiday posting | ","")&amp;IF(B1729&gt;Settings!$C$8,"Posted after close | ","")&amp;IF(OR(B1729&lt;Settings!$C$6,B1729&gt;Settings!$C$7),"Outside period | ","")&amp;IF(COUNTIF(Settings!$E$14:$E$43,C1729&amp;"")&gt;0,"Sensitive account | ","")&amp;IF(AND(MAX(N(E1729),N(F1729))&gt;=Settings!$C$9,MOD(MAX(N(E1729),N(F1729)),Settings!$C$10)=0),"Round amount | ","")="","",LEFT(IF(K1729="No","Does not balance | ","")&amp;IF(I1729="","Not approved | ",IF(UPPER(TRIM(H1729))=UPPER(TRIM(I1729)),"Self-approved | ",""))&amp;IF(J1729="","No support | ","")&amp;IF(WEEKDAY(B1729,2)&gt;5,"Weekend posting | ","")&amp;IF(COUNTIF(Settings!$A$14:$A$43,B1729)&gt;0,"Holiday posting | ","")&amp;IF(B1729&gt;Settings!$C$8,"Posted after close | ","")&amp;IF(OR(B1729&lt;Settings!$C$6,B1729&gt;Settings!$C$7),"Outside period | ","")&amp;IF(COUNTIF(Settings!$E$14:$E$43,C1729&amp;"")&gt;0,"Sensitive account | ","")&amp;IF(AND(MAX(N(E1729),N(F1729))&gt;=Settings!$C$9,MOD(MAX(N(E1729),N(F1729)),Settings!$C$10)=0),"Round amount | ",""),LEN(IF(K1729="No","Does not balance | ","")&amp;IF(I1729="","Not approved | ",IF(UPPER(TRIM(H1729))=UPPER(TRIM(I1729)),"Self-approved | ",""))&amp;IF(J1729="","No support | ","")&amp;IF(WEEKDAY(B1729,2)&gt;5,"Weekend posting | ","")&amp;IF(COUNTIF(Settings!$A$14:$A$43,B1729)&gt;0,"Holiday posting | ","")&amp;IF(B1729&gt;Settings!$C$8,"Posted after close | ","")&amp;IF(OR(B1729&lt;Settings!$C$6,B1729&gt;Settings!$C$7),"Outside period | ","")&amp;IF(COUNTIF(Settings!$E$14:$E$43,C1729&amp;"")&gt;0,"Sensitive account | ","")&amp;IF(AND(MAX(N(E1729),N(F1729))&gt;=Settings!$C$9,MOD(MAX(N(E1729),N(F1729)),Settings!$C$10)=0),"Round amount | ",""))-3)))</f>
        <v/>
      </c>
      <c r="M1729" s="21" t="str">
        <f aca="false">IF(A1729="","",IF(COUNTIF($A$9:A1729,A1729)=1,MAX($M$8:M1728)+1,""))</f>
        <v/>
      </c>
    </row>
    <row r="1730" customFormat="false" ht="15" hidden="false" customHeight="false" outlineLevel="0" collapsed="false">
      <c r="A1730" s="8"/>
      <c r="B1730" s="17"/>
      <c r="C1730" s="19"/>
      <c r="D1730" s="8"/>
      <c r="E1730" s="18"/>
      <c r="F1730" s="18"/>
      <c r="G1730" s="8"/>
      <c r="H1730" s="8"/>
      <c r="I1730" s="8"/>
      <c r="J1730" s="8"/>
      <c r="K1730" s="10" t="str">
        <f aca="false">IF(A1730="","",IF(ABS(SUMIFS($E$9:$E$2008,$A$9:$A$2008,A1730)-SUMIFS($F$9:$F$2008,$A$9:$A$2008,A1730))&lt;0.5,"Yes","No"))</f>
        <v/>
      </c>
      <c r="L1730" s="10" t="str">
        <f aca="false">IF(A1730="","",IF(IF(K1730="No","Does not balance | ","")&amp;IF(I1730="","Not approved | ",IF(UPPER(TRIM(H1730))=UPPER(TRIM(I1730)),"Self-approved | ",""))&amp;IF(J1730="","No support | ","")&amp;IF(WEEKDAY(B1730,2)&gt;5,"Weekend posting | ","")&amp;IF(COUNTIF(Settings!$A$14:$A$43,B1730)&gt;0,"Holiday posting | ","")&amp;IF(B1730&gt;Settings!$C$8,"Posted after close | ","")&amp;IF(OR(B1730&lt;Settings!$C$6,B1730&gt;Settings!$C$7),"Outside period | ","")&amp;IF(COUNTIF(Settings!$E$14:$E$43,C1730&amp;"")&gt;0,"Sensitive account | ","")&amp;IF(AND(MAX(N(E1730),N(F1730))&gt;=Settings!$C$9,MOD(MAX(N(E1730),N(F1730)),Settings!$C$10)=0),"Round amount | ","")="","",LEFT(IF(K1730="No","Does not balance | ","")&amp;IF(I1730="","Not approved | ",IF(UPPER(TRIM(H1730))=UPPER(TRIM(I1730)),"Self-approved | ",""))&amp;IF(J1730="","No support | ","")&amp;IF(WEEKDAY(B1730,2)&gt;5,"Weekend posting | ","")&amp;IF(COUNTIF(Settings!$A$14:$A$43,B1730)&gt;0,"Holiday posting | ","")&amp;IF(B1730&gt;Settings!$C$8,"Posted after close | ","")&amp;IF(OR(B1730&lt;Settings!$C$6,B1730&gt;Settings!$C$7),"Outside period | ","")&amp;IF(COUNTIF(Settings!$E$14:$E$43,C1730&amp;"")&gt;0,"Sensitive account | ","")&amp;IF(AND(MAX(N(E1730),N(F1730))&gt;=Settings!$C$9,MOD(MAX(N(E1730),N(F1730)),Settings!$C$10)=0),"Round amount | ",""),LEN(IF(K1730="No","Does not balance | ","")&amp;IF(I1730="","Not approved | ",IF(UPPER(TRIM(H1730))=UPPER(TRIM(I1730)),"Self-approved | ",""))&amp;IF(J1730="","No support | ","")&amp;IF(WEEKDAY(B1730,2)&gt;5,"Weekend posting | ","")&amp;IF(COUNTIF(Settings!$A$14:$A$43,B1730)&gt;0,"Holiday posting | ","")&amp;IF(B1730&gt;Settings!$C$8,"Posted after close | ","")&amp;IF(OR(B1730&lt;Settings!$C$6,B1730&gt;Settings!$C$7),"Outside period | ","")&amp;IF(COUNTIF(Settings!$E$14:$E$43,C1730&amp;"")&gt;0,"Sensitive account | ","")&amp;IF(AND(MAX(N(E1730),N(F1730))&gt;=Settings!$C$9,MOD(MAX(N(E1730),N(F1730)),Settings!$C$10)=0),"Round amount | ",""))-3)))</f>
        <v/>
      </c>
      <c r="M1730" s="21" t="str">
        <f aca="false">IF(A1730="","",IF(COUNTIF($A$9:A1730,A1730)=1,MAX($M$8:M1729)+1,""))</f>
        <v/>
      </c>
    </row>
    <row r="1731" customFormat="false" ht="15" hidden="false" customHeight="false" outlineLevel="0" collapsed="false">
      <c r="A1731" s="8"/>
      <c r="B1731" s="17"/>
      <c r="C1731" s="19"/>
      <c r="D1731" s="8"/>
      <c r="E1731" s="18"/>
      <c r="F1731" s="18"/>
      <c r="G1731" s="8"/>
      <c r="H1731" s="8"/>
      <c r="I1731" s="8"/>
      <c r="J1731" s="8"/>
      <c r="K1731" s="10" t="str">
        <f aca="false">IF(A1731="","",IF(ABS(SUMIFS($E$9:$E$2008,$A$9:$A$2008,A1731)-SUMIFS($F$9:$F$2008,$A$9:$A$2008,A1731))&lt;0.5,"Yes","No"))</f>
        <v/>
      </c>
      <c r="L1731" s="10" t="str">
        <f aca="false">IF(A1731="","",IF(IF(K1731="No","Does not balance | ","")&amp;IF(I1731="","Not approved | ",IF(UPPER(TRIM(H1731))=UPPER(TRIM(I1731)),"Self-approved | ",""))&amp;IF(J1731="","No support | ","")&amp;IF(WEEKDAY(B1731,2)&gt;5,"Weekend posting | ","")&amp;IF(COUNTIF(Settings!$A$14:$A$43,B1731)&gt;0,"Holiday posting | ","")&amp;IF(B1731&gt;Settings!$C$8,"Posted after close | ","")&amp;IF(OR(B1731&lt;Settings!$C$6,B1731&gt;Settings!$C$7),"Outside period | ","")&amp;IF(COUNTIF(Settings!$E$14:$E$43,C1731&amp;"")&gt;0,"Sensitive account | ","")&amp;IF(AND(MAX(N(E1731),N(F1731))&gt;=Settings!$C$9,MOD(MAX(N(E1731),N(F1731)),Settings!$C$10)=0),"Round amount | ","")="","",LEFT(IF(K1731="No","Does not balance | ","")&amp;IF(I1731="","Not approved | ",IF(UPPER(TRIM(H1731))=UPPER(TRIM(I1731)),"Self-approved | ",""))&amp;IF(J1731="","No support | ","")&amp;IF(WEEKDAY(B1731,2)&gt;5,"Weekend posting | ","")&amp;IF(COUNTIF(Settings!$A$14:$A$43,B1731)&gt;0,"Holiday posting | ","")&amp;IF(B1731&gt;Settings!$C$8,"Posted after close | ","")&amp;IF(OR(B1731&lt;Settings!$C$6,B1731&gt;Settings!$C$7),"Outside period | ","")&amp;IF(COUNTIF(Settings!$E$14:$E$43,C1731&amp;"")&gt;0,"Sensitive account | ","")&amp;IF(AND(MAX(N(E1731),N(F1731))&gt;=Settings!$C$9,MOD(MAX(N(E1731),N(F1731)),Settings!$C$10)=0),"Round amount | ",""),LEN(IF(K1731="No","Does not balance | ","")&amp;IF(I1731="","Not approved | ",IF(UPPER(TRIM(H1731))=UPPER(TRIM(I1731)),"Self-approved | ",""))&amp;IF(J1731="","No support | ","")&amp;IF(WEEKDAY(B1731,2)&gt;5,"Weekend posting | ","")&amp;IF(COUNTIF(Settings!$A$14:$A$43,B1731)&gt;0,"Holiday posting | ","")&amp;IF(B1731&gt;Settings!$C$8,"Posted after close | ","")&amp;IF(OR(B1731&lt;Settings!$C$6,B1731&gt;Settings!$C$7),"Outside period | ","")&amp;IF(COUNTIF(Settings!$E$14:$E$43,C1731&amp;"")&gt;0,"Sensitive account | ","")&amp;IF(AND(MAX(N(E1731),N(F1731))&gt;=Settings!$C$9,MOD(MAX(N(E1731),N(F1731)),Settings!$C$10)=0),"Round amount | ",""))-3)))</f>
        <v/>
      </c>
      <c r="M1731" s="21" t="str">
        <f aca="false">IF(A1731="","",IF(COUNTIF($A$9:A1731,A1731)=1,MAX($M$8:M1730)+1,""))</f>
        <v/>
      </c>
    </row>
    <row r="1732" customFormat="false" ht="15" hidden="false" customHeight="false" outlineLevel="0" collapsed="false">
      <c r="A1732" s="8"/>
      <c r="B1732" s="17"/>
      <c r="C1732" s="19"/>
      <c r="D1732" s="8"/>
      <c r="E1732" s="18"/>
      <c r="F1732" s="18"/>
      <c r="G1732" s="8"/>
      <c r="H1732" s="8"/>
      <c r="I1732" s="8"/>
      <c r="J1732" s="8"/>
      <c r="K1732" s="10" t="str">
        <f aca="false">IF(A1732="","",IF(ABS(SUMIFS($E$9:$E$2008,$A$9:$A$2008,A1732)-SUMIFS($F$9:$F$2008,$A$9:$A$2008,A1732))&lt;0.5,"Yes","No"))</f>
        <v/>
      </c>
      <c r="L1732" s="10" t="str">
        <f aca="false">IF(A1732="","",IF(IF(K1732="No","Does not balance | ","")&amp;IF(I1732="","Not approved | ",IF(UPPER(TRIM(H1732))=UPPER(TRIM(I1732)),"Self-approved | ",""))&amp;IF(J1732="","No support | ","")&amp;IF(WEEKDAY(B1732,2)&gt;5,"Weekend posting | ","")&amp;IF(COUNTIF(Settings!$A$14:$A$43,B1732)&gt;0,"Holiday posting | ","")&amp;IF(B1732&gt;Settings!$C$8,"Posted after close | ","")&amp;IF(OR(B1732&lt;Settings!$C$6,B1732&gt;Settings!$C$7),"Outside period | ","")&amp;IF(COUNTIF(Settings!$E$14:$E$43,C1732&amp;"")&gt;0,"Sensitive account | ","")&amp;IF(AND(MAX(N(E1732),N(F1732))&gt;=Settings!$C$9,MOD(MAX(N(E1732),N(F1732)),Settings!$C$10)=0),"Round amount | ","")="","",LEFT(IF(K1732="No","Does not balance | ","")&amp;IF(I1732="","Not approved | ",IF(UPPER(TRIM(H1732))=UPPER(TRIM(I1732)),"Self-approved | ",""))&amp;IF(J1732="","No support | ","")&amp;IF(WEEKDAY(B1732,2)&gt;5,"Weekend posting | ","")&amp;IF(COUNTIF(Settings!$A$14:$A$43,B1732)&gt;0,"Holiday posting | ","")&amp;IF(B1732&gt;Settings!$C$8,"Posted after close | ","")&amp;IF(OR(B1732&lt;Settings!$C$6,B1732&gt;Settings!$C$7),"Outside period | ","")&amp;IF(COUNTIF(Settings!$E$14:$E$43,C1732&amp;"")&gt;0,"Sensitive account | ","")&amp;IF(AND(MAX(N(E1732),N(F1732))&gt;=Settings!$C$9,MOD(MAX(N(E1732),N(F1732)),Settings!$C$10)=0),"Round amount | ",""),LEN(IF(K1732="No","Does not balance | ","")&amp;IF(I1732="","Not approved | ",IF(UPPER(TRIM(H1732))=UPPER(TRIM(I1732)),"Self-approved | ",""))&amp;IF(J1732="","No support | ","")&amp;IF(WEEKDAY(B1732,2)&gt;5,"Weekend posting | ","")&amp;IF(COUNTIF(Settings!$A$14:$A$43,B1732)&gt;0,"Holiday posting | ","")&amp;IF(B1732&gt;Settings!$C$8,"Posted after close | ","")&amp;IF(OR(B1732&lt;Settings!$C$6,B1732&gt;Settings!$C$7),"Outside period | ","")&amp;IF(COUNTIF(Settings!$E$14:$E$43,C1732&amp;"")&gt;0,"Sensitive account | ","")&amp;IF(AND(MAX(N(E1732),N(F1732))&gt;=Settings!$C$9,MOD(MAX(N(E1732),N(F1732)),Settings!$C$10)=0),"Round amount | ",""))-3)))</f>
        <v/>
      </c>
      <c r="M1732" s="21" t="str">
        <f aca="false">IF(A1732="","",IF(COUNTIF($A$9:A1732,A1732)=1,MAX($M$8:M1731)+1,""))</f>
        <v/>
      </c>
    </row>
    <row r="1733" customFormat="false" ht="15" hidden="false" customHeight="false" outlineLevel="0" collapsed="false">
      <c r="A1733" s="8"/>
      <c r="B1733" s="17"/>
      <c r="C1733" s="19"/>
      <c r="D1733" s="8"/>
      <c r="E1733" s="18"/>
      <c r="F1733" s="18"/>
      <c r="G1733" s="8"/>
      <c r="H1733" s="8"/>
      <c r="I1733" s="8"/>
      <c r="J1733" s="8"/>
      <c r="K1733" s="10" t="str">
        <f aca="false">IF(A1733="","",IF(ABS(SUMIFS($E$9:$E$2008,$A$9:$A$2008,A1733)-SUMIFS($F$9:$F$2008,$A$9:$A$2008,A1733))&lt;0.5,"Yes","No"))</f>
        <v/>
      </c>
      <c r="L1733" s="10" t="str">
        <f aca="false">IF(A1733="","",IF(IF(K1733="No","Does not balance | ","")&amp;IF(I1733="","Not approved | ",IF(UPPER(TRIM(H1733))=UPPER(TRIM(I1733)),"Self-approved | ",""))&amp;IF(J1733="","No support | ","")&amp;IF(WEEKDAY(B1733,2)&gt;5,"Weekend posting | ","")&amp;IF(COUNTIF(Settings!$A$14:$A$43,B1733)&gt;0,"Holiday posting | ","")&amp;IF(B1733&gt;Settings!$C$8,"Posted after close | ","")&amp;IF(OR(B1733&lt;Settings!$C$6,B1733&gt;Settings!$C$7),"Outside period | ","")&amp;IF(COUNTIF(Settings!$E$14:$E$43,C1733&amp;"")&gt;0,"Sensitive account | ","")&amp;IF(AND(MAX(N(E1733),N(F1733))&gt;=Settings!$C$9,MOD(MAX(N(E1733),N(F1733)),Settings!$C$10)=0),"Round amount | ","")="","",LEFT(IF(K1733="No","Does not balance | ","")&amp;IF(I1733="","Not approved | ",IF(UPPER(TRIM(H1733))=UPPER(TRIM(I1733)),"Self-approved | ",""))&amp;IF(J1733="","No support | ","")&amp;IF(WEEKDAY(B1733,2)&gt;5,"Weekend posting | ","")&amp;IF(COUNTIF(Settings!$A$14:$A$43,B1733)&gt;0,"Holiday posting | ","")&amp;IF(B1733&gt;Settings!$C$8,"Posted after close | ","")&amp;IF(OR(B1733&lt;Settings!$C$6,B1733&gt;Settings!$C$7),"Outside period | ","")&amp;IF(COUNTIF(Settings!$E$14:$E$43,C1733&amp;"")&gt;0,"Sensitive account | ","")&amp;IF(AND(MAX(N(E1733),N(F1733))&gt;=Settings!$C$9,MOD(MAX(N(E1733),N(F1733)),Settings!$C$10)=0),"Round amount | ",""),LEN(IF(K1733="No","Does not balance | ","")&amp;IF(I1733="","Not approved | ",IF(UPPER(TRIM(H1733))=UPPER(TRIM(I1733)),"Self-approved | ",""))&amp;IF(J1733="","No support | ","")&amp;IF(WEEKDAY(B1733,2)&gt;5,"Weekend posting | ","")&amp;IF(COUNTIF(Settings!$A$14:$A$43,B1733)&gt;0,"Holiday posting | ","")&amp;IF(B1733&gt;Settings!$C$8,"Posted after close | ","")&amp;IF(OR(B1733&lt;Settings!$C$6,B1733&gt;Settings!$C$7),"Outside period | ","")&amp;IF(COUNTIF(Settings!$E$14:$E$43,C1733&amp;"")&gt;0,"Sensitive account | ","")&amp;IF(AND(MAX(N(E1733),N(F1733))&gt;=Settings!$C$9,MOD(MAX(N(E1733),N(F1733)),Settings!$C$10)=0),"Round amount | ",""))-3)))</f>
        <v/>
      </c>
      <c r="M1733" s="21" t="str">
        <f aca="false">IF(A1733="","",IF(COUNTIF($A$9:A1733,A1733)=1,MAX($M$8:M1732)+1,""))</f>
        <v/>
      </c>
    </row>
    <row r="1734" customFormat="false" ht="15" hidden="false" customHeight="false" outlineLevel="0" collapsed="false">
      <c r="A1734" s="8"/>
      <c r="B1734" s="17"/>
      <c r="C1734" s="19"/>
      <c r="D1734" s="8"/>
      <c r="E1734" s="18"/>
      <c r="F1734" s="18"/>
      <c r="G1734" s="8"/>
      <c r="H1734" s="8"/>
      <c r="I1734" s="8"/>
      <c r="J1734" s="8"/>
      <c r="K1734" s="10" t="str">
        <f aca="false">IF(A1734="","",IF(ABS(SUMIFS($E$9:$E$2008,$A$9:$A$2008,A1734)-SUMIFS($F$9:$F$2008,$A$9:$A$2008,A1734))&lt;0.5,"Yes","No"))</f>
        <v/>
      </c>
      <c r="L1734" s="10" t="str">
        <f aca="false">IF(A1734="","",IF(IF(K1734="No","Does not balance | ","")&amp;IF(I1734="","Not approved | ",IF(UPPER(TRIM(H1734))=UPPER(TRIM(I1734)),"Self-approved | ",""))&amp;IF(J1734="","No support | ","")&amp;IF(WEEKDAY(B1734,2)&gt;5,"Weekend posting | ","")&amp;IF(COUNTIF(Settings!$A$14:$A$43,B1734)&gt;0,"Holiday posting | ","")&amp;IF(B1734&gt;Settings!$C$8,"Posted after close | ","")&amp;IF(OR(B1734&lt;Settings!$C$6,B1734&gt;Settings!$C$7),"Outside period | ","")&amp;IF(COUNTIF(Settings!$E$14:$E$43,C1734&amp;"")&gt;0,"Sensitive account | ","")&amp;IF(AND(MAX(N(E1734),N(F1734))&gt;=Settings!$C$9,MOD(MAX(N(E1734),N(F1734)),Settings!$C$10)=0),"Round amount | ","")="","",LEFT(IF(K1734="No","Does not balance | ","")&amp;IF(I1734="","Not approved | ",IF(UPPER(TRIM(H1734))=UPPER(TRIM(I1734)),"Self-approved | ",""))&amp;IF(J1734="","No support | ","")&amp;IF(WEEKDAY(B1734,2)&gt;5,"Weekend posting | ","")&amp;IF(COUNTIF(Settings!$A$14:$A$43,B1734)&gt;0,"Holiday posting | ","")&amp;IF(B1734&gt;Settings!$C$8,"Posted after close | ","")&amp;IF(OR(B1734&lt;Settings!$C$6,B1734&gt;Settings!$C$7),"Outside period | ","")&amp;IF(COUNTIF(Settings!$E$14:$E$43,C1734&amp;"")&gt;0,"Sensitive account | ","")&amp;IF(AND(MAX(N(E1734),N(F1734))&gt;=Settings!$C$9,MOD(MAX(N(E1734),N(F1734)),Settings!$C$10)=0),"Round amount | ",""),LEN(IF(K1734="No","Does not balance | ","")&amp;IF(I1734="","Not approved | ",IF(UPPER(TRIM(H1734))=UPPER(TRIM(I1734)),"Self-approved | ",""))&amp;IF(J1734="","No support | ","")&amp;IF(WEEKDAY(B1734,2)&gt;5,"Weekend posting | ","")&amp;IF(COUNTIF(Settings!$A$14:$A$43,B1734)&gt;0,"Holiday posting | ","")&amp;IF(B1734&gt;Settings!$C$8,"Posted after close | ","")&amp;IF(OR(B1734&lt;Settings!$C$6,B1734&gt;Settings!$C$7),"Outside period | ","")&amp;IF(COUNTIF(Settings!$E$14:$E$43,C1734&amp;"")&gt;0,"Sensitive account | ","")&amp;IF(AND(MAX(N(E1734),N(F1734))&gt;=Settings!$C$9,MOD(MAX(N(E1734),N(F1734)),Settings!$C$10)=0),"Round amount | ",""))-3)))</f>
        <v/>
      </c>
      <c r="M1734" s="21" t="str">
        <f aca="false">IF(A1734="","",IF(COUNTIF($A$9:A1734,A1734)=1,MAX($M$8:M1733)+1,""))</f>
        <v/>
      </c>
    </row>
    <row r="1735" customFormat="false" ht="15" hidden="false" customHeight="false" outlineLevel="0" collapsed="false">
      <c r="A1735" s="8"/>
      <c r="B1735" s="17"/>
      <c r="C1735" s="19"/>
      <c r="D1735" s="8"/>
      <c r="E1735" s="18"/>
      <c r="F1735" s="18"/>
      <c r="G1735" s="8"/>
      <c r="H1735" s="8"/>
      <c r="I1735" s="8"/>
      <c r="J1735" s="8"/>
      <c r="K1735" s="10" t="str">
        <f aca="false">IF(A1735="","",IF(ABS(SUMIFS($E$9:$E$2008,$A$9:$A$2008,A1735)-SUMIFS($F$9:$F$2008,$A$9:$A$2008,A1735))&lt;0.5,"Yes","No"))</f>
        <v/>
      </c>
      <c r="L1735" s="10" t="str">
        <f aca="false">IF(A1735="","",IF(IF(K1735="No","Does not balance | ","")&amp;IF(I1735="","Not approved | ",IF(UPPER(TRIM(H1735))=UPPER(TRIM(I1735)),"Self-approved | ",""))&amp;IF(J1735="","No support | ","")&amp;IF(WEEKDAY(B1735,2)&gt;5,"Weekend posting | ","")&amp;IF(COUNTIF(Settings!$A$14:$A$43,B1735)&gt;0,"Holiday posting | ","")&amp;IF(B1735&gt;Settings!$C$8,"Posted after close | ","")&amp;IF(OR(B1735&lt;Settings!$C$6,B1735&gt;Settings!$C$7),"Outside period | ","")&amp;IF(COUNTIF(Settings!$E$14:$E$43,C1735&amp;"")&gt;0,"Sensitive account | ","")&amp;IF(AND(MAX(N(E1735),N(F1735))&gt;=Settings!$C$9,MOD(MAX(N(E1735),N(F1735)),Settings!$C$10)=0),"Round amount | ","")="","",LEFT(IF(K1735="No","Does not balance | ","")&amp;IF(I1735="","Not approved | ",IF(UPPER(TRIM(H1735))=UPPER(TRIM(I1735)),"Self-approved | ",""))&amp;IF(J1735="","No support | ","")&amp;IF(WEEKDAY(B1735,2)&gt;5,"Weekend posting | ","")&amp;IF(COUNTIF(Settings!$A$14:$A$43,B1735)&gt;0,"Holiday posting | ","")&amp;IF(B1735&gt;Settings!$C$8,"Posted after close | ","")&amp;IF(OR(B1735&lt;Settings!$C$6,B1735&gt;Settings!$C$7),"Outside period | ","")&amp;IF(COUNTIF(Settings!$E$14:$E$43,C1735&amp;"")&gt;0,"Sensitive account | ","")&amp;IF(AND(MAX(N(E1735),N(F1735))&gt;=Settings!$C$9,MOD(MAX(N(E1735),N(F1735)),Settings!$C$10)=0),"Round amount | ",""),LEN(IF(K1735="No","Does not balance | ","")&amp;IF(I1735="","Not approved | ",IF(UPPER(TRIM(H1735))=UPPER(TRIM(I1735)),"Self-approved | ",""))&amp;IF(J1735="","No support | ","")&amp;IF(WEEKDAY(B1735,2)&gt;5,"Weekend posting | ","")&amp;IF(COUNTIF(Settings!$A$14:$A$43,B1735)&gt;0,"Holiday posting | ","")&amp;IF(B1735&gt;Settings!$C$8,"Posted after close | ","")&amp;IF(OR(B1735&lt;Settings!$C$6,B1735&gt;Settings!$C$7),"Outside period | ","")&amp;IF(COUNTIF(Settings!$E$14:$E$43,C1735&amp;"")&gt;0,"Sensitive account | ","")&amp;IF(AND(MAX(N(E1735),N(F1735))&gt;=Settings!$C$9,MOD(MAX(N(E1735),N(F1735)),Settings!$C$10)=0),"Round amount | ",""))-3)))</f>
        <v/>
      </c>
      <c r="M1735" s="21" t="str">
        <f aca="false">IF(A1735="","",IF(COUNTIF($A$9:A1735,A1735)=1,MAX($M$8:M1734)+1,""))</f>
        <v/>
      </c>
    </row>
    <row r="1736" customFormat="false" ht="15" hidden="false" customHeight="false" outlineLevel="0" collapsed="false">
      <c r="A1736" s="8"/>
      <c r="B1736" s="17"/>
      <c r="C1736" s="19"/>
      <c r="D1736" s="8"/>
      <c r="E1736" s="18"/>
      <c r="F1736" s="18"/>
      <c r="G1736" s="8"/>
      <c r="H1736" s="8"/>
      <c r="I1736" s="8"/>
      <c r="J1736" s="8"/>
      <c r="K1736" s="10" t="str">
        <f aca="false">IF(A1736="","",IF(ABS(SUMIFS($E$9:$E$2008,$A$9:$A$2008,A1736)-SUMIFS($F$9:$F$2008,$A$9:$A$2008,A1736))&lt;0.5,"Yes","No"))</f>
        <v/>
      </c>
      <c r="L1736" s="10" t="str">
        <f aca="false">IF(A1736="","",IF(IF(K1736="No","Does not balance | ","")&amp;IF(I1736="","Not approved | ",IF(UPPER(TRIM(H1736))=UPPER(TRIM(I1736)),"Self-approved | ",""))&amp;IF(J1736="","No support | ","")&amp;IF(WEEKDAY(B1736,2)&gt;5,"Weekend posting | ","")&amp;IF(COUNTIF(Settings!$A$14:$A$43,B1736)&gt;0,"Holiday posting | ","")&amp;IF(B1736&gt;Settings!$C$8,"Posted after close | ","")&amp;IF(OR(B1736&lt;Settings!$C$6,B1736&gt;Settings!$C$7),"Outside period | ","")&amp;IF(COUNTIF(Settings!$E$14:$E$43,C1736&amp;"")&gt;0,"Sensitive account | ","")&amp;IF(AND(MAX(N(E1736),N(F1736))&gt;=Settings!$C$9,MOD(MAX(N(E1736),N(F1736)),Settings!$C$10)=0),"Round amount | ","")="","",LEFT(IF(K1736="No","Does not balance | ","")&amp;IF(I1736="","Not approved | ",IF(UPPER(TRIM(H1736))=UPPER(TRIM(I1736)),"Self-approved | ",""))&amp;IF(J1736="","No support | ","")&amp;IF(WEEKDAY(B1736,2)&gt;5,"Weekend posting | ","")&amp;IF(COUNTIF(Settings!$A$14:$A$43,B1736)&gt;0,"Holiday posting | ","")&amp;IF(B1736&gt;Settings!$C$8,"Posted after close | ","")&amp;IF(OR(B1736&lt;Settings!$C$6,B1736&gt;Settings!$C$7),"Outside period | ","")&amp;IF(COUNTIF(Settings!$E$14:$E$43,C1736&amp;"")&gt;0,"Sensitive account | ","")&amp;IF(AND(MAX(N(E1736),N(F1736))&gt;=Settings!$C$9,MOD(MAX(N(E1736),N(F1736)),Settings!$C$10)=0),"Round amount | ",""),LEN(IF(K1736="No","Does not balance | ","")&amp;IF(I1736="","Not approved | ",IF(UPPER(TRIM(H1736))=UPPER(TRIM(I1736)),"Self-approved | ",""))&amp;IF(J1736="","No support | ","")&amp;IF(WEEKDAY(B1736,2)&gt;5,"Weekend posting | ","")&amp;IF(COUNTIF(Settings!$A$14:$A$43,B1736)&gt;0,"Holiday posting | ","")&amp;IF(B1736&gt;Settings!$C$8,"Posted after close | ","")&amp;IF(OR(B1736&lt;Settings!$C$6,B1736&gt;Settings!$C$7),"Outside period | ","")&amp;IF(COUNTIF(Settings!$E$14:$E$43,C1736&amp;"")&gt;0,"Sensitive account | ","")&amp;IF(AND(MAX(N(E1736),N(F1736))&gt;=Settings!$C$9,MOD(MAX(N(E1736),N(F1736)),Settings!$C$10)=0),"Round amount | ",""))-3)))</f>
        <v/>
      </c>
      <c r="M1736" s="21" t="str">
        <f aca="false">IF(A1736="","",IF(COUNTIF($A$9:A1736,A1736)=1,MAX($M$8:M1735)+1,""))</f>
        <v/>
      </c>
    </row>
    <row r="1737" customFormat="false" ht="15" hidden="false" customHeight="false" outlineLevel="0" collapsed="false">
      <c r="A1737" s="8"/>
      <c r="B1737" s="17"/>
      <c r="C1737" s="19"/>
      <c r="D1737" s="8"/>
      <c r="E1737" s="18"/>
      <c r="F1737" s="18"/>
      <c r="G1737" s="8"/>
      <c r="H1737" s="8"/>
      <c r="I1737" s="8"/>
      <c r="J1737" s="8"/>
      <c r="K1737" s="10" t="str">
        <f aca="false">IF(A1737="","",IF(ABS(SUMIFS($E$9:$E$2008,$A$9:$A$2008,A1737)-SUMIFS($F$9:$F$2008,$A$9:$A$2008,A1737))&lt;0.5,"Yes","No"))</f>
        <v/>
      </c>
      <c r="L1737" s="10" t="str">
        <f aca="false">IF(A1737="","",IF(IF(K1737="No","Does not balance | ","")&amp;IF(I1737="","Not approved | ",IF(UPPER(TRIM(H1737))=UPPER(TRIM(I1737)),"Self-approved | ",""))&amp;IF(J1737="","No support | ","")&amp;IF(WEEKDAY(B1737,2)&gt;5,"Weekend posting | ","")&amp;IF(COUNTIF(Settings!$A$14:$A$43,B1737)&gt;0,"Holiday posting | ","")&amp;IF(B1737&gt;Settings!$C$8,"Posted after close | ","")&amp;IF(OR(B1737&lt;Settings!$C$6,B1737&gt;Settings!$C$7),"Outside period | ","")&amp;IF(COUNTIF(Settings!$E$14:$E$43,C1737&amp;"")&gt;0,"Sensitive account | ","")&amp;IF(AND(MAX(N(E1737),N(F1737))&gt;=Settings!$C$9,MOD(MAX(N(E1737),N(F1737)),Settings!$C$10)=0),"Round amount | ","")="","",LEFT(IF(K1737="No","Does not balance | ","")&amp;IF(I1737="","Not approved | ",IF(UPPER(TRIM(H1737))=UPPER(TRIM(I1737)),"Self-approved | ",""))&amp;IF(J1737="","No support | ","")&amp;IF(WEEKDAY(B1737,2)&gt;5,"Weekend posting | ","")&amp;IF(COUNTIF(Settings!$A$14:$A$43,B1737)&gt;0,"Holiday posting | ","")&amp;IF(B1737&gt;Settings!$C$8,"Posted after close | ","")&amp;IF(OR(B1737&lt;Settings!$C$6,B1737&gt;Settings!$C$7),"Outside period | ","")&amp;IF(COUNTIF(Settings!$E$14:$E$43,C1737&amp;"")&gt;0,"Sensitive account | ","")&amp;IF(AND(MAX(N(E1737),N(F1737))&gt;=Settings!$C$9,MOD(MAX(N(E1737),N(F1737)),Settings!$C$10)=0),"Round amount | ",""),LEN(IF(K1737="No","Does not balance | ","")&amp;IF(I1737="","Not approved | ",IF(UPPER(TRIM(H1737))=UPPER(TRIM(I1737)),"Self-approved | ",""))&amp;IF(J1737="","No support | ","")&amp;IF(WEEKDAY(B1737,2)&gt;5,"Weekend posting | ","")&amp;IF(COUNTIF(Settings!$A$14:$A$43,B1737)&gt;0,"Holiday posting | ","")&amp;IF(B1737&gt;Settings!$C$8,"Posted after close | ","")&amp;IF(OR(B1737&lt;Settings!$C$6,B1737&gt;Settings!$C$7),"Outside period | ","")&amp;IF(COUNTIF(Settings!$E$14:$E$43,C1737&amp;"")&gt;0,"Sensitive account | ","")&amp;IF(AND(MAX(N(E1737),N(F1737))&gt;=Settings!$C$9,MOD(MAX(N(E1737),N(F1737)),Settings!$C$10)=0),"Round amount | ",""))-3)))</f>
        <v/>
      </c>
      <c r="M1737" s="21" t="str">
        <f aca="false">IF(A1737="","",IF(COUNTIF($A$9:A1737,A1737)=1,MAX($M$8:M1736)+1,""))</f>
        <v/>
      </c>
    </row>
    <row r="1738" customFormat="false" ht="15" hidden="false" customHeight="false" outlineLevel="0" collapsed="false">
      <c r="A1738" s="8"/>
      <c r="B1738" s="17"/>
      <c r="C1738" s="19"/>
      <c r="D1738" s="8"/>
      <c r="E1738" s="18"/>
      <c r="F1738" s="18"/>
      <c r="G1738" s="8"/>
      <c r="H1738" s="8"/>
      <c r="I1738" s="8"/>
      <c r="J1738" s="8"/>
      <c r="K1738" s="10" t="str">
        <f aca="false">IF(A1738="","",IF(ABS(SUMIFS($E$9:$E$2008,$A$9:$A$2008,A1738)-SUMIFS($F$9:$F$2008,$A$9:$A$2008,A1738))&lt;0.5,"Yes","No"))</f>
        <v/>
      </c>
      <c r="L1738" s="10" t="str">
        <f aca="false">IF(A1738="","",IF(IF(K1738="No","Does not balance | ","")&amp;IF(I1738="","Not approved | ",IF(UPPER(TRIM(H1738))=UPPER(TRIM(I1738)),"Self-approved | ",""))&amp;IF(J1738="","No support | ","")&amp;IF(WEEKDAY(B1738,2)&gt;5,"Weekend posting | ","")&amp;IF(COUNTIF(Settings!$A$14:$A$43,B1738)&gt;0,"Holiday posting | ","")&amp;IF(B1738&gt;Settings!$C$8,"Posted after close | ","")&amp;IF(OR(B1738&lt;Settings!$C$6,B1738&gt;Settings!$C$7),"Outside period | ","")&amp;IF(COUNTIF(Settings!$E$14:$E$43,C1738&amp;"")&gt;0,"Sensitive account | ","")&amp;IF(AND(MAX(N(E1738),N(F1738))&gt;=Settings!$C$9,MOD(MAX(N(E1738),N(F1738)),Settings!$C$10)=0),"Round amount | ","")="","",LEFT(IF(K1738="No","Does not balance | ","")&amp;IF(I1738="","Not approved | ",IF(UPPER(TRIM(H1738))=UPPER(TRIM(I1738)),"Self-approved | ",""))&amp;IF(J1738="","No support | ","")&amp;IF(WEEKDAY(B1738,2)&gt;5,"Weekend posting | ","")&amp;IF(COUNTIF(Settings!$A$14:$A$43,B1738)&gt;0,"Holiday posting | ","")&amp;IF(B1738&gt;Settings!$C$8,"Posted after close | ","")&amp;IF(OR(B1738&lt;Settings!$C$6,B1738&gt;Settings!$C$7),"Outside period | ","")&amp;IF(COUNTIF(Settings!$E$14:$E$43,C1738&amp;"")&gt;0,"Sensitive account | ","")&amp;IF(AND(MAX(N(E1738),N(F1738))&gt;=Settings!$C$9,MOD(MAX(N(E1738),N(F1738)),Settings!$C$10)=0),"Round amount | ",""),LEN(IF(K1738="No","Does not balance | ","")&amp;IF(I1738="","Not approved | ",IF(UPPER(TRIM(H1738))=UPPER(TRIM(I1738)),"Self-approved | ",""))&amp;IF(J1738="","No support | ","")&amp;IF(WEEKDAY(B1738,2)&gt;5,"Weekend posting | ","")&amp;IF(COUNTIF(Settings!$A$14:$A$43,B1738)&gt;0,"Holiday posting | ","")&amp;IF(B1738&gt;Settings!$C$8,"Posted after close | ","")&amp;IF(OR(B1738&lt;Settings!$C$6,B1738&gt;Settings!$C$7),"Outside period | ","")&amp;IF(COUNTIF(Settings!$E$14:$E$43,C1738&amp;"")&gt;0,"Sensitive account | ","")&amp;IF(AND(MAX(N(E1738),N(F1738))&gt;=Settings!$C$9,MOD(MAX(N(E1738),N(F1738)),Settings!$C$10)=0),"Round amount | ",""))-3)))</f>
        <v/>
      </c>
      <c r="M1738" s="21" t="str">
        <f aca="false">IF(A1738="","",IF(COUNTIF($A$9:A1738,A1738)=1,MAX($M$8:M1737)+1,""))</f>
        <v/>
      </c>
    </row>
    <row r="1739" customFormat="false" ht="15" hidden="false" customHeight="false" outlineLevel="0" collapsed="false">
      <c r="A1739" s="8"/>
      <c r="B1739" s="17"/>
      <c r="C1739" s="19"/>
      <c r="D1739" s="8"/>
      <c r="E1739" s="18"/>
      <c r="F1739" s="18"/>
      <c r="G1739" s="8"/>
      <c r="H1739" s="8"/>
      <c r="I1739" s="8"/>
      <c r="J1739" s="8"/>
      <c r="K1739" s="10" t="str">
        <f aca="false">IF(A1739="","",IF(ABS(SUMIFS($E$9:$E$2008,$A$9:$A$2008,A1739)-SUMIFS($F$9:$F$2008,$A$9:$A$2008,A1739))&lt;0.5,"Yes","No"))</f>
        <v/>
      </c>
      <c r="L1739" s="10" t="str">
        <f aca="false">IF(A1739="","",IF(IF(K1739="No","Does not balance | ","")&amp;IF(I1739="","Not approved | ",IF(UPPER(TRIM(H1739))=UPPER(TRIM(I1739)),"Self-approved | ",""))&amp;IF(J1739="","No support | ","")&amp;IF(WEEKDAY(B1739,2)&gt;5,"Weekend posting | ","")&amp;IF(COUNTIF(Settings!$A$14:$A$43,B1739)&gt;0,"Holiday posting | ","")&amp;IF(B1739&gt;Settings!$C$8,"Posted after close | ","")&amp;IF(OR(B1739&lt;Settings!$C$6,B1739&gt;Settings!$C$7),"Outside period | ","")&amp;IF(COUNTIF(Settings!$E$14:$E$43,C1739&amp;"")&gt;0,"Sensitive account | ","")&amp;IF(AND(MAX(N(E1739),N(F1739))&gt;=Settings!$C$9,MOD(MAX(N(E1739),N(F1739)),Settings!$C$10)=0),"Round amount | ","")="","",LEFT(IF(K1739="No","Does not balance | ","")&amp;IF(I1739="","Not approved | ",IF(UPPER(TRIM(H1739))=UPPER(TRIM(I1739)),"Self-approved | ",""))&amp;IF(J1739="","No support | ","")&amp;IF(WEEKDAY(B1739,2)&gt;5,"Weekend posting | ","")&amp;IF(COUNTIF(Settings!$A$14:$A$43,B1739)&gt;0,"Holiday posting | ","")&amp;IF(B1739&gt;Settings!$C$8,"Posted after close | ","")&amp;IF(OR(B1739&lt;Settings!$C$6,B1739&gt;Settings!$C$7),"Outside period | ","")&amp;IF(COUNTIF(Settings!$E$14:$E$43,C1739&amp;"")&gt;0,"Sensitive account | ","")&amp;IF(AND(MAX(N(E1739),N(F1739))&gt;=Settings!$C$9,MOD(MAX(N(E1739),N(F1739)),Settings!$C$10)=0),"Round amount | ",""),LEN(IF(K1739="No","Does not balance | ","")&amp;IF(I1739="","Not approved | ",IF(UPPER(TRIM(H1739))=UPPER(TRIM(I1739)),"Self-approved | ",""))&amp;IF(J1739="","No support | ","")&amp;IF(WEEKDAY(B1739,2)&gt;5,"Weekend posting | ","")&amp;IF(COUNTIF(Settings!$A$14:$A$43,B1739)&gt;0,"Holiday posting | ","")&amp;IF(B1739&gt;Settings!$C$8,"Posted after close | ","")&amp;IF(OR(B1739&lt;Settings!$C$6,B1739&gt;Settings!$C$7),"Outside period | ","")&amp;IF(COUNTIF(Settings!$E$14:$E$43,C1739&amp;"")&gt;0,"Sensitive account | ","")&amp;IF(AND(MAX(N(E1739),N(F1739))&gt;=Settings!$C$9,MOD(MAX(N(E1739),N(F1739)),Settings!$C$10)=0),"Round amount | ",""))-3)))</f>
        <v/>
      </c>
      <c r="M1739" s="21" t="str">
        <f aca="false">IF(A1739="","",IF(COUNTIF($A$9:A1739,A1739)=1,MAX($M$8:M1738)+1,""))</f>
        <v/>
      </c>
    </row>
    <row r="1740" customFormat="false" ht="15" hidden="false" customHeight="false" outlineLevel="0" collapsed="false">
      <c r="A1740" s="8"/>
      <c r="B1740" s="17"/>
      <c r="C1740" s="19"/>
      <c r="D1740" s="8"/>
      <c r="E1740" s="18"/>
      <c r="F1740" s="18"/>
      <c r="G1740" s="8"/>
      <c r="H1740" s="8"/>
      <c r="I1740" s="8"/>
      <c r="J1740" s="8"/>
      <c r="K1740" s="10" t="str">
        <f aca="false">IF(A1740="","",IF(ABS(SUMIFS($E$9:$E$2008,$A$9:$A$2008,A1740)-SUMIFS($F$9:$F$2008,$A$9:$A$2008,A1740))&lt;0.5,"Yes","No"))</f>
        <v/>
      </c>
      <c r="L1740" s="10" t="str">
        <f aca="false">IF(A1740="","",IF(IF(K1740="No","Does not balance | ","")&amp;IF(I1740="","Not approved | ",IF(UPPER(TRIM(H1740))=UPPER(TRIM(I1740)),"Self-approved | ",""))&amp;IF(J1740="","No support | ","")&amp;IF(WEEKDAY(B1740,2)&gt;5,"Weekend posting | ","")&amp;IF(COUNTIF(Settings!$A$14:$A$43,B1740)&gt;0,"Holiday posting | ","")&amp;IF(B1740&gt;Settings!$C$8,"Posted after close | ","")&amp;IF(OR(B1740&lt;Settings!$C$6,B1740&gt;Settings!$C$7),"Outside period | ","")&amp;IF(COUNTIF(Settings!$E$14:$E$43,C1740&amp;"")&gt;0,"Sensitive account | ","")&amp;IF(AND(MAX(N(E1740),N(F1740))&gt;=Settings!$C$9,MOD(MAX(N(E1740),N(F1740)),Settings!$C$10)=0),"Round amount | ","")="","",LEFT(IF(K1740="No","Does not balance | ","")&amp;IF(I1740="","Not approved | ",IF(UPPER(TRIM(H1740))=UPPER(TRIM(I1740)),"Self-approved | ",""))&amp;IF(J1740="","No support | ","")&amp;IF(WEEKDAY(B1740,2)&gt;5,"Weekend posting | ","")&amp;IF(COUNTIF(Settings!$A$14:$A$43,B1740)&gt;0,"Holiday posting | ","")&amp;IF(B1740&gt;Settings!$C$8,"Posted after close | ","")&amp;IF(OR(B1740&lt;Settings!$C$6,B1740&gt;Settings!$C$7),"Outside period | ","")&amp;IF(COUNTIF(Settings!$E$14:$E$43,C1740&amp;"")&gt;0,"Sensitive account | ","")&amp;IF(AND(MAX(N(E1740),N(F1740))&gt;=Settings!$C$9,MOD(MAX(N(E1740),N(F1740)),Settings!$C$10)=0),"Round amount | ",""),LEN(IF(K1740="No","Does not balance | ","")&amp;IF(I1740="","Not approved | ",IF(UPPER(TRIM(H1740))=UPPER(TRIM(I1740)),"Self-approved | ",""))&amp;IF(J1740="","No support | ","")&amp;IF(WEEKDAY(B1740,2)&gt;5,"Weekend posting | ","")&amp;IF(COUNTIF(Settings!$A$14:$A$43,B1740)&gt;0,"Holiday posting | ","")&amp;IF(B1740&gt;Settings!$C$8,"Posted after close | ","")&amp;IF(OR(B1740&lt;Settings!$C$6,B1740&gt;Settings!$C$7),"Outside period | ","")&amp;IF(COUNTIF(Settings!$E$14:$E$43,C1740&amp;"")&gt;0,"Sensitive account | ","")&amp;IF(AND(MAX(N(E1740),N(F1740))&gt;=Settings!$C$9,MOD(MAX(N(E1740),N(F1740)),Settings!$C$10)=0),"Round amount | ",""))-3)))</f>
        <v/>
      </c>
      <c r="M1740" s="21" t="str">
        <f aca="false">IF(A1740="","",IF(COUNTIF($A$9:A1740,A1740)=1,MAX($M$8:M1739)+1,""))</f>
        <v/>
      </c>
    </row>
    <row r="1741" customFormat="false" ht="15" hidden="false" customHeight="false" outlineLevel="0" collapsed="false">
      <c r="A1741" s="8"/>
      <c r="B1741" s="17"/>
      <c r="C1741" s="19"/>
      <c r="D1741" s="8"/>
      <c r="E1741" s="18"/>
      <c r="F1741" s="18"/>
      <c r="G1741" s="8"/>
      <c r="H1741" s="8"/>
      <c r="I1741" s="8"/>
      <c r="J1741" s="8"/>
      <c r="K1741" s="10" t="str">
        <f aca="false">IF(A1741="","",IF(ABS(SUMIFS($E$9:$E$2008,$A$9:$A$2008,A1741)-SUMIFS($F$9:$F$2008,$A$9:$A$2008,A1741))&lt;0.5,"Yes","No"))</f>
        <v/>
      </c>
      <c r="L1741" s="10" t="str">
        <f aca="false">IF(A1741="","",IF(IF(K1741="No","Does not balance | ","")&amp;IF(I1741="","Not approved | ",IF(UPPER(TRIM(H1741))=UPPER(TRIM(I1741)),"Self-approved | ",""))&amp;IF(J1741="","No support | ","")&amp;IF(WEEKDAY(B1741,2)&gt;5,"Weekend posting | ","")&amp;IF(COUNTIF(Settings!$A$14:$A$43,B1741)&gt;0,"Holiday posting | ","")&amp;IF(B1741&gt;Settings!$C$8,"Posted after close | ","")&amp;IF(OR(B1741&lt;Settings!$C$6,B1741&gt;Settings!$C$7),"Outside period | ","")&amp;IF(COUNTIF(Settings!$E$14:$E$43,C1741&amp;"")&gt;0,"Sensitive account | ","")&amp;IF(AND(MAX(N(E1741),N(F1741))&gt;=Settings!$C$9,MOD(MAX(N(E1741),N(F1741)),Settings!$C$10)=0),"Round amount | ","")="","",LEFT(IF(K1741="No","Does not balance | ","")&amp;IF(I1741="","Not approved | ",IF(UPPER(TRIM(H1741))=UPPER(TRIM(I1741)),"Self-approved | ",""))&amp;IF(J1741="","No support | ","")&amp;IF(WEEKDAY(B1741,2)&gt;5,"Weekend posting | ","")&amp;IF(COUNTIF(Settings!$A$14:$A$43,B1741)&gt;0,"Holiday posting | ","")&amp;IF(B1741&gt;Settings!$C$8,"Posted after close | ","")&amp;IF(OR(B1741&lt;Settings!$C$6,B1741&gt;Settings!$C$7),"Outside period | ","")&amp;IF(COUNTIF(Settings!$E$14:$E$43,C1741&amp;"")&gt;0,"Sensitive account | ","")&amp;IF(AND(MAX(N(E1741),N(F1741))&gt;=Settings!$C$9,MOD(MAX(N(E1741),N(F1741)),Settings!$C$10)=0),"Round amount | ",""),LEN(IF(K1741="No","Does not balance | ","")&amp;IF(I1741="","Not approved | ",IF(UPPER(TRIM(H1741))=UPPER(TRIM(I1741)),"Self-approved | ",""))&amp;IF(J1741="","No support | ","")&amp;IF(WEEKDAY(B1741,2)&gt;5,"Weekend posting | ","")&amp;IF(COUNTIF(Settings!$A$14:$A$43,B1741)&gt;0,"Holiday posting | ","")&amp;IF(B1741&gt;Settings!$C$8,"Posted after close | ","")&amp;IF(OR(B1741&lt;Settings!$C$6,B1741&gt;Settings!$C$7),"Outside period | ","")&amp;IF(COUNTIF(Settings!$E$14:$E$43,C1741&amp;"")&gt;0,"Sensitive account | ","")&amp;IF(AND(MAX(N(E1741),N(F1741))&gt;=Settings!$C$9,MOD(MAX(N(E1741),N(F1741)),Settings!$C$10)=0),"Round amount | ",""))-3)))</f>
        <v/>
      </c>
      <c r="M1741" s="21" t="str">
        <f aca="false">IF(A1741="","",IF(COUNTIF($A$9:A1741,A1741)=1,MAX($M$8:M1740)+1,""))</f>
        <v/>
      </c>
    </row>
    <row r="1742" customFormat="false" ht="15" hidden="false" customHeight="false" outlineLevel="0" collapsed="false">
      <c r="A1742" s="8"/>
      <c r="B1742" s="17"/>
      <c r="C1742" s="19"/>
      <c r="D1742" s="8"/>
      <c r="E1742" s="18"/>
      <c r="F1742" s="18"/>
      <c r="G1742" s="8"/>
      <c r="H1742" s="8"/>
      <c r="I1742" s="8"/>
      <c r="J1742" s="8"/>
      <c r="K1742" s="10" t="str">
        <f aca="false">IF(A1742="","",IF(ABS(SUMIFS($E$9:$E$2008,$A$9:$A$2008,A1742)-SUMIFS($F$9:$F$2008,$A$9:$A$2008,A1742))&lt;0.5,"Yes","No"))</f>
        <v/>
      </c>
      <c r="L1742" s="10" t="str">
        <f aca="false">IF(A1742="","",IF(IF(K1742="No","Does not balance | ","")&amp;IF(I1742="","Not approved | ",IF(UPPER(TRIM(H1742))=UPPER(TRIM(I1742)),"Self-approved | ",""))&amp;IF(J1742="","No support | ","")&amp;IF(WEEKDAY(B1742,2)&gt;5,"Weekend posting | ","")&amp;IF(COUNTIF(Settings!$A$14:$A$43,B1742)&gt;0,"Holiday posting | ","")&amp;IF(B1742&gt;Settings!$C$8,"Posted after close | ","")&amp;IF(OR(B1742&lt;Settings!$C$6,B1742&gt;Settings!$C$7),"Outside period | ","")&amp;IF(COUNTIF(Settings!$E$14:$E$43,C1742&amp;"")&gt;0,"Sensitive account | ","")&amp;IF(AND(MAX(N(E1742),N(F1742))&gt;=Settings!$C$9,MOD(MAX(N(E1742),N(F1742)),Settings!$C$10)=0),"Round amount | ","")="","",LEFT(IF(K1742="No","Does not balance | ","")&amp;IF(I1742="","Not approved | ",IF(UPPER(TRIM(H1742))=UPPER(TRIM(I1742)),"Self-approved | ",""))&amp;IF(J1742="","No support | ","")&amp;IF(WEEKDAY(B1742,2)&gt;5,"Weekend posting | ","")&amp;IF(COUNTIF(Settings!$A$14:$A$43,B1742)&gt;0,"Holiday posting | ","")&amp;IF(B1742&gt;Settings!$C$8,"Posted after close | ","")&amp;IF(OR(B1742&lt;Settings!$C$6,B1742&gt;Settings!$C$7),"Outside period | ","")&amp;IF(COUNTIF(Settings!$E$14:$E$43,C1742&amp;"")&gt;0,"Sensitive account | ","")&amp;IF(AND(MAX(N(E1742),N(F1742))&gt;=Settings!$C$9,MOD(MAX(N(E1742),N(F1742)),Settings!$C$10)=0),"Round amount | ",""),LEN(IF(K1742="No","Does not balance | ","")&amp;IF(I1742="","Not approved | ",IF(UPPER(TRIM(H1742))=UPPER(TRIM(I1742)),"Self-approved | ",""))&amp;IF(J1742="","No support | ","")&amp;IF(WEEKDAY(B1742,2)&gt;5,"Weekend posting | ","")&amp;IF(COUNTIF(Settings!$A$14:$A$43,B1742)&gt;0,"Holiday posting | ","")&amp;IF(B1742&gt;Settings!$C$8,"Posted after close | ","")&amp;IF(OR(B1742&lt;Settings!$C$6,B1742&gt;Settings!$C$7),"Outside period | ","")&amp;IF(COUNTIF(Settings!$E$14:$E$43,C1742&amp;"")&gt;0,"Sensitive account | ","")&amp;IF(AND(MAX(N(E1742),N(F1742))&gt;=Settings!$C$9,MOD(MAX(N(E1742),N(F1742)),Settings!$C$10)=0),"Round amount | ",""))-3)))</f>
        <v/>
      </c>
      <c r="M1742" s="21" t="str">
        <f aca="false">IF(A1742="","",IF(COUNTIF($A$9:A1742,A1742)=1,MAX($M$8:M1741)+1,""))</f>
        <v/>
      </c>
    </row>
    <row r="1743" customFormat="false" ht="15" hidden="false" customHeight="false" outlineLevel="0" collapsed="false">
      <c r="A1743" s="8"/>
      <c r="B1743" s="17"/>
      <c r="C1743" s="19"/>
      <c r="D1743" s="8"/>
      <c r="E1743" s="18"/>
      <c r="F1743" s="18"/>
      <c r="G1743" s="8"/>
      <c r="H1743" s="8"/>
      <c r="I1743" s="8"/>
      <c r="J1743" s="8"/>
      <c r="K1743" s="10" t="str">
        <f aca="false">IF(A1743="","",IF(ABS(SUMIFS($E$9:$E$2008,$A$9:$A$2008,A1743)-SUMIFS($F$9:$F$2008,$A$9:$A$2008,A1743))&lt;0.5,"Yes","No"))</f>
        <v/>
      </c>
      <c r="L1743" s="10" t="str">
        <f aca="false">IF(A1743="","",IF(IF(K1743="No","Does not balance | ","")&amp;IF(I1743="","Not approved | ",IF(UPPER(TRIM(H1743))=UPPER(TRIM(I1743)),"Self-approved | ",""))&amp;IF(J1743="","No support | ","")&amp;IF(WEEKDAY(B1743,2)&gt;5,"Weekend posting | ","")&amp;IF(COUNTIF(Settings!$A$14:$A$43,B1743)&gt;0,"Holiday posting | ","")&amp;IF(B1743&gt;Settings!$C$8,"Posted after close | ","")&amp;IF(OR(B1743&lt;Settings!$C$6,B1743&gt;Settings!$C$7),"Outside period | ","")&amp;IF(COUNTIF(Settings!$E$14:$E$43,C1743&amp;"")&gt;0,"Sensitive account | ","")&amp;IF(AND(MAX(N(E1743),N(F1743))&gt;=Settings!$C$9,MOD(MAX(N(E1743),N(F1743)),Settings!$C$10)=0),"Round amount | ","")="","",LEFT(IF(K1743="No","Does not balance | ","")&amp;IF(I1743="","Not approved | ",IF(UPPER(TRIM(H1743))=UPPER(TRIM(I1743)),"Self-approved | ",""))&amp;IF(J1743="","No support | ","")&amp;IF(WEEKDAY(B1743,2)&gt;5,"Weekend posting | ","")&amp;IF(COUNTIF(Settings!$A$14:$A$43,B1743)&gt;0,"Holiday posting | ","")&amp;IF(B1743&gt;Settings!$C$8,"Posted after close | ","")&amp;IF(OR(B1743&lt;Settings!$C$6,B1743&gt;Settings!$C$7),"Outside period | ","")&amp;IF(COUNTIF(Settings!$E$14:$E$43,C1743&amp;"")&gt;0,"Sensitive account | ","")&amp;IF(AND(MAX(N(E1743),N(F1743))&gt;=Settings!$C$9,MOD(MAX(N(E1743),N(F1743)),Settings!$C$10)=0),"Round amount | ",""),LEN(IF(K1743="No","Does not balance | ","")&amp;IF(I1743="","Not approved | ",IF(UPPER(TRIM(H1743))=UPPER(TRIM(I1743)),"Self-approved | ",""))&amp;IF(J1743="","No support | ","")&amp;IF(WEEKDAY(B1743,2)&gt;5,"Weekend posting | ","")&amp;IF(COUNTIF(Settings!$A$14:$A$43,B1743)&gt;0,"Holiday posting | ","")&amp;IF(B1743&gt;Settings!$C$8,"Posted after close | ","")&amp;IF(OR(B1743&lt;Settings!$C$6,B1743&gt;Settings!$C$7),"Outside period | ","")&amp;IF(COUNTIF(Settings!$E$14:$E$43,C1743&amp;"")&gt;0,"Sensitive account | ","")&amp;IF(AND(MAX(N(E1743),N(F1743))&gt;=Settings!$C$9,MOD(MAX(N(E1743),N(F1743)),Settings!$C$10)=0),"Round amount | ",""))-3)))</f>
        <v/>
      </c>
      <c r="M1743" s="21" t="str">
        <f aca="false">IF(A1743="","",IF(COUNTIF($A$9:A1743,A1743)=1,MAX($M$8:M1742)+1,""))</f>
        <v/>
      </c>
    </row>
    <row r="1744" customFormat="false" ht="15" hidden="false" customHeight="false" outlineLevel="0" collapsed="false">
      <c r="A1744" s="8"/>
      <c r="B1744" s="17"/>
      <c r="C1744" s="19"/>
      <c r="D1744" s="8"/>
      <c r="E1744" s="18"/>
      <c r="F1744" s="18"/>
      <c r="G1744" s="8"/>
      <c r="H1744" s="8"/>
      <c r="I1744" s="8"/>
      <c r="J1744" s="8"/>
      <c r="K1744" s="10" t="str">
        <f aca="false">IF(A1744="","",IF(ABS(SUMIFS($E$9:$E$2008,$A$9:$A$2008,A1744)-SUMIFS($F$9:$F$2008,$A$9:$A$2008,A1744))&lt;0.5,"Yes","No"))</f>
        <v/>
      </c>
      <c r="L1744" s="10" t="str">
        <f aca="false">IF(A1744="","",IF(IF(K1744="No","Does not balance | ","")&amp;IF(I1744="","Not approved | ",IF(UPPER(TRIM(H1744))=UPPER(TRIM(I1744)),"Self-approved | ",""))&amp;IF(J1744="","No support | ","")&amp;IF(WEEKDAY(B1744,2)&gt;5,"Weekend posting | ","")&amp;IF(COUNTIF(Settings!$A$14:$A$43,B1744)&gt;0,"Holiday posting | ","")&amp;IF(B1744&gt;Settings!$C$8,"Posted after close | ","")&amp;IF(OR(B1744&lt;Settings!$C$6,B1744&gt;Settings!$C$7),"Outside period | ","")&amp;IF(COUNTIF(Settings!$E$14:$E$43,C1744&amp;"")&gt;0,"Sensitive account | ","")&amp;IF(AND(MAX(N(E1744),N(F1744))&gt;=Settings!$C$9,MOD(MAX(N(E1744),N(F1744)),Settings!$C$10)=0),"Round amount | ","")="","",LEFT(IF(K1744="No","Does not balance | ","")&amp;IF(I1744="","Not approved | ",IF(UPPER(TRIM(H1744))=UPPER(TRIM(I1744)),"Self-approved | ",""))&amp;IF(J1744="","No support | ","")&amp;IF(WEEKDAY(B1744,2)&gt;5,"Weekend posting | ","")&amp;IF(COUNTIF(Settings!$A$14:$A$43,B1744)&gt;0,"Holiday posting | ","")&amp;IF(B1744&gt;Settings!$C$8,"Posted after close | ","")&amp;IF(OR(B1744&lt;Settings!$C$6,B1744&gt;Settings!$C$7),"Outside period | ","")&amp;IF(COUNTIF(Settings!$E$14:$E$43,C1744&amp;"")&gt;0,"Sensitive account | ","")&amp;IF(AND(MAX(N(E1744),N(F1744))&gt;=Settings!$C$9,MOD(MAX(N(E1744),N(F1744)),Settings!$C$10)=0),"Round amount | ",""),LEN(IF(K1744="No","Does not balance | ","")&amp;IF(I1744="","Not approved | ",IF(UPPER(TRIM(H1744))=UPPER(TRIM(I1744)),"Self-approved | ",""))&amp;IF(J1744="","No support | ","")&amp;IF(WEEKDAY(B1744,2)&gt;5,"Weekend posting | ","")&amp;IF(COUNTIF(Settings!$A$14:$A$43,B1744)&gt;0,"Holiday posting | ","")&amp;IF(B1744&gt;Settings!$C$8,"Posted after close | ","")&amp;IF(OR(B1744&lt;Settings!$C$6,B1744&gt;Settings!$C$7),"Outside period | ","")&amp;IF(COUNTIF(Settings!$E$14:$E$43,C1744&amp;"")&gt;0,"Sensitive account | ","")&amp;IF(AND(MAX(N(E1744),N(F1744))&gt;=Settings!$C$9,MOD(MAX(N(E1744),N(F1744)),Settings!$C$10)=0),"Round amount | ",""))-3)))</f>
        <v/>
      </c>
      <c r="M1744" s="21" t="str">
        <f aca="false">IF(A1744="","",IF(COUNTIF($A$9:A1744,A1744)=1,MAX($M$8:M1743)+1,""))</f>
        <v/>
      </c>
    </row>
    <row r="1745" customFormat="false" ht="15" hidden="false" customHeight="false" outlineLevel="0" collapsed="false">
      <c r="A1745" s="8"/>
      <c r="B1745" s="17"/>
      <c r="C1745" s="19"/>
      <c r="D1745" s="8"/>
      <c r="E1745" s="18"/>
      <c r="F1745" s="18"/>
      <c r="G1745" s="8"/>
      <c r="H1745" s="8"/>
      <c r="I1745" s="8"/>
      <c r="J1745" s="8"/>
      <c r="K1745" s="10" t="str">
        <f aca="false">IF(A1745="","",IF(ABS(SUMIFS($E$9:$E$2008,$A$9:$A$2008,A1745)-SUMIFS($F$9:$F$2008,$A$9:$A$2008,A1745))&lt;0.5,"Yes","No"))</f>
        <v/>
      </c>
      <c r="L1745" s="10" t="str">
        <f aca="false">IF(A1745="","",IF(IF(K1745="No","Does not balance | ","")&amp;IF(I1745="","Not approved | ",IF(UPPER(TRIM(H1745))=UPPER(TRIM(I1745)),"Self-approved | ",""))&amp;IF(J1745="","No support | ","")&amp;IF(WEEKDAY(B1745,2)&gt;5,"Weekend posting | ","")&amp;IF(COUNTIF(Settings!$A$14:$A$43,B1745)&gt;0,"Holiday posting | ","")&amp;IF(B1745&gt;Settings!$C$8,"Posted after close | ","")&amp;IF(OR(B1745&lt;Settings!$C$6,B1745&gt;Settings!$C$7),"Outside period | ","")&amp;IF(COUNTIF(Settings!$E$14:$E$43,C1745&amp;"")&gt;0,"Sensitive account | ","")&amp;IF(AND(MAX(N(E1745),N(F1745))&gt;=Settings!$C$9,MOD(MAX(N(E1745),N(F1745)),Settings!$C$10)=0),"Round amount | ","")="","",LEFT(IF(K1745="No","Does not balance | ","")&amp;IF(I1745="","Not approved | ",IF(UPPER(TRIM(H1745))=UPPER(TRIM(I1745)),"Self-approved | ",""))&amp;IF(J1745="","No support | ","")&amp;IF(WEEKDAY(B1745,2)&gt;5,"Weekend posting | ","")&amp;IF(COUNTIF(Settings!$A$14:$A$43,B1745)&gt;0,"Holiday posting | ","")&amp;IF(B1745&gt;Settings!$C$8,"Posted after close | ","")&amp;IF(OR(B1745&lt;Settings!$C$6,B1745&gt;Settings!$C$7),"Outside period | ","")&amp;IF(COUNTIF(Settings!$E$14:$E$43,C1745&amp;"")&gt;0,"Sensitive account | ","")&amp;IF(AND(MAX(N(E1745),N(F1745))&gt;=Settings!$C$9,MOD(MAX(N(E1745),N(F1745)),Settings!$C$10)=0),"Round amount | ",""),LEN(IF(K1745="No","Does not balance | ","")&amp;IF(I1745="","Not approved | ",IF(UPPER(TRIM(H1745))=UPPER(TRIM(I1745)),"Self-approved | ",""))&amp;IF(J1745="","No support | ","")&amp;IF(WEEKDAY(B1745,2)&gt;5,"Weekend posting | ","")&amp;IF(COUNTIF(Settings!$A$14:$A$43,B1745)&gt;0,"Holiday posting | ","")&amp;IF(B1745&gt;Settings!$C$8,"Posted after close | ","")&amp;IF(OR(B1745&lt;Settings!$C$6,B1745&gt;Settings!$C$7),"Outside period | ","")&amp;IF(COUNTIF(Settings!$E$14:$E$43,C1745&amp;"")&gt;0,"Sensitive account | ","")&amp;IF(AND(MAX(N(E1745),N(F1745))&gt;=Settings!$C$9,MOD(MAX(N(E1745),N(F1745)),Settings!$C$10)=0),"Round amount | ",""))-3)))</f>
        <v/>
      </c>
      <c r="M1745" s="21" t="str">
        <f aca="false">IF(A1745="","",IF(COUNTIF($A$9:A1745,A1745)=1,MAX($M$8:M1744)+1,""))</f>
        <v/>
      </c>
    </row>
    <row r="1746" customFormat="false" ht="15" hidden="false" customHeight="false" outlineLevel="0" collapsed="false">
      <c r="A1746" s="8"/>
      <c r="B1746" s="17"/>
      <c r="C1746" s="19"/>
      <c r="D1746" s="8"/>
      <c r="E1746" s="18"/>
      <c r="F1746" s="18"/>
      <c r="G1746" s="8"/>
      <c r="H1746" s="8"/>
      <c r="I1746" s="8"/>
      <c r="J1746" s="8"/>
      <c r="K1746" s="10" t="str">
        <f aca="false">IF(A1746="","",IF(ABS(SUMIFS($E$9:$E$2008,$A$9:$A$2008,A1746)-SUMIFS($F$9:$F$2008,$A$9:$A$2008,A1746))&lt;0.5,"Yes","No"))</f>
        <v/>
      </c>
      <c r="L1746" s="10" t="str">
        <f aca="false">IF(A1746="","",IF(IF(K1746="No","Does not balance | ","")&amp;IF(I1746="","Not approved | ",IF(UPPER(TRIM(H1746))=UPPER(TRIM(I1746)),"Self-approved | ",""))&amp;IF(J1746="","No support | ","")&amp;IF(WEEKDAY(B1746,2)&gt;5,"Weekend posting | ","")&amp;IF(COUNTIF(Settings!$A$14:$A$43,B1746)&gt;0,"Holiday posting | ","")&amp;IF(B1746&gt;Settings!$C$8,"Posted after close | ","")&amp;IF(OR(B1746&lt;Settings!$C$6,B1746&gt;Settings!$C$7),"Outside period | ","")&amp;IF(COUNTIF(Settings!$E$14:$E$43,C1746&amp;"")&gt;0,"Sensitive account | ","")&amp;IF(AND(MAX(N(E1746),N(F1746))&gt;=Settings!$C$9,MOD(MAX(N(E1746),N(F1746)),Settings!$C$10)=0),"Round amount | ","")="","",LEFT(IF(K1746="No","Does not balance | ","")&amp;IF(I1746="","Not approved | ",IF(UPPER(TRIM(H1746))=UPPER(TRIM(I1746)),"Self-approved | ",""))&amp;IF(J1746="","No support | ","")&amp;IF(WEEKDAY(B1746,2)&gt;5,"Weekend posting | ","")&amp;IF(COUNTIF(Settings!$A$14:$A$43,B1746)&gt;0,"Holiday posting | ","")&amp;IF(B1746&gt;Settings!$C$8,"Posted after close | ","")&amp;IF(OR(B1746&lt;Settings!$C$6,B1746&gt;Settings!$C$7),"Outside period | ","")&amp;IF(COUNTIF(Settings!$E$14:$E$43,C1746&amp;"")&gt;0,"Sensitive account | ","")&amp;IF(AND(MAX(N(E1746),N(F1746))&gt;=Settings!$C$9,MOD(MAX(N(E1746),N(F1746)),Settings!$C$10)=0),"Round amount | ",""),LEN(IF(K1746="No","Does not balance | ","")&amp;IF(I1746="","Not approved | ",IF(UPPER(TRIM(H1746))=UPPER(TRIM(I1746)),"Self-approved | ",""))&amp;IF(J1746="","No support | ","")&amp;IF(WEEKDAY(B1746,2)&gt;5,"Weekend posting | ","")&amp;IF(COUNTIF(Settings!$A$14:$A$43,B1746)&gt;0,"Holiday posting | ","")&amp;IF(B1746&gt;Settings!$C$8,"Posted after close | ","")&amp;IF(OR(B1746&lt;Settings!$C$6,B1746&gt;Settings!$C$7),"Outside period | ","")&amp;IF(COUNTIF(Settings!$E$14:$E$43,C1746&amp;"")&gt;0,"Sensitive account | ","")&amp;IF(AND(MAX(N(E1746),N(F1746))&gt;=Settings!$C$9,MOD(MAX(N(E1746),N(F1746)),Settings!$C$10)=0),"Round amount | ",""))-3)))</f>
        <v/>
      </c>
      <c r="M1746" s="21" t="str">
        <f aca="false">IF(A1746="","",IF(COUNTIF($A$9:A1746,A1746)=1,MAX($M$8:M1745)+1,""))</f>
        <v/>
      </c>
    </row>
    <row r="1747" customFormat="false" ht="15" hidden="false" customHeight="false" outlineLevel="0" collapsed="false">
      <c r="A1747" s="8"/>
      <c r="B1747" s="17"/>
      <c r="C1747" s="19"/>
      <c r="D1747" s="8"/>
      <c r="E1747" s="18"/>
      <c r="F1747" s="18"/>
      <c r="G1747" s="8"/>
      <c r="H1747" s="8"/>
      <c r="I1747" s="8"/>
      <c r="J1747" s="8"/>
      <c r="K1747" s="10" t="str">
        <f aca="false">IF(A1747="","",IF(ABS(SUMIFS($E$9:$E$2008,$A$9:$A$2008,A1747)-SUMIFS($F$9:$F$2008,$A$9:$A$2008,A1747))&lt;0.5,"Yes","No"))</f>
        <v/>
      </c>
      <c r="L1747" s="10" t="str">
        <f aca="false">IF(A1747="","",IF(IF(K1747="No","Does not balance | ","")&amp;IF(I1747="","Not approved | ",IF(UPPER(TRIM(H1747))=UPPER(TRIM(I1747)),"Self-approved | ",""))&amp;IF(J1747="","No support | ","")&amp;IF(WEEKDAY(B1747,2)&gt;5,"Weekend posting | ","")&amp;IF(COUNTIF(Settings!$A$14:$A$43,B1747)&gt;0,"Holiday posting | ","")&amp;IF(B1747&gt;Settings!$C$8,"Posted after close | ","")&amp;IF(OR(B1747&lt;Settings!$C$6,B1747&gt;Settings!$C$7),"Outside period | ","")&amp;IF(COUNTIF(Settings!$E$14:$E$43,C1747&amp;"")&gt;0,"Sensitive account | ","")&amp;IF(AND(MAX(N(E1747),N(F1747))&gt;=Settings!$C$9,MOD(MAX(N(E1747),N(F1747)),Settings!$C$10)=0),"Round amount | ","")="","",LEFT(IF(K1747="No","Does not balance | ","")&amp;IF(I1747="","Not approved | ",IF(UPPER(TRIM(H1747))=UPPER(TRIM(I1747)),"Self-approved | ",""))&amp;IF(J1747="","No support | ","")&amp;IF(WEEKDAY(B1747,2)&gt;5,"Weekend posting | ","")&amp;IF(COUNTIF(Settings!$A$14:$A$43,B1747)&gt;0,"Holiday posting | ","")&amp;IF(B1747&gt;Settings!$C$8,"Posted after close | ","")&amp;IF(OR(B1747&lt;Settings!$C$6,B1747&gt;Settings!$C$7),"Outside period | ","")&amp;IF(COUNTIF(Settings!$E$14:$E$43,C1747&amp;"")&gt;0,"Sensitive account | ","")&amp;IF(AND(MAX(N(E1747),N(F1747))&gt;=Settings!$C$9,MOD(MAX(N(E1747),N(F1747)),Settings!$C$10)=0),"Round amount | ",""),LEN(IF(K1747="No","Does not balance | ","")&amp;IF(I1747="","Not approved | ",IF(UPPER(TRIM(H1747))=UPPER(TRIM(I1747)),"Self-approved | ",""))&amp;IF(J1747="","No support | ","")&amp;IF(WEEKDAY(B1747,2)&gt;5,"Weekend posting | ","")&amp;IF(COUNTIF(Settings!$A$14:$A$43,B1747)&gt;0,"Holiday posting | ","")&amp;IF(B1747&gt;Settings!$C$8,"Posted after close | ","")&amp;IF(OR(B1747&lt;Settings!$C$6,B1747&gt;Settings!$C$7),"Outside period | ","")&amp;IF(COUNTIF(Settings!$E$14:$E$43,C1747&amp;"")&gt;0,"Sensitive account | ","")&amp;IF(AND(MAX(N(E1747),N(F1747))&gt;=Settings!$C$9,MOD(MAX(N(E1747),N(F1747)),Settings!$C$10)=0),"Round amount | ",""))-3)))</f>
        <v/>
      </c>
      <c r="M1747" s="21" t="str">
        <f aca="false">IF(A1747="","",IF(COUNTIF($A$9:A1747,A1747)=1,MAX($M$8:M1746)+1,""))</f>
        <v/>
      </c>
    </row>
    <row r="1748" customFormat="false" ht="15" hidden="false" customHeight="false" outlineLevel="0" collapsed="false">
      <c r="A1748" s="8"/>
      <c r="B1748" s="17"/>
      <c r="C1748" s="19"/>
      <c r="D1748" s="8"/>
      <c r="E1748" s="18"/>
      <c r="F1748" s="18"/>
      <c r="G1748" s="8"/>
      <c r="H1748" s="8"/>
      <c r="I1748" s="8"/>
      <c r="J1748" s="8"/>
      <c r="K1748" s="10" t="str">
        <f aca="false">IF(A1748="","",IF(ABS(SUMIFS($E$9:$E$2008,$A$9:$A$2008,A1748)-SUMIFS($F$9:$F$2008,$A$9:$A$2008,A1748))&lt;0.5,"Yes","No"))</f>
        <v/>
      </c>
      <c r="L1748" s="10" t="str">
        <f aca="false">IF(A1748="","",IF(IF(K1748="No","Does not balance | ","")&amp;IF(I1748="","Not approved | ",IF(UPPER(TRIM(H1748))=UPPER(TRIM(I1748)),"Self-approved | ",""))&amp;IF(J1748="","No support | ","")&amp;IF(WEEKDAY(B1748,2)&gt;5,"Weekend posting | ","")&amp;IF(COUNTIF(Settings!$A$14:$A$43,B1748)&gt;0,"Holiday posting | ","")&amp;IF(B1748&gt;Settings!$C$8,"Posted after close | ","")&amp;IF(OR(B1748&lt;Settings!$C$6,B1748&gt;Settings!$C$7),"Outside period | ","")&amp;IF(COUNTIF(Settings!$E$14:$E$43,C1748&amp;"")&gt;0,"Sensitive account | ","")&amp;IF(AND(MAX(N(E1748),N(F1748))&gt;=Settings!$C$9,MOD(MAX(N(E1748),N(F1748)),Settings!$C$10)=0),"Round amount | ","")="","",LEFT(IF(K1748="No","Does not balance | ","")&amp;IF(I1748="","Not approved | ",IF(UPPER(TRIM(H1748))=UPPER(TRIM(I1748)),"Self-approved | ",""))&amp;IF(J1748="","No support | ","")&amp;IF(WEEKDAY(B1748,2)&gt;5,"Weekend posting | ","")&amp;IF(COUNTIF(Settings!$A$14:$A$43,B1748)&gt;0,"Holiday posting | ","")&amp;IF(B1748&gt;Settings!$C$8,"Posted after close | ","")&amp;IF(OR(B1748&lt;Settings!$C$6,B1748&gt;Settings!$C$7),"Outside period | ","")&amp;IF(COUNTIF(Settings!$E$14:$E$43,C1748&amp;"")&gt;0,"Sensitive account | ","")&amp;IF(AND(MAX(N(E1748),N(F1748))&gt;=Settings!$C$9,MOD(MAX(N(E1748),N(F1748)),Settings!$C$10)=0),"Round amount | ",""),LEN(IF(K1748="No","Does not balance | ","")&amp;IF(I1748="","Not approved | ",IF(UPPER(TRIM(H1748))=UPPER(TRIM(I1748)),"Self-approved | ",""))&amp;IF(J1748="","No support | ","")&amp;IF(WEEKDAY(B1748,2)&gt;5,"Weekend posting | ","")&amp;IF(COUNTIF(Settings!$A$14:$A$43,B1748)&gt;0,"Holiday posting | ","")&amp;IF(B1748&gt;Settings!$C$8,"Posted after close | ","")&amp;IF(OR(B1748&lt;Settings!$C$6,B1748&gt;Settings!$C$7),"Outside period | ","")&amp;IF(COUNTIF(Settings!$E$14:$E$43,C1748&amp;"")&gt;0,"Sensitive account | ","")&amp;IF(AND(MAX(N(E1748),N(F1748))&gt;=Settings!$C$9,MOD(MAX(N(E1748),N(F1748)),Settings!$C$10)=0),"Round amount | ",""))-3)))</f>
        <v/>
      </c>
      <c r="M1748" s="21" t="str">
        <f aca="false">IF(A1748="","",IF(COUNTIF($A$9:A1748,A1748)=1,MAX($M$8:M1747)+1,""))</f>
        <v/>
      </c>
    </row>
    <row r="1749" customFormat="false" ht="15" hidden="false" customHeight="false" outlineLevel="0" collapsed="false">
      <c r="A1749" s="8"/>
      <c r="B1749" s="17"/>
      <c r="C1749" s="19"/>
      <c r="D1749" s="8"/>
      <c r="E1749" s="18"/>
      <c r="F1749" s="18"/>
      <c r="G1749" s="8"/>
      <c r="H1749" s="8"/>
      <c r="I1749" s="8"/>
      <c r="J1749" s="8"/>
      <c r="K1749" s="10" t="str">
        <f aca="false">IF(A1749="","",IF(ABS(SUMIFS($E$9:$E$2008,$A$9:$A$2008,A1749)-SUMIFS($F$9:$F$2008,$A$9:$A$2008,A1749))&lt;0.5,"Yes","No"))</f>
        <v/>
      </c>
      <c r="L1749" s="10" t="str">
        <f aca="false">IF(A1749="","",IF(IF(K1749="No","Does not balance | ","")&amp;IF(I1749="","Not approved | ",IF(UPPER(TRIM(H1749))=UPPER(TRIM(I1749)),"Self-approved | ",""))&amp;IF(J1749="","No support | ","")&amp;IF(WEEKDAY(B1749,2)&gt;5,"Weekend posting | ","")&amp;IF(COUNTIF(Settings!$A$14:$A$43,B1749)&gt;0,"Holiday posting | ","")&amp;IF(B1749&gt;Settings!$C$8,"Posted after close | ","")&amp;IF(OR(B1749&lt;Settings!$C$6,B1749&gt;Settings!$C$7),"Outside period | ","")&amp;IF(COUNTIF(Settings!$E$14:$E$43,C1749&amp;"")&gt;0,"Sensitive account | ","")&amp;IF(AND(MAX(N(E1749),N(F1749))&gt;=Settings!$C$9,MOD(MAX(N(E1749),N(F1749)),Settings!$C$10)=0),"Round amount | ","")="","",LEFT(IF(K1749="No","Does not balance | ","")&amp;IF(I1749="","Not approved | ",IF(UPPER(TRIM(H1749))=UPPER(TRIM(I1749)),"Self-approved | ",""))&amp;IF(J1749="","No support | ","")&amp;IF(WEEKDAY(B1749,2)&gt;5,"Weekend posting | ","")&amp;IF(COUNTIF(Settings!$A$14:$A$43,B1749)&gt;0,"Holiday posting | ","")&amp;IF(B1749&gt;Settings!$C$8,"Posted after close | ","")&amp;IF(OR(B1749&lt;Settings!$C$6,B1749&gt;Settings!$C$7),"Outside period | ","")&amp;IF(COUNTIF(Settings!$E$14:$E$43,C1749&amp;"")&gt;0,"Sensitive account | ","")&amp;IF(AND(MAX(N(E1749),N(F1749))&gt;=Settings!$C$9,MOD(MAX(N(E1749),N(F1749)),Settings!$C$10)=0),"Round amount | ",""),LEN(IF(K1749="No","Does not balance | ","")&amp;IF(I1749="","Not approved | ",IF(UPPER(TRIM(H1749))=UPPER(TRIM(I1749)),"Self-approved | ",""))&amp;IF(J1749="","No support | ","")&amp;IF(WEEKDAY(B1749,2)&gt;5,"Weekend posting | ","")&amp;IF(COUNTIF(Settings!$A$14:$A$43,B1749)&gt;0,"Holiday posting | ","")&amp;IF(B1749&gt;Settings!$C$8,"Posted after close | ","")&amp;IF(OR(B1749&lt;Settings!$C$6,B1749&gt;Settings!$C$7),"Outside period | ","")&amp;IF(COUNTIF(Settings!$E$14:$E$43,C1749&amp;"")&gt;0,"Sensitive account | ","")&amp;IF(AND(MAX(N(E1749),N(F1749))&gt;=Settings!$C$9,MOD(MAX(N(E1749),N(F1749)),Settings!$C$10)=0),"Round amount | ",""))-3)))</f>
        <v/>
      </c>
      <c r="M1749" s="21" t="str">
        <f aca="false">IF(A1749="","",IF(COUNTIF($A$9:A1749,A1749)=1,MAX($M$8:M1748)+1,""))</f>
        <v/>
      </c>
    </row>
    <row r="1750" customFormat="false" ht="15" hidden="false" customHeight="false" outlineLevel="0" collapsed="false">
      <c r="A1750" s="8"/>
      <c r="B1750" s="17"/>
      <c r="C1750" s="19"/>
      <c r="D1750" s="8"/>
      <c r="E1750" s="18"/>
      <c r="F1750" s="18"/>
      <c r="G1750" s="8"/>
      <c r="H1750" s="8"/>
      <c r="I1750" s="8"/>
      <c r="J1750" s="8"/>
      <c r="K1750" s="10" t="str">
        <f aca="false">IF(A1750="","",IF(ABS(SUMIFS($E$9:$E$2008,$A$9:$A$2008,A1750)-SUMIFS($F$9:$F$2008,$A$9:$A$2008,A1750))&lt;0.5,"Yes","No"))</f>
        <v/>
      </c>
      <c r="L1750" s="10" t="str">
        <f aca="false">IF(A1750="","",IF(IF(K1750="No","Does not balance | ","")&amp;IF(I1750="","Not approved | ",IF(UPPER(TRIM(H1750))=UPPER(TRIM(I1750)),"Self-approved | ",""))&amp;IF(J1750="","No support | ","")&amp;IF(WEEKDAY(B1750,2)&gt;5,"Weekend posting | ","")&amp;IF(COUNTIF(Settings!$A$14:$A$43,B1750)&gt;0,"Holiday posting | ","")&amp;IF(B1750&gt;Settings!$C$8,"Posted after close | ","")&amp;IF(OR(B1750&lt;Settings!$C$6,B1750&gt;Settings!$C$7),"Outside period | ","")&amp;IF(COUNTIF(Settings!$E$14:$E$43,C1750&amp;"")&gt;0,"Sensitive account | ","")&amp;IF(AND(MAX(N(E1750),N(F1750))&gt;=Settings!$C$9,MOD(MAX(N(E1750),N(F1750)),Settings!$C$10)=0),"Round amount | ","")="","",LEFT(IF(K1750="No","Does not balance | ","")&amp;IF(I1750="","Not approved | ",IF(UPPER(TRIM(H1750))=UPPER(TRIM(I1750)),"Self-approved | ",""))&amp;IF(J1750="","No support | ","")&amp;IF(WEEKDAY(B1750,2)&gt;5,"Weekend posting | ","")&amp;IF(COUNTIF(Settings!$A$14:$A$43,B1750)&gt;0,"Holiday posting | ","")&amp;IF(B1750&gt;Settings!$C$8,"Posted after close | ","")&amp;IF(OR(B1750&lt;Settings!$C$6,B1750&gt;Settings!$C$7),"Outside period | ","")&amp;IF(COUNTIF(Settings!$E$14:$E$43,C1750&amp;"")&gt;0,"Sensitive account | ","")&amp;IF(AND(MAX(N(E1750),N(F1750))&gt;=Settings!$C$9,MOD(MAX(N(E1750),N(F1750)),Settings!$C$10)=0),"Round amount | ",""),LEN(IF(K1750="No","Does not balance | ","")&amp;IF(I1750="","Not approved | ",IF(UPPER(TRIM(H1750))=UPPER(TRIM(I1750)),"Self-approved | ",""))&amp;IF(J1750="","No support | ","")&amp;IF(WEEKDAY(B1750,2)&gt;5,"Weekend posting | ","")&amp;IF(COUNTIF(Settings!$A$14:$A$43,B1750)&gt;0,"Holiday posting | ","")&amp;IF(B1750&gt;Settings!$C$8,"Posted after close | ","")&amp;IF(OR(B1750&lt;Settings!$C$6,B1750&gt;Settings!$C$7),"Outside period | ","")&amp;IF(COUNTIF(Settings!$E$14:$E$43,C1750&amp;"")&gt;0,"Sensitive account | ","")&amp;IF(AND(MAX(N(E1750),N(F1750))&gt;=Settings!$C$9,MOD(MAX(N(E1750),N(F1750)),Settings!$C$10)=0),"Round amount | ",""))-3)))</f>
        <v/>
      </c>
      <c r="M1750" s="21" t="str">
        <f aca="false">IF(A1750="","",IF(COUNTIF($A$9:A1750,A1750)=1,MAX($M$8:M1749)+1,""))</f>
        <v/>
      </c>
    </row>
    <row r="1751" customFormat="false" ht="15" hidden="false" customHeight="false" outlineLevel="0" collapsed="false">
      <c r="A1751" s="8"/>
      <c r="B1751" s="17"/>
      <c r="C1751" s="19"/>
      <c r="D1751" s="8"/>
      <c r="E1751" s="18"/>
      <c r="F1751" s="18"/>
      <c r="G1751" s="8"/>
      <c r="H1751" s="8"/>
      <c r="I1751" s="8"/>
      <c r="J1751" s="8"/>
      <c r="K1751" s="10" t="str">
        <f aca="false">IF(A1751="","",IF(ABS(SUMIFS($E$9:$E$2008,$A$9:$A$2008,A1751)-SUMIFS($F$9:$F$2008,$A$9:$A$2008,A1751))&lt;0.5,"Yes","No"))</f>
        <v/>
      </c>
      <c r="L1751" s="10" t="str">
        <f aca="false">IF(A1751="","",IF(IF(K1751="No","Does not balance | ","")&amp;IF(I1751="","Not approved | ",IF(UPPER(TRIM(H1751))=UPPER(TRIM(I1751)),"Self-approved | ",""))&amp;IF(J1751="","No support | ","")&amp;IF(WEEKDAY(B1751,2)&gt;5,"Weekend posting | ","")&amp;IF(COUNTIF(Settings!$A$14:$A$43,B1751)&gt;0,"Holiday posting | ","")&amp;IF(B1751&gt;Settings!$C$8,"Posted after close | ","")&amp;IF(OR(B1751&lt;Settings!$C$6,B1751&gt;Settings!$C$7),"Outside period | ","")&amp;IF(COUNTIF(Settings!$E$14:$E$43,C1751&amp;"")&gt;0,"Sensitive account | ","")&amp;IF(AND(MAX(N(E1751),N(F1751))&gt;=Settings!$C$9,MOD(MAX(N(E1751),N(F1751)),Settings!$C$10)=0),"Round amount | ","")="","",LEFT(IF(K1751="No","Does not balance | ","")&amp;IF(I1751="","Not approved | ",IF(UPPER(TRIM(H1751))=UPPER(TRIM(I1751)),"Self-approved | ",""))&amp;IF(J1751="","No support | ","")&amp;IF(WEEKDAY(B1751,2)&gt;5,"Weekend posting | ","")&amp;IF(COUNTIF(Settings!$A$14:$A$43,B1751)&gt;0,"Holiday posting | ","")&amp;IF(B1751&gt;Settings!$C$8,"Posted after close | ","")&amp;IF(OR(B1751&lt;Settings!$C$6,B1751&gt;Settings!$C$7),"Outside period | ","")&amp;IF(COUNTIF(Settings!$E$14:$E$43,C1751&amp;"")&gt;0,"Sensitive account | ","")&amp;IF(AND(MAX(N(E1751),N(F1751))&gt;=Settings!$C$9,MOD(MAX(N(E1751),N(F1751)),Settings!$C$10)=0),"Round amount | ",""),LEN(IF(K1751="No","Does not balance | ","")&amp;IF(I1751="","Not approved | ",IF(UPPER(TRIM(H1751))=UPPER(TRIM(I1751)),"Self-approved | ",""))&amp;IF(J1751="","No support | ","")&amp;IF(WEEKDAY(B1751,2)&gt;5,"Weekend posting | ","")&amp;IF(COUNTIF(Settings!$A$14:$A$43,B1751)&gt;0,"Holiday posting | ","")&amp;IF(B1751&gt;Settings!$C$8,"Posted after close | ","")&amp;IF(OR(B1751&lt;Settings!$C$6,B1751&gt;Settings!$C$7),"Outside period | ","")&amp;IF(COUNTIF(Settings!$E$14:$E$43,C1751&amp;"")&gt;0,"Sensitive account | ","")&amp;IF(AND(MAX(N(E1751),N(F1751))&gt;=Settings!$C$9,MOD(MAX(N(E1751),N(F1751)),Settings!$C$10)=0),"Round amount | ",""))-3)))</f>
        <v/>
      </c>
      <c r="M1751" s="21" t="str">
        <f aca="false">IF(A1751="","",IF(COUNTIF($A$9:A1751,A1751)=1,MAX($M$8:M1750)+1,""))</f>
        <v/>
      </c>
    </row>
    <row r="1752" customFormat="false" ht="15" hidden="false" customHeight="false" outlineLevel="0" collapsed="false">
      <c r="A1752" s="8"/>
      <c r="B1752" s="17"/>
      <c r="C1752" s="19"/>
      <c r="D1752" s="8"/>
      <c r="E1752" s="18"/>
      <c r="F1752" s="18"/>
      <c r="G1752" s="8"/>
      <c r="H1752" s="8"/>
      <c r="I1752" s="8"/>
      <c r="J1752" s="8"/>
      <c r="K1752" s="10" t="str">
        <f aca="false">IF(A1752="","",IF(ABS(SUMIFS($E$9:$E$2008,$A$9:$A$2008,A1752)-SUMIFS($F$9:$F$2008,$A$9:$A$2008,A1752))&lt;0.5,"Yes","No"))</f>
        <v/>
      </c>
      <c r="L1752" s="10" t="str">
        <f aca="false">IF(A1752="","",IF(IF(K1752="No","Does not balance | ","")&amp;IF(I1752="","Not approved | ",IF(UPPER(TRIM(H1752))=UPPER(TRIM(I1752)),"Self-approved | ",""))&amp;IF(J1752="","No support | ","")&amp;IF(WEEKDAY(B1752,2)&gt;5,"Weekend posting | ","")&amp;IF(COUNTIF(Settings!$A$14:$A$43,B1752)&gt;0,"Holiday posting | ","")&amp;IF(B1752&gt;Settings!$C$8,"Posted after close | ","")&amp;IF(OR(B1752&lt;Settings!$C$6,B1752&gt;Settings!$C$7),"Outside period | ","")&amp;IF(COUNTIF(Settings!$E$14:$E$43,C1752&amp;"")&gt;0,"Sensitive account | ","")&amp;IF(AND(MAX(N(E1752),N(F1752))&gt;=Settings!$C$9,MOD(MAX(N(E1752),N(F1752)),Settings!$C$10)=0),"Round amount | ","")="","",LEFT(IF(K1752="No","Does not balance | ","")&amp;IF(I1752="","Not approved | ",IF(UPPER(TRIM(H1752))=UPPER(TRIM(I1752)),"Self-approved | ",""))&amp;IF(J1752="","No support | ","")&amp;IF(WEEKDAY(B1752,2)&gt;5,"Weekend posting | ","")&amp;IF(COUNTIF(Settings!$A$14:$A$43,B1752)&gt;0,"Holiday posting | ","")&amp;IF(B1752&gt;Settings!$C$8,"Posted after close | ","")&amp;IF(OR(B1752&lt;Settings!$C$6,B1752&gt;Settings!$C$7),"Outside period | ","")&amp;IF(COUNTIF(Settings!$E$14:$E$43,C1752&amp;"")&gt;0,"Sensitive account | ","")&amp;IF(AND(MAX(N(E1752),N(F1752))&gt;=Settings!$C$9,MOD(MAX(N(E1752),N(F1752)),Settings!$C$10)=0),"Round amount | ",""),LEN(IF(K1752="No","Does not balance | ","")&amp;IF(I1752="","Not approved | ",IF(UPPER(TRIM(H1752))=UPPER(TRIM(I1752)),"Self-approved | ",""))&amp;IF(J1752="","No support | ","")&amp;IF(WEEKDAY(B1752,2)&gt;5,"Weekend posting | ","")&amp;IF(COUNTIF(Settings!$A$14:$A$43,B1752)&gt;0,"Holiday posting | ","")&amp;IF(B1752&gt;Settings!$C$8,"Posted after close | ","")&amp;IF(OR(B1752&lt;Settings!$C$6,B1752&gt;Settings!$C$7),"Outside period | ","")&amp;IF(COUNTIF(Settings!$E$14:$E$43,C1752&amp;"")&gt;0,"Sensitive account | ","")&amp;IF(AND(MAX(N(E1752),N(F1752))&gt;=Settings!$C$9,MOD(MAX(N(E1752),N(F1752)),Settings!$C$10)=0),"Round amount | ",""))-3)))</f>
        <v/>
      </c>
      <c r="M1752" s="21" t="str">
        <f aca="false">IF(A1752="","",IF(COUNTIF($A$9:A1752,A1752)=1,MAX($M$8:M1751)+1,""))</f>
        <v/>
      </c>
    </row>
    <row r="1753" customFormat="false" ht="15" hidden="false" customHeight="false" outlineLevel="0" collapsed="false">
      <c r="A1753" s="8"/>
      <c r="B1753" s="17"/>
      <c r="C1753" s="19"/>
      <c r="D1753" s="8"/>
      <c r="E1753" s="18"/>
      <c r="F1753" s="18"/>
      <c r="G1753" s="8"/>
      <c r="H1753" s="8"/>
      <c r="I1753" s="8"/>
      <c r="J1753" s="8"/>
      <c r="K1753" s="10" t="str">
        <f aca="false">IF(A1753="","",IF(ABS(SUMIFS($E$9:$E$2008,$A$9:$A$2008,A1753)-SUMIFS($F$9:$F$2008,$A$9:$A$2008,A1753))&lt;0.5,"Yes","No"))</f>
        <v/>
      </c>
      <c r="L1753" s="10" t="str">
        <f aca="false">IF(A1753="","",IF(IF(K1753="No","Does not balance | ","")&amp;IF(I1753="","Not approved | ",IF(UPPER(TRIM(H1753))=UPPER(TRIM(I1753)),"Self-approved | ",""))&amp;IF(J1753="","No support | ","")&amp;IF(WEEKDAY(B1753,2)&gt;5,"Weekend posting | ","")&amp;IF(COUNTIF(Settings!$A$14:$A$43,B1753)&gt;0,"Holiday posting | ","")&amp;IF(B1753&gt;Settings!$C$8,"Posted after close | ","")&amp;IF(OR(B1753&lt;Settings!$C$6,B1753&gt;Settings!$C$7),"Outside period | ","")&amp;IF(COUNTIF(Settings!$E$14:$E$43,C1753&amp;"")&gt;0,"Sensitive account | ","")&amp;IF(AND(MAX(N(E1753),N(F1753))&gt;=Settings!$C$9,MOD(MAX(N(E1753),N(F1753)),Settings!$C$10)=0),"Round amount | ","")="","",LEFT(IF(K1753="No","Does not balance | ","")&amp;IF(I1753="","Not approved | ",IF(UPPER(TRIM(H1753))=UPPER(TRIM(I1753)),"Self-approved | ",""))&amp;IF(J1753="","No support | ","")&amp;IF(WEEKDAY(B1753,2)&gt;5,"Weekend posting | ","")&amp;IF(COUNTIF(Settings!$A$14:$A$43,B1753)&gt;0,"Holiday posting | ","")&amp;IF(B1753&gt;Settings!$C$8,"Posted after close | ","")&amp;IF(OR(B1753&lt;Settings!$C$6,B1753&gt;Settings!$C$7),"Outside period | ","")&amp;IF(COUNTIF(Settings!$E$14:$E$43,C1753&amp;"")&gt;0,"Sensitive account | ","")&amp;IF(AND(MAX(N(E1753),N(F1753))&gt;=Settings!$C$9,MOD(MAX(N(E1753),N(F1753)),Settings!$C$10)=0),"Round amount | ",""),LEN(IF(K1753="No","Does not balance | ","")&amp;IF(I1753="","Not approved | ",IF(UPPER(TRIM(H1753))=UPPER(TRIM(I1753)),"Self-approved | ",""))&amp;IF(J1753="","No support | ","")&amp;IF(WEEKDAY(B1753,2)&gt;5,"Weekend posting | ","")&amp;IF(COUNTIF(Settings!$A$14:$A$43,B1753)&gt;0,"Holiday posting | ","")&amp;IF(B1753&gt;Settings!$C$8,"Posted after close | ","")&amp;IF(OR(B1753&lt;Settings!$C$6,B1753&gt;Settings!$C$7),"Outside period | ","")&amp;IF(COUNTIF(Settings!$E$14:$E$43,C1753&amp;"")&gt;0,"Sensitive account | ","")&amp;IF(AND(MAX(N(E1753),N(F1753))&gt;=Settings!$C$9,MOD(MAX(N(E1753),N(F1753)),Settings!$C$10)=0),"Round amount | ",""))-3)))</f>
        <v/>
      </c>
      <c r="M1753" s="21" t="str">
        <f aca="false">IF(A1753="","",IF(COUNTIF($A$9:A1753,A1753)=1,MAX($M$8:M1752)+1,""))</f>
        <v/>
      </c>
    </row>
    <row r="1754" customFormat="false" ht="15" hidden="false" customHeight="false" outlineLevel="0" collapsed="false">
      <c r="A1754" s="8"/>
      <c r="B1754" s="17"/>
      <c r="C1754" s="19"/>
      <c r="D1754" s="8"/>
      <c r="E1754" s="18"/>
      <c r="F1754" s="18"/>
      <c r="G1754" s="8"/>
      <c r="H1754" s="8"/>
      <c r="I1754" s="8"/>
      <c r="J1754" s="8"/>
      <c r="K1754" s="10" t="str">
        <f aca="false">IF(A1754="","",IF(ABS(SUMIFS($E$9:$E$2008,$A$9:$A$2008,A1754)-SUMIFS($F$9:$F$2008,$A$9:$A$2008,A1754))&lt;0.5,"Yes","No"))</f>
        <v/>
      </c>
      <c r="L1754" s="10" t="str">
        <f aca="false">IF(A1754="","",IF(IF(K1754="No","Does not balance | ","")&amp;IF(I1754="","Not approved | ",IF(UPPER(TRIM(H1754))=UPPER(TRIM(I1754)),"Self-approved | ",""))&amp;IF(J1754="","No support | ","")&amp;IF(WEEKDAY(B1754,2)&gt;5,"Weekend posting | ","")&amp;IF(COUNTIF(Settings!$A$14:$A$43,B1754)&gt;0,"Holiday posting | ","")&amp;IF(B1754&gt;Settings!$C$8,"Posted after close | ","")&amp;IF(OR(B1754&lt;Settings!$C$6,B1754&gt;Settings!$C$7),"Outside period | ","")&amp;IF(COUNTIF(Settings!$E$14:$E$43,C1754&amp;"")&gt;0,"Sensitive account | ","")&amp;IF(AND(MAX(N(E1754),N(F1754))&gt;=Settings!$C$9,MOD(MAX(N(E1754),N(F1754)),Settings!$C$10)=0),"Round amount | ","")="","",LEFT(IF(K1754="No","Does not balance | ","")&amp;IF(I1754="","Not approved | ",IF(UPPER(TRIM(H1754))=UPPER(TRIM(I1754)),"Self-approved | ",""))&amp;IF(J1754="","No support | ","")&amp;IF(WEEKDAY(B1754,2)&gt;5,"Weekend posting | ","")&amp;IF(COUNTIF(Settings!$A$14:$A$43,B1754)&gt;0,"Holiday posting | ","")&amp;IF(B1754&gt;Settings!$C$8,"Posted after close | ","")&amp;IF(OR(B1754&lt;Settings!$C$6,B1754&gt;Settings!$C$7),"Outside period | ","")&amp;IF(COUNTIF(Settings!$E$14:$E$43,C1754&amp;"")&gt;0,"Sensitive account | ","")&amp;IF(AND(MAX(N(E1754),N(F1754))&gt;=Settings!$C$9,MOD(MAX(N(E1754),N(F1754)),Settings!$C$10)=0),"Round amount | ",""),LEN(IF(K1754="No","Does not balance | ","")&amp;IF(I1754="","Not approved | ",IF(UPPER(TRIM(H1754))=UPPER(TRIM(I1754)),"Self-approved | ",""))&amp;IF(J1754="","No support | ","")&amp;IF(WEEKDAY(B1754,2)&gt;5,"Weekend posting | ","")&amp;IF(COUNTIF(Settings!$A$14:$A$43,B1754)&gt;0,"Holiday posting | ","")&amp;IF(B1754&gt;Settings!$C$8,"Posted after close | ","")&amp;IF(OR(B1754&lt;Settings!$C$6,B1754&gt;Settings!$C$7),"Outside period | ","")&amp;IF(COUNTIF(Settings!$E$14:$E$43,C1754&amp;"")&gt;0,"Sensitive account | ","")&amp;IF(AND(MAX(N(E1754),N(F1754))&gt;=Settings!$C$9,MOD(MAX(N(E1754),N(F1754)),Settings!$C$10)=0),"Round amount | ",""))-3)))</f>
        <v/>
      </c>
      <c r="M1754" s="21" t="str">
        <f aca="false">IF(A1754="","",IF(COUNTIF($A$9:A1754,A1754)=1,MAX($M$8:M1753)+1,""))</f>
        <v/>
      </c>
    </row>
    <row r="1755" customFormat="false" ht="15" hidden="false" customHeight="false" outlineLevel="0" collapsed="false">
      <c r="A1755" s="8"/>
      <c r="B1755" s="17"/>
      <c r="C1755" s="19"/>
      <c r="D1755" s="8"/>
      <c r="E1755" s="18"/>
      <c r="F1755" s="18"/>
      <c r="G1755" s="8"/>
      <c r="H1755" s="8"/>
      <c r="I1755" s="8"/>
      <c r="J1755" s="8"/>
      <c r="K1755" s="10" t="str">
        <f aca="false">IF(A1755="","",IF(ABS(SUMIFS($E$9:$E$2008,$A$9:$A$2008,A1755)-SUMIFS($F$9:$F$2008,$A$9:$A$2008,A1755))&lt;0.5,"Yes","No"))</f>
        <v/>
      </c>
      <c r="L1755" s="10" t="str">
        <f aca="false">IF(A1755="","",IF(IF(K1755="No","Does not balance | ","")&amp;IF(I1755="","Not approved | ",IF(UPPER(TRIM(H1755))=UPPER(TRIM(I1755)),"Self-approved | ",""))&amp;IF(J1755="","No support | ","")&amp;IF(WEEKDAY(B1755,2)&gt;5,"Weekend posting | ","")&amp;IF(COUNTIF(Settings!$A$14:$A$43,B1755)&gt;0,"Holiday posting | ","")&amp;IF(B1755&gt;Settings!$C$8,"Posted after close | ","")&amp;IF(OR(B1755&lt;Settings!$C$6,B1755&gt;Settings!$C$7),"Outside period | ","")&amp;IF(COUNTIF(Settings!$E$14:$E$43,C1755&amp;"")&gt;0,"Sensitive account | ","")&amp;IF(AND(MAX(N(E1755),N(F1755))&gt;=Settings!$C$9,MOD(MAX(N(E1755),N(F1755)),Settings!$C$10)=0),"Round amount | ","")="","",LEFT(IF(K1755="No","Does not balance | ","")&amp;IF(I1755="","Not approved | ",IF(UPPER(TRIM(H1755))=UPPER(TRIM(I1755)),"Self-approved | ",""))&amp;IF(J1755="","No support | ","")&amp;IF(WEEKDAY(B1755,2)&gt;5,"Weekend posting | ","")&amp;IF(COUNTIF(Settings!$A$14:$A$43,B1755)&gt;0,"Holiday posting | ","")&amp;IF(B1755&gt;Settings!$C$8,"Posted after close | ","")&amp;IF(OR(B1755&lt;Settings!$C$6,B1755&gt;Settings!$C$7),"Outside period | ","")&amp;IF(COUNTIF(Settings!$E$14:$E$43,C1755&amp;"")&gt;0,"Sensitive account | ","")&amp;IF(AND(MAX(N(E1755),N(F1755))&gt;=Settings!$C$9,MOD(MAX(N(E1755),N(F1755)),Settings!$C$10)=0),"Round amount | ",""),LEN(IF(K1755="No","Does not balance | ","")&amp;IF(I1755="","Not approved | ",IF(UPPER(TRIM(H1755))=UPPER(TRIM(I1755)),"Self-approved | ",""))&amp;IF(J1755="","No support | ","")&amp;IF(WEEKDAY(B1755,2)&gt;5,"Weekend posting | ","")&amp;IF(COUNTIF(Settings!$A$14:$A$43,B1755)&gt;0,"Holiday posting | ","")&amp;IF(B1755&gt;Settings!$C$8,"Posted after close | ","")&amp;IF(OR(B1755&lt;Settings!$C$6,B1755&gt;Settings!$C$7),"Outside period | ","")&amp;IF(COUNTIF(Settings!$E$14:$E$43,C1755&amp;"")&gt;0,"Sensitive account | ","")&amp;IF(AND(MAX(N(E1755),N(F1755))&gt;=Settings!$C$9,MOD(MAX(N(E1755),N(F1755)),Settings!$C$10)=0),"Round amount | ",""))-3)))</f>
        <v/>
      </c>
      <c r="M1755" s="21" t="str">
        <f aca="false">IF(A1755="","",IF(COUNTIF($A$9:A1755,A1755)=1,MAX($M$8:M1754)+1,""))</f>
        <v/>
      </c>
    </row>
    <row r="1756" customFormat="false" ht="15" hidden="false" customHeight="false" outlineLevel="0" collapsed="false">
      <c r="A1756" s="8"/>
      <c r="B1756" s="17"/>
      <c r="C1756" s="19"/>
      <c r="D1756" s="8"/>
      <c r="E1756" s="18"/>
      <c r="F1756" s="18"/>
      <c r="G1756" s="8"/>
      <c r="H1756" s="8"/>
      <c r="I1756" s="8"/>
      <c r="J1756" s="8"/>
      <c r="K1756" s="10" t="str">
        <f aca="false">IF(A1756="","",IF(ABS(SUMIFS($E$9:$E$2008,$A$9:$A$2008,A1756)-SUMIFS($F$9:$F$2008,$A$9:$A$2008,A1756))&lt;0.5,"Yes","No"))</f>
        <v/>
      </c>
      <c r="L1756" s="10" t="str">
        <f aca="false">IF(A1756="","",IF(IF(K1756="No","Does not balance | ","")&amp;IF(I1756="","Not approved | ",IF(UPPER(TRIM(H1756))=UPPER(TRIM(I1756)),"Self-approved | ",""))&amp;IF(J1756="","No support | ","")&amp;IF(WEEKDAY(B1756,2)&gt;5,"Weekend posting | ","")&amp;IF(COUNTIF(Settings!$A$14:$A$43,B1756)&gt;0,"Holiday posting | ","")&amp;IF(B1756&gt;Settings!$C$8,"Posted after close | ","")&amp;IF(OR(B1756&lt;Settings!$C$6,B1756&gt;Settings!$C$7),"Outside period | ","")&amp;IF(COUNTIF(Settings!$E$14:$E$43,C1756&amp;"")&gt;0,"Sensitive account | ","")&amp;IF(AND(MAX(N(E1756),N(F1756))&gt;=Settings!$C$9,MOD(MAX(N(E1756),N(F1756)),Settings!$C$10)=0),"Round amount | ","")="","",LEFT(IF(K1756="No","Does not balance | ","")&amp;IF(I1756="","Not approved | ",IF(UPPER(TRIM(H1756))=UPPER(TRIM(I1756)),"Self-approved | ",""))&amp;IF(J1756="","No support | ","")&amp;IF(WEEKDAY(B1756,2)&gt;5,"Weekend posting | ","")&amp;IF(COUNTIF(Settings!$A$14:$A$43,B1756)&gt;0,"Holiday posting | ","")&amp;IF(B1756&gt;Settings!$C$8,"Posted after close | ","")&amp;IF(OR(B1756&lt;Settings!$C$6,B1756&gt;Settings!$C$7),"Outside period | ","")&amp;IF(COUNTIF(Settings!$E$14:$E$43,C1756&amp;"")&gt;0,"Sensitive account | ","")&amp;IF(AND(MAX(N(E1756),N(F1756))&gt;=Settings!$C$9,MOD(MAX(N(E1756),N(F1756)),Settings!$C$10)=0),"Round amount | ",""),LEN(IF(K1756="No","Does not balance | ","")&amp;IF(I1756="","Not approved | ",IF(UPPER(TRIM(H1756))=UPPER(TRIM(I1756)),"Self-approved | ",""))&amp;IF(J1756="","No support | ","")&amp;IF(WEEKDAY(B1756,2)&gt;5,"Weekend posting | ","")&amp;IF(COUNTIF(Settings!$A$14:$A$43,B1756)&gt;0,"Holiday posting | ","")&amp;IF(B1756&gt;Settings!$C$8,"Posted after close | ","")&amp;IF(OR(B1756&lt;Settings!$C$6,B1756&gt;Settings!$C$7),"Outside period | ","")&amp;IF(COUNTIF(Settings!$E$14:$E$43,C1756&amp;"")&gt;0,"Sensitive account | ","")&amp;IF(AND(MAX(N(E1756),N(F1756))&gt;=Settings!$C$9,MOD(MAX(N(E1756),N(F1756)),Settings!$C$10)=0),"Round amount | ",""))-3)))</f>
        <v/>
      </c>
      <c r="M1756" s="21" t="str">
        <f aca="false">IF(A1756="","",IF(COUNTIF($A$9:A1756,A1756)=1,MAX($M$8:M1755)+1,""))</f>
        <v/>
      </c>
    </row>
    <row r="1757" customFormat="false" ht="15" hidden="false" customHeight="false" outlineLevel="0" collapsed="false">
      <c r="A1757" s="8"/>
      <c r="B1757" s="17"/>
      <c r="C1757" s="19"/>
      <c r="D1757" s="8"/>
      <c r="E1757" s="18"/>
      <c r="F1757" s="18"/>
      <c r="G1757" s="8"/>
      <c r="H1757" s="8"/>
      <c r="I1757" s="8"/>
      <c r="J1757" s="8"/>
      <c r="K1757" s="10" t="str">
        <f aca="false">IF(A1757="","",IF(ABS(SUMIFS($E$9:$E$2008,$A$9:$A$2008,A1757)-SUMIFS($F$9:$F$2008,$A$9:$A$2008,A1757))&lt;0.5,"Yes","No"))</f>
        <v/>
      </c>
      <c r="L1757" s="10" t="str">
        <f aca="false">IF(A1757="","",IF(IF(K1757="No","Does not balance | ","")&amp;IF(I1757="","Not approved | ",IF(UPPER(TRIM(H1757))=UPPER(TRIM(I1757)),"Self-approved | ",""))&amp;IF(J1757="","No support | ","")&amp;IF(WEEKDAY(B1757,2)&gt;5,"Weekend posting | ","")&amp;IF(COUNTIF(Settings!$A$14:$A$43,B1757)&gt;0,"Holiday posting | ","")&amp;IF(B1757&gt;Settings!$C$8,"Posted after close | ","")&amp;IF(OR(B1757&lt;Settings!$C$6,B1757&gt;Settings!$C$7),"Outside period | ","")&amp;IF(COUNTIF(Settings!$E$14:$E$43,C1757&amp;"")&gt;0,"Sensitive account | ","")&amp;IF(AND(MAX(N(E1757),N(F1757))&gt;=Settings!$C$9,MOD(MAX(N(E1757),N(F1757)),Settings!$C$10)=0),"Round amount | ","")="","",LEFT(IF(K1757="No","Does not balance | ","")&amp;IF(I1757="","Not approved | ",IF(UPPER(TRIM(H1757))=UPPER(TRIM(I1757)),"Self-approved | ",""))&amp;IF(J1757="","No support | ","")&amp;IF(WEEKDAY(B1757,2)&gt;5,"Weekend posting | ","")&amp;IF(COUNTIF(Settings!$A$14:$A$43,B1757)&gt;0,"Holiday posting | ","")&amp;IF(B1757&gt;Settings!$C$8,"Posted after close | ","")&amp;IF(OR(B1757&lt;Settings!$C$6,B1757&gt;Settings!$C$7),"Outside period | ","")&amp;IF(COUNTIF(Settings!$E$14:$E$43,C1757&amp;"")&gt;0,"Sensitive account | ","")&amp;IF(AND(MAX(N(E1757),N(F1757))&gt;=Settings!$C$9,MOD(MAX(N(E1757),N(F1757)),Settings!$C$10)=0),"Round amount | ",""),LEN(IF(K1757="No","Does not balance | ","")&amp;IF(I1757="","Not approved | ",IF(UPPER(TRIM(H1757))=UPPER(TRIM(I1757)),"Self-approved | ",""))&amp;IF(J1757="","No support | ","")&amp;IF(WEEKDAY(B1757,2)&gt;5,"Weekend posting | ","")&amp;IF(COUNTIF(Settings!$A$14:$A$43,B1757)&gt;0,"Holiday posting | ","")&amp;IF(B1757&gt;Settings!$C$8,"Posted after close | ","")&amp;IF(OR(B1757&lt;Settings!$C$6,B1757&gt;Settings!$C$7),"Outside period | ","")&amp;IF(COUNTIF(Settings!$E$14:$E$43,C1757&amp;"")&gt;0,"Sensitive account | ","")&amp;IF(AND(MAX(N(E1757),N(F1757))&gt;=Settings!$C$9,MOD(MAX(N(E1757),N(F1757)),Settings!$C$10)=0),"Round amount | ",""))-3)))</f>
        <v/>
      </c>
      <c r="M1757" s="21" t="str">
        <f aca="false">IF(A1757="","",IF(COUNTIF($A$9:A1757,A1757)=1,MAX($M$8:M1756)+1,""))</f>
        <v/>
      </c>
    </row>
    <row r="1758" customFormat="false" ht="15" hidden="false" customHeight="false" outlineLevel="0" collapsed="false">
      <c r="A1758" s="8"/>
      <c r="B1758" s="17"/>
      <c r="C1758" s="19"/>
      <c r="D1758" s="8"/>
      <c r="E1758" s="18"/>
      <c r="F1758" s="18"/>
      <c r="G1758" s="8"/>
      <c r="H1758" s="8"/>
      <c r="I1758" s="8"/>
      <c r="J1758" s="8"/>
      <c r="K1758" s="10" t="str">
        <f aca="false">IF(A1758="","",IF(ABS(SUMIFS($E$9:$E$2008,$A$9:$A$2008,A1758)-SUMIFS($F$9:$F$2008,$A$9:$A$2008,A1758))&lt;0.5,"Yes","No"))</f>
        <v/>
      </c>
      <c r="L1758" s="10" t="str">
        <f aca="false">IF(A1758="","",IF(IF(K1758="No","Does not balance | ","")&amp;IF(I1758="","Not approved | ",IF(UPPER(TRIM(H1758))=UPPER(TRIM(I1758)),"Self-approved | ",""))&amp;IF(J1758="","No support | ","")&amp;IF(WEEKDAY(B1758,2)&gt;5,"Weekend posting | ","")&amp;IF(COUNTIF(Settings!$A$14:$A$43,B1758)&gt;0,"Holiday posting | ","")&amp;IF(B1758&gt;Settings!$C$8,"Posted after close | ","")&amp;IF(OR(B1758&lt;Settings!$C$6,B1758&gt;Settings!$C$7),"Outside period | ","")&amp;IF(COUNTIF(Settings!$E$14:$E$43,C1758&amp;"")&gt;0,"Sensitive account | ","")&amp;IF(AND(MAX(N(E1758),N(F1758))&gt;=Settings!$C$9,MOD(MAX(N(E1758),N(F1758)),Settings!$C$10)=0),"Round amount | ","")="","",LEFT(IF(K1758="No","Does not balance | ","")&amp;IF(I1758="","Not approved | ",IF(UPPER(TRIM(H1758))=UPPER(TRIM(I1758)),"Self-approved | ",""))&amp;IF(J1758="","No support | ","")&amp;IF(WEEKDAY(B1758,2)&gt;5,"Weekend posting | ","")&amp;IF(COUNTIF(Settings!$A$14:$A$43,B1758)&gt;0,"Holiday posting | ","")&amp;IF(B1758&gt;Settings!$C$8,"Posted after close | ","")&amp;IF(OR(B1758&lt;Settings!$C$6,B1758&gt;Settings!$C$7),"Outside period | ","")&amp;IF(COUNTIF(Settings!$E$14:$E$43,C1758&amp;"")&gt;0,"Sensitive account | ","")&amp;IF(AND(MAX(N(E1758),N(F1758))&gt;=Settings!$C$9,MOD(MAX(N(E1758),N(F1758)),Settings!$C$10)=0),"Round amount | ",""),LEN(IF(K1758="No","Does not balance | ","")&amp;IF(I1758="","Not approved | ",IF(UPPER(TRIM(H1758))=UPPER(TRIM(I1758)),"Self-approved | ",""))&amp;IF(J1758="","No support | ","")&amp;IF(WEEKDAY(B1758,2)&gt;5,"Weekend posting | ","")&amp;IF(COUNTIF(Settings!$A$14:$A$43,B1758)&gt;0,"Holiday posting | ","")&amp;IF(B1758&gt;Settings!$C$8,"Posted after close | ","")&amp;IF(OR(B1758&lt;Settings!$C$6,B1758&gt;Settings!$C$7),"Outside period | ","")&amp;IF(COUNTIF(Settings!$E$14:$E$43,C1758&amp;"")&gt;0,"Sensitive account | ","")&amp;IF(AND(MAX(N(E1758),N(F1758))&gt;=Settings!$C$9,MOD(MAX(N(E1758),N(F1758)),Settings!$C$10)=0),"Round amount | ",""))-3)))</f>
        <v/>
      </c>
      <c r="M1758" s="21" t="str">
        <f aca="false">IF(A1758="","",IF(COUNTIF($A$9:A1758,A1758)=1,MAX($M$8:M1757)+1,""))</f>
        <v/>
      </c>
    </row>
    <row r="1759" customFormat="false" ht="15" hidden="false" customHeight="false" outlineLevel="0" collapsed="false">
      <c r="A1759" s="8"/>
      <c r="B1759" s="17"/>
      <c r="C1759" s="19"/>
      <c r="D1759" s="8"/>
      <c r="E1759" s="18"/>
      <c r="F1759" s="18"/>
      <c r="G1759" s="8"/>
      <c r="H1759" s="8"/>
      <c r="I1759" s="8"/>
      <c r="J1759" s="8"/>
      <c r="K1759" s="10" t="str">
        <f aca="false">IF(A1759="","",IF(ABS(SUMIFS($E$9:$E$2008,$A$9:$A$2008,A1759)-SUMIFS($F$9:$F$2008,$A$9:$A$2008,A1759))&lt;0.5,"Yes","No"))</f>
        <v/>
      </c>
      <c r="L1759" s="10" t="str">
        <f aca="false">IF(A1759="","",IF(IF(K1759="No","Does not balance | ","")&amp;IF(I1759="","Not approved | ",IF(UPPER(TRIM(H1759))=UPPER(TRIM(I1759)),"Self-approved | ",""))&amp;IF(J1759="","No support | ","")&amp;IF(WEEKDAY(B1759,2)&gt;5,"Weekend posting | ","")&amp;IF(COUNTIF(Settings!$A$14:$A$43,B1759)&gt;0,"Holiday posting | ","")&amp;IF(B1759&gt;Settings!$C$8,"Posted after close | ","")&amp;IF(OR(B1759&lt;Settings!$C$6,B1759&gt;Settings!$C$7),"Outside period | ","")&amp;IF(COUNTIF(Settings!$E$14:$E$43,C1759&amp;"")&gt;0,"Sensitive account | ","")&amp;IF(AND(MAX(N(E1759),N(F1759))&gt;=Settings!$C$9,MOD(MAX(N(E1759),N(F1759)),Settings!$C$10)=0),"Round amount | ","")="","",LEFT(IF(K1759="No","Does not balance | ","")&amp;IF(I1759="","Not approved | ",IF(UPPER(TRIM(H1759))=UPPER(TRIM(I1759)),"Self-approved | ",""))&amp;IF(J1759="","No support | ","")&amp;IF(WEEKDAY(B1759,2)&gt;5,"Weekend posting | ","")&amp;IF(COUNTIF(Settings!$A$14:$A$43,B1759)&gt;0,"Holiday posting | ","")&amp;IF(B1759&gt;Settings!$C$8,"Posted after close | ","")&amp;IF(OR(B1759&lt;Settings!$C$6,B1759&gt;Settings!$C$7),"Outside period | ","")&amp;IF(COUNTIF(Settings!$E$14:$E$43,C1759&amp;"")&gt;0,"Sensitive account | ","")&amp;IF(AND(MAX(N(E1759),N(F1759))&gt;=Settings!$C$9,MOD(MAX(N(E1759),N(F1759)),Settings!$C$10)=0),"Round amount | ",""),LEN(IF(K1759="No","Does not balance | ","")&amp;IF(I1759="","Not approved | ",IF(UPPER(TRIM(H1759))=UPPER(TRIM(I1759)),"Self-approved | ",""))&amp;IF(J1759="","No support | ","")&amp;IF(WEEKDAY(B1759,2)&gt;5,"Weekend posting | ","")&amp;IF(COUNTIF(Settings!$A$14:$A$43,B1759)&gt;0,"Holiday posting | ","")&amp;IF(B1759&gt;Settings!$C$8,"Posted after close | ","")&amp;IF(OR(B1759&lt;Settings!$C$6,B1759&gt;Settings!$C$7),"Outside period | ","")&amp;IF(COUNTIF(Settings!$E$14:$E$43,C1759&amp;"")&gt;0,"Sensitive account | ","")&amp;IF(AND(MAX(N(E1759),N(F1759))&gt;=Settings!$C$9,MOD(MAX(N(E1759),N(F1759)),Settings!$C$10)=0),"Round amount | ",""))-3)))</f>
        <v/>
      </c>
      <c r="M1759" s="21" t="str">
        <f aca="false">IF(A1759="","",IF(COUNTIF($A$9:A1759,A1759)=1,MAX($M$8:M1758)+1,""))</f>
        <v/>
      </c>
    </row>
    <row r="1760" customFormat="false" ht="15" hidden="false" customHeight="false" outlineLevel="0" collapsed="false">
      <c r="A1760" s="8"/>
      <c r="B1760" s="17"/>
      <c r="C1760" s="19"/>
      <c r="D1760" s="8"/>
      <c r="E1760" s="18"/>
      <c r="F1760" s="18"/>
      <c r="G1760" s="8"/>
      <c r="H1760" s="8"/>
      <c r="I1760" s="8"/>
      <c r="J1760" s="8"/>
      <c r="K1760" s="10" t="str">
        <f aca="false">IF(A1760="","",IF(ABS(SUMIFS($E$9:$E$2008,$A$9:$A$2008,A1760)-SUMIFS($F$9:$F$2008,$A$9:$A$2008,A1760))&lt;0.5,"Yes","No"))</f>
        <v/>
      </c>
      <c r="L1760" s="10" t="str">
        <f aca="false">IF(A1760="","",IF(IF(K1760="No","Does not balance | ","")&amp;IF(I1760="","Not approved | ",IF(UPPER(TRIM(H1760))=UPPER(TRIM(I1760)),"Self-approved | ",""))&amp;IF(J1760="","No support | ","")&amp;IF(WEEKDAY(B1760,2)&gt;5,"Weekend posting | ","")&amp;IF(COUNTIF(Settings!$A$14:$A$43,B1760)&gt;0,"Holiday posting | ","")&amp;IF(B1760&gt;Settings!$C$8,"Posted after close | ","")&amp;IF(OR(B1760&lt;Settings!$C$6,B1760&gt;Settings!$C$7),"Outside period | ","")&amp;IF(COUNTIF(Settings!$E$14:$E$43,C1760&amp;"")&gt;0,"Sensitive account | ","")&amp;IF(AND(MAX(N(E1760),N(F1760))&gt;=Settings!$C$9,MOD(MAX(N(E1760),N(F1760)),Settings!$C$10)=0),"Round amount | ","")="","",LEFT(IF(K1760="No","Does not balance | ","")&amp;IF(I1760="","Not approved | ",IF(UPPER(TRIM(H1760))=UPPER(TRIM(I1760)),"Self-approved | ",""))&amp;IF(J1760="","No support | ","")&amp;IF(WEEKDAY(B1760,2)&gt;5,"Weekend posting | ","")&amp;IF(COUNTIF(Settings!$A$14:$A$43,B1760)&gt;0,"Holiday posting | ","")&amp;IF(B1760&gt;Settings!$C$8,"Posted after close | ","")&amp;IF(OR(B1760&lt;Settings!$C$6,B1760&gt;Settings!$C$7),"Outside period | ","")&amp;IF(COUNTIF(Settings!$E$14:$E$43,C1760&amp;"")&gt;0,"Sensitive account | ","")&amp;IF(AND(MAX(N(E1760),N(F1760))&gt;=Settings!$C$9,MOD(MAX(N(E1760),N(F1760)),Settings!$C$10)=0),"Round amount | ",""),LEN(IF(K1760="No","Does not balance | ","")&amp;IF(I1760="","Not approved | ",IF(UPPER(TRIM(H1760))=UPPER(TRIM(I1760)),"Self-approved | ",""))&amp;IF(J1760="","No support | ","")&amp;IF(WEEKDAY(B1760,2)&gt;5,"Weekend posting | ","")&amp;IF(COUNTIF(Settings!$A$14:$A$43,B1760)&gt;0,"Holiday posting | ","")&amp;IF(B1760&gt;Settings!$C$8,"Posted after close | ","")&amp;IF(OR(B1760&lt;Settings!$C$6,B1760&gt;Settings!$C$7),"Outside period | ","")&amp;IF(COUNTIF(Settings!$E$14:$E$43,C1760&amp;"")&gt;0,"Sensitive account | ","")&amp;IF(AND(MAX(N(E1760),N(F1760))&gt;=Settings!$C$9,MOD(MAX(N(E1760),N(F1760)),Settings!$C$10)=0),"Round amount | ",""))-3)))</f>
        <v/>
      </c>
      <c r="M1760" s="21" t="str">
        <f aca="false">IF(A1760="","",IF(COUNTIF($A$9:A1760,A1760)=1,MAX($M$8:M1759)+1,""))</f>
        <v/>
      </c>
    </row>
    <row r="1761" customFormat="false" ht="15" hidden="false" customHeight="false" outlineLevel="0" collapsed="false">
      <c r="A1761" s="8"/>
      <c r="B1761" s="17"/>
      <c r="C1761" s="19"/>
      <c r="D1761" s="8"/>
      <c r="E1761" s="18"/>
      <c r="F1761" s="18"/>
      <c r="G1761" s="8"/>
      <c r="H1761" s="8"/>
      <c r="I1761" s="8"/>
      <c r="J1761" s="8"/>
      <c r="K1761" s="10" t="str">
        <f aca="false">IF(A1761="","",IF(ABS(SUMIFS($E$9:$E$2008,$A$9:$A$2008,A1761)-SUMIFS($F$9:$F$2008,$A$9:$A$2008,A1761))&lt;0.5,"Yes","No"))</f>
        <v/>
      </c>
      <c r="L1761" s="10" t="str">
        <f aca="false">IF(A1761="","",IF(IF(K1761="No","Does not balance | ","")&amp;IF(I1761="","Not approved | ",IF(UPPER(TRIM(H1761))=UPPER(TRIM(I1761)),"Self-approved | ",""))&amp;IF(J1761="","No support | ","")&amp;IF(WEEKDAY(B1761,2)&gt;5,"Weekend posting | ","")&amp;IF(COUNTIF(Settings!$A$14:$A$43,B1761)&gt;0,"Holiday posting | ","")&amp;IF(B1761&gt;Settings!$C$8,"Posted after close | ","")&amp;IF(OR(B1761&lt;Settings!$C$6,B1761&gt;Settings!$C$7),"Outside period | ","")&amp;IF(COUNTIF(Settings!$E$14:$E$43,C1761&amp;"")&gt;0,"Sensitive account | ","")&amp;IF(AND(MAX(N(E1761),N(F1761))&gt;=Settings!$C$9,MOD(MAX(N(E1761),N(F1761)),Settings!$C$10)=0),"Round amount | ","")="","",LEFT(IF(K1761="No","Does not balance | ","")&amp;IF(I1761="","Not approved | ",IF(UPPER(TRIM(H1761))=UPPER(TRIM(I1761)),"Self-approved | ",""))&amp;IF(J1761="","No support | ","")&amp;IF(WEEKDAY(B1761,2)&gt;5,"Weekend posting | ","")&amp;IF(COUNTIF(Settings!$A$14:$A$43,B1761)&gt;0,"Holiday posting | ","")&amp;IF(B1761&gt;Settings!$C$8,"Posted after close | ","")&amp;IF(OR(B1761&lt;Settings!$C$6,B1761&gt;Settings!$C$7),"Outside period | ","")&amp;IF(COUNTIF(Settings!$E$14:$E$43,C1761&amp;"")&gt;0,"Sensitive account | ","")&amp;IF(AND(MAX(N(E1761),N(F1761))&gt;=Settings!$C$9,MOD(MAX(N(E1761),N(F1761)),Settings!$C$10)=0),"Round amount | ",""),LEN(IF(K1761="No","Does not balance | ","")&amp;IF(I1761="","Not approved | ",IF(UPPER(TRIM(H1761))=UPPER(TRIM(I1761)),"Self-approved | ",""))&amp;IF(J1761="","No support | ","")&amp;IF(WEEKDAY(B1761,2)&gt;5,"Weekend posting | ","")&amp;IF(COUNTIF(Settings!$A$14:$A$43,B1761)&gt;0,"Holiday posting | ","")&amp;IF(B1761&gt;Settings!$C$8,"Posted after close | ","")&amp;IF(OR(B1761&lt;Settings!$C$6,B1761&gt;Settings!$C$7),"Outside period | ","")&amp;IF(COUNTIF(Settings!$E$14:$E$43,C1761&amp;"")&gt;0,"Sensitive account | ","")&amp;IF(AND(MAX(N(E1761),N(F1761))&gt;=Settings!$C$9,MOD(MAX(N(E1761),N(F1761)),Settings!$C$10)=0),"Round amount | ",""))-3)))</f>
        <v/>
      </c>
      <c r="M1761" s="21" t="str">
        <f aca="false">IF(A1761="","",IF(COUNTIF($A$9:A1761,A1761)=1,MAX($M$8:M1760)+1,""))</f>
        <v/>
      </c>
    </row>
    <row r="1762" customFormat="false" ht="15" hidden="false" customHeight="false" outlineLevel="0" collapsed="false">
      <c r="A1762" s="8"/>
      <c r="B1762" s="17"/>
      <c r="C1762" s="19"/>
      <c r="D1762" s="8"/>
      <c r="E1762" s="18"/>
      <c r="F1762" s="18"/>
      <c r="G1762" s="8"/>
      <c r="H1762" s="8"/>
      <c r="I1762" s="8"/>
      <c r="J1762" s="8"/>
      <c r="K1762" s="10" t="str">
        <f aca="false">IF(A1762="","",IF(ABS(SUMIFS($E$9:$E$2008,$A$9:$A$2008,A1762)-SUMIFS($F$9:$F$2008,$A$9:$A$2008,A1762))&lt;0.5,"Yes","No"))</f>
        <v/>
      </c>
      <c r="L1762" s="10" t="str">
        <f aca="false">IF(A1762="","",IF(IF(K1762="No","Does not balance | ","")&amp;IF(I1762="","Not approved | ",IF(UPPER(TRIM(H1762))=UPPER(TRIM(I1762)),"Self-approved | ",""))&amp;IF(J1762="","No support | ","")&amp;IF(WEEKDAY(B1762,2)&gt;5,"Weekend posting | ","")&amp;IF(COUNTIF(Settings!$A$14:$A$43,B1762)&gt;0,"Holiday posting | ","")&amp;IF(B1762&gt;Settings!$C$8,"Posted after close | ","")&amp;IF(OR(B1762&lt;Settings!$C$6,B1762&gt;Settings!$C$7),"Outside period | ","")&amp;IF(COUNTIF(Settings!$E$14:$E$43,C1762&amp;"")&gt;0,"Sensitive account | ","")&amp;IF(AND(MAX(N(E1762),N(F1762))&gt;=Settings!$C$9,MOD(MAX(N(E1762),N(F1762)),Settings!$C$10)=0),"Round amount | ","")="","",LEFT(IF(K1762="No","Does not balance | ","")&amp;IF(I1762="","Not approved | ",IF(UPPER(TRIM(H1762))=UPPER(TRIM(I1762)),"Self-approved | ",""))&amp;IF(J1762="","No support | ","")&amp;IF(WEEKDAY(B1762,2)&gt;5,"Weekend posting | ","")&amp;IF(COUNTIF(Settings!$A$14:$A$43,B1762)&gt;0,"Holiday posting | ","")&amp;IF(B1762&gt;Settings!$C$8,"Posted after close | ","")&amp;IF(OR(B1762&lt;Settings!$C$6,B1762&gt;Settings!$C$7),"Outside period | ","")&amp;IF(COUNTIF(Settings!$E$14:$E$43,C1762&amp;"")&gt;0,"Sensitive account | ","")&amp;IF(AND(MAX(N(E1762),N(F1762))&gt;=Settings!$C$9,MOD(MAX(N(E1762),N(F1762)),Settings!$C$10)=0),"Round amount | ",""),LEN(IF(K1762="No","Does not balance | ","")&amp;IF(I1762="","Not approved | ",IF(UPPER(TRIM(H1762))=UPPER(TRIM(I1762)),"Self-approved | ",""))&amp;IF(J1762="","No support | ","")&amp;IF(WEEKDAY(B1762,2)&gt;5,"Weekend posting | ","")&amp;IF(COUNTIF(Settings!$A$14:$A$43,B1762)&gt;0,"Holiday posting | ","")&amp;IF(B1762&gt;Settings!$C$8,"Posted after close | ","")&amp;IF(OR(B1762&lt;Settings!$C$6,B1762&gt;Settings!$C$7),"Outside period | ","")&amp;IF(COUNTIF(Settings!$E$14:$E$43,C1762&amp;"")&gt;0,"Sensitive account | ","")&amp;IF(AND(MAX(N(E1762),N(F1762))&gt;=Settings!$C$9,MOD(MAX(N(E1762),N(F1762)),Settings!$C$10)=0),"Round amount | ",""))-3)))</f>
        <v/>
      </c>
      <c r="M1762" s="21" t="str">
        <f aca="false">IF(A1762="","",IF(COUNTIF($A$9:A1762,A1762)=1,MAX($M$8:M1761)+1,""))</f>
        <v/>
      </c>
    </row>
    <row r="1763" customFormat="false" ht="15" hidden="false" customHeight="false" outlineLevel="0" collapsed="false">
      <c r="A1763" s="8"/>
      <c r="B1763" s="17"/>
      <c r="C1763" s="19"/>
      <c r="D1763" s="8"/>
      <c r="E1763" s="18"/>
      <c r="F1763" s="18"/>
      <c r="G1763" s="8"/>
      <c r="H1763" s="8"/>
      <c r="I1763" s="8"/>
      <c r="J1763" s="8"/>
      <c r="K1763" s="10" t="str">
        <f aca="false">IF(A1763="","",IF(ABS(SUMIFS($E$9:$E$2008,$A$9:$A$2008,A1763)-SUMIFS($F$9:$F$2008,$A$9:$A$2008,A1763))&lt;0.5,"Yes","No"))</f>
        <v/>
      </c>
      <c r="L1763" s="10" t="str">
        <f aca="false">IF(A1763="","",IF(IF(K1763="No","Does not balance | ","")&amp;IF(I1763="","Not approved | ",IF(UPPER(TRIM(H1763))=UPPER(TRIM(I1763)),"Self-approved | ",""))&amp;IF(J1763="","No support | ","")&amp;IF(WEEKDAY(B1763,2)&gt;5,"Weekend posting | ","")&amp;IF(COUNTIF(Settings!$A$14:$A$43,B1763)&gt;0,"Holiday posting | ","")&amp;IF(B1763&gt;Settings!$C$8,"Posted after close | ","")&amp;IF(OR(B1763&lt;Settings!$C$6,B1763&gt;Settings!$C$7),"Outside period | ","")&amp;IF(COUNTIF(Settings!$E$14:$E$43,C1763&amp;"")&gt;0,"Sensitive account | ","")&amp;IF(AND(MAX(N(E1763),N(F1763))&gt;=Settings!$C$9,MOD(MAX(N(E1763),N(F1763)),Settings!$C$10)=0),"Round amount | ","")="","",LEFT(IF(K1763="No","Does not balance | ","")&amp;IF(I1763="","Not approved | ",IF(UPPER(TRIM(H1763))=UPPER(TRIM(I1763)),"Self-approved | ",""))&amp;IF(J1763="","No support | ","")&amp;IF(WEEKDAY(B1763,2)&gt;5,"Weekend posting | ","")&amp;IF(COUNTIF(Settings!$A$14:$A$43,B1763)&gt;0,"Holiday posting | ","")&amp;IF(B1763&gt;Settings!$C$8,"Posted after close | ","")&amp;IF(OR(B1763&lt;Settings!$C$6,B1763&gt;Settings!$C$7),"Outside period | ","")&amp;IF(COUNTIF(Settings!$E$14:$E$43,C1763&amp;"")&gt;0,"Sensitive account | ","")&amp;IF(AND(MAX(N(E1763),N(F1763))&gt;=Settings!$C$9,MOD(MAX(N(E1763),N(F1763)),Settings!$C$10)=0),"Round amount | ",""),LEN(IF(K1763="No","Does not balance | ","")&amp;IF(I1763="","Not approved | ",IF(UPPER(TRIM(H1763))=UPPER(TRIM(I1763)),"Self-approved | ",""))&amp;IF(J1763="","No support | ","")&amp;IF(WEEKDAY(B1763,2)&gt;5,"Weekend posting | ","")&amp;IF(COUNTIF(Settings!$A$14:$A$43,B1763)&gt;0,"Holiday posting | ","")&amp;IF(B1763&gt;Settings!$C$8,"Posted after close | ","")&amp;IF(OR(B1763&lt;Settings!$C$6,B1763&gt;Settings!$C$7),"Outside period | ","")&amp;IF(COUNTIF(Settings!$E$14:$E$43,C1763&amp;"")&gt;0,"Sensitive account | ","")&amp;IF(AND(MAX(N(E1763),N(F1763))&gt;=Settings!$C$9,MOD(MAX(N(E1763),N(F1763)),Settings!$C$10)=0),"Round amount | ",""))-3)))</f>
        <v/>
      </c>
      <c r="M1763" s="21" t="str">
        <f aca="false">IF(A1763="","",IF(COUNTIF($A$9:A1763,A1763)=1,MAX($M$8:M1762)+1,""))</f>
        <v/>
      </c>
    </row>
    <row r="1764" customFormat="false" ht="15" hidden="false" customHeight="false" outlineLevel="0" collapsed="false">
      <c r="A1764" s="8"/>
      <c r="B1764" s="17"/>
      <c r="C1764" s="19"/>
      <c r="D1764" s="8"/>
      <c r="E1764" s="18"/>
      <c r="F1764" s="18"/>
      <c r="G1764" s="8"/>
      <c r="H1764" s="8"/>
      <c r="I1764" s="8"/>
      <c r="J1764" s="8"/>
      <c r="K1764" s="10" t="str">
        <f aca="false">IF(A1764="","",IF(ABS(SUMIFS($E$9:$E$2008,$A$9:$A$2008,A1764)-SUMIFS($F$9:$F$2008,$A$9:$A$2008,A1764))&lt;0.5,"Yes","No"))</f>
        <v/>
      </c>
      <c r="L1764" s="10" t="str">
        <f aca="false">IF(A1764="","",IF(IF(K1764="No","Does not balance | ","")&amp;IF(I1764="","Not approved | ",IF(UPPER(TRIM(H1764))=UPPER(TRIM(I1764)),"Self-approved | ",""))&amp;IF(J1764="","No support | ","")&amp;IF(WEEKDAY(B1764,2)&gt;5,"Weekend posting | ","")&amp;IF(COUNTIF(Settings!$A$14:$A$43,B1764)&gt;0,"Holiday posting | ","")&amp;IF(B1764&gt;Settings!$C$8,"Posted after close | ","")&amp;IF(OR(B1764&lt;Settings!$C$6,B1764&gt;Settings!$C$7),"Outside period | ","")&amp;IF(COUNTIF(Settings!$E$14:$E$43,C1764&amp;"")&gt;0,"Sensitive account | ","")&amp;IF(AND(MAX(N(E1764),N(F1764))&gt;=Settings!$C$9,MOD(MAX(N(E1764),N(F1764)),Settings!$C$10)=0),"Round amount | ","")="","",LEFT(IF(K1764="No","Does not balance | ","")&amp;IF(I1764="","Not approved | ",IF(UPPER(TRIM(H1764))=UPPER(TRIM(I1764)),"Self-approved | ",""))&amp;IF(J1764="","No support | ","")&amp;IF(WEEKDAY(B1764,2)&gt;5,"Weekend posting | ","")&amp;IF(COUNTIF(Settings!$A$14:$A$43,B1764)&gt;0,"Holiday posting | ","")&amp;IF(B1764&gt;Settings!$C$8,"Posted after close | ","")&amp;IF(OR(B1764&lt;Settings!$C$6,B1764&gt;Settings!$C$7),"Outside period | ","")&amp;IF(COUNTIF(Settings!$E$14:$E$43,C1764&amp;"")&gt;0,"Sensitive account | ","")&amp;IF(AND(MAX(N(E1764),N(F1764))&gt;=Settings!$C$9,MOD(MAX(N(E1764),N(F1764)),Settings!$C$10)=0),"Round amount | ",""),LEN(IF(K1764="No","Does not balance | ","")&amp;IF(I1764="","Not approved | ",IF(UPPER(TRIM(H1764))=UPPER(TRIM(I1764)),"Self-approved | ",""))&amp;IF(J1764="","No support | ","")&amp;IF(WEEKDAY(B1764,2)&gt;5,"Weekend posting | ","")&amp;IF(COUNTIF(Settings!$A$14:$A$43,B1764)&gt;0,"Holiday posting | ","")&amp;IF(B1764&gt;Settings!$C$8,"Posted after close | ","")&amp;IF(OR(B1764&lt;Settings!$C$6,B1764&gt;Settings!$C$7),"Outside period | ","")&amp;IF(COUNTIF(Settings!$E$14:$E$43,C1764&amp;"")&gt;0,"Sensitive account | ","")&amp;IF(AND(MAX(N(E1764),N(F1764))&gt;=Settings!$C$9,MOD(MAX(N(E1764),N(F1764)),Settings!$C$10)=0),"Round amount | ",""))-3)))</f>
        <v/>
      </c>
      <c r="M1764" s="21" t="str">
        <f aca="false">IF(A1764="","",IF(COUNTIF($A$9:A1764,A1764)=1,MAX($M$8:M1763)+1,""))</f>
        <v/>
      </c>
    </row>
    <row r="1765" customFormat="false" ht="15" hidden="false" customHeight="false" outlineLevel="0" collapsed="false">
      <c r="A1765" s="8"/>
      <c r="B1765" s="17"/>
      <c r="C1765" s="19"/>
      <c r="D1765" s="8"/>
      <c r="E1765" s="18"/>
      <c r="F1765" s="18"/>
      <c r="G1765" s="8"/>
      <c r="H1765" s="8"/>
      <c r="I1765" s="8"/>
      <c r="J1765" s="8"/>
      <c r="K1765" s="10" t="str">
        <f aca="false">IF(A1765="","",IF(ABS(SUMIFS($E$9:$E$2008,$A$9:$A$2008,A1765)-SUMIFS($F$9:$F$2008,$A$9:$A$2008,A1765))&lt;0.5,"Yes","No"))</f>
        <v/>
      </c>
      <c r="L1765" s="10" t="str">
        <f aca="false">IF(A1765="","",IF(IF(K1765="No","Does not balance | ","")&amp;IF(I1765="","Not approved | ",IF(UPPER(TRIM(H1765))=UPPER(TRIM(I1765)),"Self-approved | ",""))&amp;IF(J1765="","No support | ","")&amp;IF(WEEKDAY(B1765,2)&gt;5,"Weekend posting | ","")&amp;IF(COUNTIF(Settings!$A$14:$A$43,B1765)&gt;0,"Holiday posting | ","")&amp;IF(B1765&gt;Settings!$C$8,"Posted after close | ","")&amp;IF(OR(B1765&lt;Settings!$C$6,B1765&gt;Settings!$C$7),"Outside period | ","")&amp;IF(COUNTIF(Settings!$E$14:$E$43,C1765&amp;"")&gt;0,"Sensitive account | ","")&amp;IF(AND(MAX(N(E1765),N(F1765))&gt;=Settings!$C$9,MOD(MAX(N(E1765),N(F1765)),Settings!$C$10)=0),"Round amount | ","")="","",LEFT(IF(K1765="No","Does not balance | ","")&amp;IF(I1765="","Not approved | ",IF(UPPER(TRIM(H1765))=UPPER(TRIM(I1765)),"Self-approved | ",""))&amp;IF(J1765="","No support | ","")&amp;IF(WEEKDAY(B1765,2)&gt;5,"Weekend posting | ","")&amp;IF(COUNTIF(Settings!$A$14:$A$43,B1765)&gt;0,"Holiday posting | ","")&amp;IF(B1765&gt;Settings!$C$8,"Posted after close | ","")&amp;IF(OR(B1765&lt;Settings!$C$6,B1765&gt;Settings!$C$7),"Outside period | ","")&amp;IF(COUNTIF(Settings!$E$14:$E$43,C1765&amp;"")&gt;0,"Sensitive account | ","")&amp;IF(AND(MAX(N(E1765),N(F1765))&gt;=Settings!$C$9,MOD(MAX(N(E1765),N(F1765)),Settings!$C$10)=0),"Round amount | ",""),LEN(IF(K1765="No","Does not balance | ","")&amp;IF(I1765="","Not approved | ",IF(UPPER(TRIM(H1765))=UPPER(TRIM(I1765)),"Self-approved | ",""))&amp;IF(J1765="","No support | ","")&amp;IF(WEEKDAY(B1765,2)&gt;5,"Weekend posting | ","")&amp;IF(COUNTIF(Settings!$A$14:$A$43,B1765)&gt;0,"Holiday posting | ","")&amp;IF(B1765&gt;Settings!$C$8,"Posted after close | ","")&amp;IF(OR(B1765&lt;Settings!$C$6,B1765&gt;Settings!$C$7),"Outside period | ","")&amp;IF(COUNTIF(Settings!$E$14:$E$43,C1765&amp;"")&gt;0,"Sensitive account | ","")&amp;IF(AND(MAX(N(E1765),N(F1765))&gt;=Settings!$C$9,MOD(MAX(N(E1765),N(F1765)),Settings!$C$10)=0),"Round amount | ",""))-3)))</f>
        <v/>
      </c>
      <c r="M1765" s="21" t="str">
        <f aca="false">IF(A1765="","",IF(COUNTIF($A$9:A1765,A1765)=1,MAX($M$8:M1764)+1,""))</f>
        <v/>
      </c>
    </row>
    <row r="1766" customFormat="false" ht="15" hidden="false" customHeight="false" outlineLevel="0" collapsed="false">
      <c r="A1766" s="8"/>
      <c r="B1766" s="17"/>
      <c r="C1766" s="19"/>
      <c r="D1766" s="8"/>
      <c r="E1766" s="18"/>
      <c r="F1766" s="18"/>
      <c r="G1766" s="8"/>
      <c r="H1766" s="8"/>
      <c r="I1766" s="8"/>
      <c r="J1766" s="8"/>
      <c r="K1766" s="10" t="str">
        <f aca="false">IF(A1766="","",IF(ABS(SUMIFS($E$9:$E$2008,$A$9:$A$2008,A1766)-SUMIFS($F$9:$F$2008,$A$9:$A$2008,A1766))&lt;0.5,"Yes","No"))</f>
        <v/>
      </c>
      <c r="L1766" s="10" t="str">
        <f aca="false">IF(A1766="","",IF(IF(K1766="No","Does not balance | ","")&amp;IF(I1766="","Not approved | ",IF(UPPER(TRIM(H1766))=UPPER(TRIM(I1766)),"Self-approved | ",""))&amp;IF(J1766="","No support | ","")&amp;IF(WEEKDAY(B1766,2)&gt;5,"Weekend posting | ","")&amp;IF(COUNTIF(Settings!$A$14:$A$43,B1766)&gt;0,"Holiday posting | ","")&amp;IF(B1766&gt;Settings!$C$8,"Posted after close | ","")&amp;IF(OR(B1766&lt;Settings!$C$6,B1766&gt;Settings!$C$7),"Outside period | ","")&amp;IF(COUNTIF(Settings!$E$14:$E$43,C1766&amp;"")&gt;0,"Sensitive account | ","")&amp;IF(AND(MAX(N(E1766),N(F1766))&gt;=Settings!$C$9,MOD(MAX(N(E1766),N(F1766)),Settings!$C$10)=0),"Round amount | ","")="","",LEFT(IF(K1766="No","Does not balance | ","")&amp;IF(I1766="","Not approved | ",IF(UPPER(TRIM(H1766))=UPPER(TRIM(I1766)),"Self-approved | ",""))&amp;IF(J1766="","No support | ","")&amp;IF(WEEKDAY(B1766,2)&gt;5,"Weekend posting | ","")&amp;IF(COUNTIF(Settings!$A$14:$A$43,B1766)&gt;0,"Holiday posting | ","")&amp;IF(B1766&gt;Settings!$C$8,"Posted after close | ","")&amp;IF(OR(B1766&lt;Settings!$C$6,B1766&gt;Settings!$C$7),"Outside period | ","")&amp;IF(COUNTIF(Settings!$E$14:$E$43,C1766&amp;"")&gt;0,"Sensitive account | ","")&amp;IF(AND(MAX(N(E1766),N(F1766))&gt;=Settings!$C$9,MOD(MAX(N(E1766),N(F1766)),Settings!$C$10)=0),"Round amount | ",""),LEN(IF(K1766="No","Does not balance | ","")&amp;IF(I1766="","Not approved | ",IF(UPPER(TRIM(H1766))=UPPER(TRIM(I1766)),"Self-approved | ",""))&amp;IF(J1766="","No support | ","")&amp;IF(WEEKDAY(B1766,2)&gt;5,"Weekend posting | ","")&amp;IF(COUNTIF(Settings!$A$14:$A$43,B1766)&gt;0,"Holiday posting | ","")&amp;IF(B1766&gt;Settings!$C$8,"Posted after close | ","")&amp;IF(OR(B1766&lt;Settings!$C$6,B1766&gt;Settings!$C$7),"Outside period | ","")&amp;IF(COUNTIF(Settings!$E$14:$E$43,C1766&amp;"")&gt;0,"Sensitive account | ","")&amp;IF(AND(MAX(N(E1766),N(F1766))&gt;=Settings!$C$9,MOD(MAX(N(E1766),N(F1766)),Settings!$C$10)=0),"Round amount | ",""))-3)))</f>
        <v/>
      </c>
      <c r="M1766" s="21" t="str">
        <f aca="false">IF(A1766="","",IF(COUNTIF($A$9:A1766,A1766)=1,MAX($M$8:M1765)+1,""))</f>
        <v/>
      </c>
    </row>
    <row r="1767" customFormat="false" ht="15" hidden="false" customHeight="false" outlineLevel="0" collapsed="false">
      <c r="A1767" s="8"/>
      <c r="B1767" s="17"/>
      <c r="C1767" s="19"/>
      <c r="D1767" s="8"/>
      <c r="E1767" s="18"/>
      <c r="F1767" s="18"/>
      <c r="G1767" s="8"/>
      <c r="H1767" s="8"/>
      <c r="I1767" s="8"/>
      <c r="J1767" s="8"/>
      <c r="K1767" s="10" t="str">
        <f aca="false">IF(A1767="","",IF(ABS(SUMIFS($E$9:$E$2008,$A$9:$A$2008,A1767)-SUMIFS($F$9:$F$2008,$A$9:$A$2008,A1767))&lt;0.5,"Yes","No"))</f>
        <v/>
      </c>
      <c r="L1767" s="10" t="str">
        <f aca="false">IF(A1767="","",IF(IF(K1767="No","Does not balance | ","")&amp;IF(I1767="","Not approved | ",IF(UPPER(TRIM(H1767))=UPPER(TRIM(I1767)),"Self-approved | ",""))&amp;IF(J1767="","No support | ","")&amp;IF(WEEKDAY(B1767,2)&gt;5,"Weekend posting | ","")&amp;IF(COUNTIF(Settings!$A$14:$A$43,B1767)&gt;0,"Holiday posting | ","")&amp;IF(B1767&gt;Settings!$C$8,"Posted after close | ","")&amp;IF(OR(B1767&lt;Settings!$C$6,B1767&gt;Settings!$C$7),"Outside period | ","")&amp;IF(COUNTIF(Settings!$E$14:$E$43,C1767&amp;"")&gt;0,"Sensitive account | ","")&amp;IF(AND(MAX(N(E1767),N(F1767))&gt;=Settings!$C$9,MOD(MAX(N(E1767),N(F1767)),Settings!$C$10)=0),"Round amount | ","")="","",LEFT(IF(K1767="No","Does not balance | ","")&amp;IF(I1767="","Not approved | ",IF(UPPER(TRIM(H1767))=UPPER(TRIM(I1767)),"Self-approved | ",""))&amp;IF(J1767="","No support | ","")&amp;IF(WEEKDAY(B1767,2)&gt;5,"Weekend posting | ","")&amp;IF(COUNTIF(Settings!$A$14:$A$43,B1767)&gt;0,"Holiday posting | ","")&amp;IF(B1767&gt;Settings!$C$8,"Posted after close | ","")&amp;IF(OR(B1767&lt;Settings!$C$6,B1767&gt;Settings!$C$7),"Outside period | ","")&amp;IF(COUNTIF(Settings!$E$14:$E$43,C1767&amp;"")&gt;0,"Sensitive account | ","")&amp;IF(AND(MAX(N(E1767),N(F1767))&gt;=Settings!$C$9,MOD(MAX(N(E1767),N(F1767)),Settings!$C$10)=0),"Round amount | ",""),LEN(IF(K1767="No","Does not balance | ","")&amp;IF(I1767="","Not approved | ",IF(UPPER(TRIM(H1767))=UPPER(TRIM(I1767)),"Self-approved | ",""))&amp;IF(J1767="","No support | ","")&amp;IF(WEEKDAY(B1767,2)&gt;5,"Weekend posting | ","")&amp;IF(COUNTIF(Settings!$A$14:$A$43,B1767)&gt;0,"Holiday posting | ","")&amp;IF(B1767&gt;Settings!$C$8,"Posted after close | ","")&amp;IF(OR(B1767&lt;Settings!$C$6,B1767&gt;Settings!$C$7),"Outside period | ","")&amp;IF(COUNTIF(Settings!$E$14:$E$43,C1767&amp;"")&gt;0,"Sensitive account | ","")&amp;IF(AND(MAX(N(E1767),N(F1767))&gt;=Settings!$C$9,MOD(MAX(N(E1767),N(F1767)),Settings!$C$10)=0),"Round amount | ",""))-3)))</f>
        <v/>
      </c>
      <c r="M1767" s="21" t="str">
        <f aca="false">IF(A1767="","",IF(COUNTIF($A$9:A1767,A1767)=1,MAX($M$8:M1766)+1,""))</f>
        <v/>
      </c>
    </row>
    <row r="1768" customFormat="false" ht="15" hidden="false" customHeight="false" outlineLevel="0" collapsed="false">
      <c r="A1768" s="8"/>
      <c r="B1768" s="17"/>
      <c r="C1768" s="19"/>
      <c r="D1768" s="8"/>
      <c r="E1768" s="18"/>
      <c r="F1768" s="18"/>
      <c r="G1768" s="8"/>
      <c r="H1768" s="8"/>
      <c r="I1768" s="8"/>
      <c r="J1768" s="8"/>
      <c r="K1768" s="10" t="str">
        <f aca="false">IF(A1768="","",IF(ABS(SUMIFS($E$9:$E$2008,$A$9:$A$2008,A1768)-SUMIFS($F$9:$F$2008,$A$9:$A$2008,A1768))&lt;0.5,"Yes","No"))</f>
        <v/>
      </c>
      <c r="L1768" s="10" t="str">
        <f aca="false">IF(A1768="","",IF(IF(K1768="No","Does not balance | ","")&amp;IF(I1768="","Not approved | ",IF(UPPER(TRIM(H1768))=UPPER(TRIM(I1768)),"Self-approved | ",""))&amp;IF(J1768="","No support | ","")&amp;IF(WEEKDAY(B1768,2)&gt;5,"Weekend posting | ","")&amp;IF(COUNTIF(Settings!$A$14:$A$43,B1768)&gt;0,"Holiday posting | ","")&amp;IF(B1768&gt;Settings!$C$8,"Posted after close | ","")&amp;IF(OR(B1768&lt;Settings!$C$6,B1768&gt;Settings!$C$7),"Outside period | ","")&amp;IF(COUNTIF(Settings!$E$14:$E$43,C1768&amp;"")&gt;0,"Sensitive account | ","")&amp;IF(AND(MAX(N(E1768),N(F1768))&gt;=Settings!$C$9,MOD(MAX(N(E1768),N(F1768)),Settings!$C$10)=0),"Round amount | ","")="","",LEFT(IF(K1768="No","Does not balance | ","")&amp;IF(I1768="","Not approved | ",IF(UPPER(TRIM(H1768))=UPPER(TRIM(I1768)),"Self-approved | ",""))&amp;IF(J1768="","No support | ","")&amp;IF(WEEKDAY(B1768,2)&gt;5,"Weekend posting | ","")&amp;IF(COUNTIF(Settings!$A$14:$A$43,B1768)&gt;0,"Holiday posting | ","")&amp;IF(B1768&gt;Settings!$C$8,"Posted after close | ","")&amp;IF(OR(B1768&lt;Settings!$C$6,B1768&gt;Settings!$C$7),"Outside period | ","")&amp;IF(COUNTIF(Settings!$E$14:$E$43,C1768&amp;"")&gt;0,"Sensitive account | ","")&amp;IF(AND(MAX(N(E1768),N(F1768))&gt;=Settings!$C$9,MOD(MAX(N(E1768),N(F1768)),Settings!$C$10)=0),"Round amount | ",""),LEN(IF(K1768="No","Does not balance | ","")&amp;IF(I1768="","Not approved | ",IF(UPPER(TRIM(H1768))=UPPER(TRIM(I1768)),"Self-approved | ",""))&amp;IF(J1768="","No support | ","")&amp;IF(WEEKDAY(B1768,2)&gt;5,"Weekend posting | ","")&amp;IF(COUNTIF(Settings!$A$14:$A$43,B1768)&gt;0,"Holiday posting | ","")&amp;IF(B1768&gt;Settings!$C$8,"Posted after close | ","")&amp;IF(OR(B1768&lt;Settings!$C$6,B1768&gt;Settings!$C$7),"Outside period | ","")&amp;IF(COUNTIF(Settings!$E$14:$E$43,C1768&amp;"")&gt;0,"Sensitive account | ","")&amp;IF(AND(MAX(N(E1768),N(F1768))&gt;=Settings!$C$9,MOD(MAX(N(E1768),N(F1768)),Settings!$C$10)=0),"Round amount | ",""))-3)))</f>
        <v/>
      </c>
      <c r="M1768" s="21" t="str">
        <f aca="false">IF(A1768="","",IF(COUNTIF($A$9:A1768,A1768)=1,MAX($M$8:M1767)+1,""))</f>
        <v/>
      </c>
    </row>
    <row r="1769" customFormat="false" ht="15" hidden="false" customHeight="false" outlineLevel="0" collapsed="false">
      <c r="A1769" s="8"/>
      <c r="B1769" s="17"/>
      <c r="C1769" s="19"/>
      <c r="D1769" s="8"/>
      <c r="E1769" s="18"/>
      <c r="F1769" s="18"/>
      <c r="G1769" s="8"/>
      <c r="H1769" s="8"/>
      <c r="I1769" s="8"/>
      <c r="J1769" s="8"/>
      <c r="K1769" s="10" t="str">
        <f aca="false">IF(A1769="","",IF(ABS(SUMIFS($E$9:$E$2008,$A$9:$A$2008,A1769)-SUMIFS($F$9:$F$2008,$A$9:$A$2008,A1769))&lt;0.5,"Yes","No"))</f>
        <v/>
      </c>
      <c r="L1769" s="10" t="str">
        <f aca="false">IF(A1769="","",IF(IF(K1769="No","Does not balance | ","")&amp;IF(I1769="","Not approved | ",IF(UPPER(TRIM(H1769))=UPPER(TRIM(I1769)),"Self-approved | ",""))&amp;IF(J1769="","No support | ","")&amp;IF(WEEKDAY(B1769,2)&gt;5,"Weekend posting | ","")&amp;IF(COUNTIF(Settings!$A$14:$A$43,B1769)&gt;0,"Holiday posting | ","")&amp;IF(B1769&gt;Settings!$C$8,"Posted after close | ","")&amp;IF(OR(B1769&lt;Settings!$C$6,B1769&gt;Settings!$C$7),"Outside period | ","")&amp;IF(COUNTIF(Settings!$E$14:$E$43,C1769&amp;"")&gt;0,"Sensitive account | ","")&amp;IF(AND(MAX(N(E1769),N(F1769))&gt;=Settings!$C$9,MOD(MAX(N(E1769),N(F1769)),Settings!$C$10)=0),"Round amount | ","")="","",LEFT(IF(K1769="No","Does not balance | ","")&amp;IF(I1769="","Not approved | ",IF(UPPER(TRIM(H1769))=UPPER(TRIM(I1769)),"Self-approved | ",""))&amp;IF(J1769="","No support | ","")&amp;IF(WEEKDAY(B1769,2)&gt;5,"Weekend posting | ","")&amp;IF(COUNTIF(Settings!$A$14:$A$43,B1769)&gt;0,"Holiday posting | ","")&amp;IF(B1769&gt;Settings!$C$8,"Posted after close | ","")&amp;IF(OR(B1769&lt;Settings!$C$6,B1769&gt;Settings!$C$7),"Outside period | ","")&amp;IF(COUNTIF(Settings!$E$14:$E$43,C1769&amp;"")&gt;0,"Sensitive account | ","")&amp;IF(AND(MAX(N(E1769),N(F1769))&gt;=Settings!$C$9,MOD(MAX(N(E1769),N(F1769)),Settings!$C$10)=0),"Round amount | ",""),LEN(IF(K1769="No","Does not balance | ","")&amp;IF(I1769="","Not approved | ",IF(UPPER(TRIM(H1769))=UPPER(TRIM(I1769)),"Self-approved | ",""))&amp;IF(J1769="","No support | ","")&amp;IF(WEEKDAY(B1769,2)&gt;5,"Weekend posting | ","")&amp;IF(COUNTIF(Settings!$A$14:$A$43,B1769)&gt;0,"Holiday posting | ","")&amp;IF(B1769&gt;Settings!$C$8,"Posted after close | ","")&amp;IF(OR(B1769&lt;Settings!$C$6,B1769&gt;Settings!$C$7),"Outside period | ","")&amp;IF(COUNTIF(Settings!$E$14:$E$43,C1769&amp;"")&gt;0,"Sensitive account | ","")&amp;IF(AND(MAX(N(E1769),N(F1769))&gt;=Settings!$C$9,MOD(MAX(N(E1769),N(F1769)),Settings!$C$10)=0),"Round amount | ",""))-3)))</f>
        <v/>
      </c>
      <c r="M1769" s="21" t="str">
        <f aca="false">IF(A1769="","",IF(COUNTIF($A$9:A1769,A1769)=1,MAX($M$8:M1768)+1,""))</f>
        <v/>
      </c>
    </row>
    <row r="1770" customFormat="false" ht="15" hidden="false" customHeight="false" outlineLevel="0" collapsed="false">
      <c r="A1770" s="8"/>
      <c r="B1770" s="17"/>
      <c r="C1770" s="19"/>
      <c r="D1770" s="8"/>
      <c r="E1770" s="18"/>
      <c r="F1770" s="18"/>
      <c r="G1770" s="8"/>
      <c r="H1770" s="8"/>
      <c r="I1770" s="8"/>
      <c r="J1770" s="8"/>
      <c r="K1770" s="10" t="str">
        <f aca="false">IF(A1770="","",IF(ABS(SUMIFS($E$9:$E$2008,$A$9:$A$2008,A1770)-SUMIFS($F$9:$F$2008,$A$9:$A$2008,A1770))&lt;0.5,"Yes","No"))</f>
        <v/>
      </c>
      <c r="L1770" s="10" t="str">
        <f aca="false">IF(A1770="","",IF(IF(K1770="No","Does not balance | ","")&amp;IF(I1770="","Not approved | ",IF(UPPER(TRIM(H1770))=UPPER(TRIM(I1770)),"Self-approved | ",""))&amp;IF(J1770="","No support | ","")&amp;IF(WEEKDAY(B1770,2)&gt;5,"Weekend posting | ","")&amp;IF(COUNTIF(Settings!$A$14:$A$43,B1770)&gt;0,"Holiday posting | ","")&amp;IF(B1770&gt;Settings!$C$8,"Posted after close | ","")&amp;IF(OR(B1770&lt;Settings!$C$6,B1770&gt;Settings!$C$7),"Outside period | ","")&amp;IF(COUNTIF(Settings!$E$14:$E$43,C1770&amp;"")&gt;0,"Sensitive account | ","")&amp;IF(AND(MAX(N(E1770),N(F1770))&gt;=Settings!$C$9,MOD(MAX(N(E1770),N(F1770)),Settings!$C$10)=0),"Round amount | ","")="","",LEFT(IF(K1770="No","Does not balance | ","")&amp;IF(I1770="","Not approved | ",IF(UPPER(TRIM(H1770))=UPPER(TRIM(I1770)),"Self-approved | ",""))&amp;IF(J1770="","No support | ","")&amp;IF(WEEKDAY(B1770,2)&gt;5,"Weekend posting | ","")&amp;IF(COUNTIF(Settings!$A$14:$A$43,B1770)&gt;0,"Holiday posting | ","")&amp;IF(B1770&gt;Settings!$C$8,"Posted after close | ","")&amp;IF(OR(B1770&lt;Settings!$C$6,B1770&gt;Settings!$C$7),"Outside period | ","")&amp;IF(COUNTIF(Settings!$E$14:$E$43,C1770&amp;"")&gt;0,"Sensitive account | ","")&amp;IF(AND(MAX(N(E1770),N(F1770))&gt;=Settings!$C$9,MOD(MAX(N(E1770),N(F1770)),Settings!$C$10)=0),"Round amount | ",""),LEN(IF(K1770="No","Does not balance | ","")&amp;IF(I1770="","Not approved | ",IF(UPPER(TRIM(H1770))=UPPER(TRIM(I1770)),"Self-approved | ",""))&amp;IF(J1770="","No support | ","")&amp;IF(WEEKDAY(B1770,2)&gt;5,"Weekend posting | ","")&amp;IF(COUNTIF(Settings!$A$14:$A$43,B1770)&gt;0,"Holiday posting | ","")&amp;IF(B1770&gt;Settings!$C$8,"Posted after close | ","")&amp;IF(OR(B1770&lt;Settings!$C$6,B1770&gt;Settings!$C$7),"Outside period | ","")&amp;IF(COUNTIF(Settings!$E$14:$E$43,C1770&amp;"")&gt;0,"Sensitive account | ","")&amp;IF(AND(MAX(N(E1770),N(F1770))&gt;=Settings!$C$9,MOD(MAX(N(E1770),N(F1770)),Settings!$C$10)=0),"Round amount | ",""))-3)))</f>
        <v/>
      </c>
      <c r="M1770" s="21" t="str">
        <f aca="false">IF(A1770="","",IF(COUNTIF($A$9:A1770,A1770)=1,MAX($M$8:M1769)+1,""))</f>
        <v/>
      </c>
    </row>
    <row r="1771" customFormat="false" ht="15" hidden="false" customHeight="false" outlineLevel="0" collapsed="false">
      <c r="A1771" s="8"/>
      <c r="B1771" s="17"/>
      <c r="C1771" s="19"/>
      <c r="D1771" s="8"/>
      <c r="E1771" s="18"/>
      <c r="F1771" s="18"/>
      <c r="G1771" s="8"/>
      <c r="H1771" s="8"/>
      <c r="I1771" s="8"/>
      <c r="J1771" s="8"/>
      <c r="K1771" s="10" t="str">
        <f aca="false">IF(A1771="","",IF(ABS(SUMIFS($E$9:$E$2008,$A$9:$A$2008,A1771)-SUMIFS($F$9:$F$2008,$A$9:$A$2008,A1771))&lt;0.5,"Yes","No"))</f>
        <v/>
      </c>
      <c r="L1771" s="10" t="str">
        <f aca="false">IF(A1771="","",IF(IF(K1771="No","Does not balance | ","")&amp;IF(I1771="","Not approved | ",IF(UPPER(TRIM(H1771))=UPPER(TRIM(I1771)),"Self-approved | ",""))&amp;IF(J1771="","No support | ","")&amp;IF(WEEKDAY(B1771,2)&gt;5,"Weekend posting | ","")&amp;IF(COUNTIF(Settings!$A$14:$A$43,B1771)&gt;0,"Holiday posting | ","")&amp;IF(B1771&gt;Settings!$C$8,"Posted after close | ","")&amp;IF(OR(B1771&lt;Settings!$C$6,B1771&gt;Settings!$C$7),"Outside period | ","")&amp;IF(COUNTIF(Settings!$E$14:$E$43,C1771&amp;"")&gt;0,"Sensitive account | ","")&amp;IF(AND(MAX(N(E1771),N(F1771))&gt;=Settings!$C$9,MOD(MAX(N(E1771),N(F1771)),Settings!$C$10)=0),"Round amount | ","")="","",LEFT(IF(K1771="No","Does not balance | ","")&amp;IF(I1771="","Not approved | ",IF(UPPER(TRIM(H1771))=UPPER(TRIM(I1771)),"Self-approved | ",""))&amp;IF(J1771="","No support | ","")&amp;IF(WEEKDAY(B1771,2)&gt;5,"Weekend posting | ","")&amp;IF(COUNTIF(Settings!$A$14:$A$43,B1771)&gt;0,"Holiday posting | ","")&amp;IF(B1771&gt;Settings!$C$8,"Posted after close | ","")&amp;IF(OR(B1771&lt;Settings!$C$6,B1771&gt;Settings!$C$7),"Outside period | ","")&amp;IF(COUNTIF(Settings!$E$14:$E$43,C1771&amp;"")&gt;0,"Sensitive account | ","")&amp;IF(AND(MAX(N(E1771),N(F1771))&gt;=Settings!$C$9,MOD(MAX(N(E1771),N(F1771)),Settings!$C$10)=0),"Round amount | ",""),LEN(IF(K1771="No","Does not balance | ","")&amp;IF(I1771="","Not approved | ",IF(UPPER(TRIM(H1771))=UPPER(TRIM(I1771)),"Self-approved | ",""))&amp;IF(J1771="","No support | ","")&amp;IF(WEEKDAY(B1771,2)&gt;5,"Weekend posting | ","")&amp;IF(COUNTIF(Settings!$A$14:$A$43,B1771)&gt;0,"Holiday posting | ","")&amp;IF(B1771&gt;Settings!$C$8,"Posted after close | ","")&amp;IF(OR(B1771&lt;Settings!$C$6,B1771&gt;Settings!$C$7),"Outside period | ","")&amp;IF(COUNTIF(Settings!$E$14:$E$43,C1771&amp;"")&gt;0,"Sensitive account | ","")&amp;IF(AND(MAX(N(E1771),N(F1771))&gt;=Settings!$C$9,MOD(MAX(N(E1771),N(F1771)),Settings!$C$10)=0),"Round amount | ",""))-3)))</f>
        <v/>
      </c>
      <c r="M1771" s="21" t="str">
        <f aca="false">IF(A1771="","",IF(COUNTIF($A$9:A1771,A1771)=1,MAX($M$8:M1770)+1,""))</f>
        <v/>
      </c>
    </row>
    <row r="1772" customFormat="false" ht="15" hidden="false" customHeight="false" outlineLevel="0" collapsed="false">
      <c r="A1772" s="8"/>
      <c r="B1772" s="17"/>
      <c r="C1772" s="19"/>
      <c r="D1772" s="8"/>
      <c r="E1772" s="18"/>
      <c r="F1772" s="18"/>
      <c r="G1772" s="8"/>
      <c r="H1772" s="8"/>
      <c r="I1772" s="8"/>
      <c r="J1772" s="8"/>
      <c r="K1772" s="10" t="str">
        <f aca="false">IF(A1772="","",IF(ABS(SUMIFS($E$9:$E$2008,$A$9:$A$2008,A1772)-SUMIFS($F$9:$F$2008,$A$9:$A$2008,A1772))&lt;0.5,"Yes","No"))</f>
        <v/>
      </c>
      <c r="L1772" s="10" t="str">
        <f aca="false">IF(A1772="","",IF(IF(K1772="No","Does not balance | ","")&amp;IF(I1772="","Not approved | ",IF(UPPER(TRIM(H1772))=UPPER(TRIM(I1772)),"Self-approved | ",""))&amp;IF(J1772="","No support | ","")&amp;IF(WEEKDAY(B1772,2)&gt;5,"Weekend posting | ","")&amp;IF(COUNTIF(Settings!$A$14:$A$43,B1772)&gt;0,"Holiday posting | ","")&amp;IF(B1772&gt;Settings!$C$8,"Posted after close | ","")&amp;IF(OR(B1772&lt;Settings!$C$6,B1772&gt;Settings!$C$7),"Outside period | ","")&amp;IF(COUNTIF(Settings!$E$14:$E$43,C1772&amp;"")&gt;0,"Sensitive account | ","")&amp;IF(AND(MAX(N(E1772),N(F1772))&gt;=Settings!$C$9,MOD(MAX(N(E1772),N(F1772)),Settings!$C$10)=0),"Round amount | ","")="","",LEFT(IF(K1772="No","Does not balance | ","")&amp;IF(I1772="","Not approved | ",IF(UPPER(TRIM(H1772))=UPPER(TRIM(I1772)),"Self-approved | ",""))&amp;IF(J1772="","No support | ","")&amp;IF(WEEKDAY(B1772,2)&gt;5,"Weekend posting | ","")&amp;IF(COUNTIF(Settings!$A$14:$A$43,B1772)&gt;0,"Holiday posting | ","")&amp;IF(B1772&gt;Settings!$C$8,"Posted after close | ","")&amp;IF(OR(B1772&lt;Settings!$C$6,B1772&gt;Settings!$C$7),"Outside period | ","")&amp;IF(COUNTIF(Settings!$E$14:$E$43,C1772&amp;"")&gt;0,"Sensitive account | ","")&amp;IF(AND(MAX(N(E1772),N(F1772))&gt;=Settings!$C$9,MOD(MAX(N(E1772),N(F1772)),Settings!$C$10)=0),"Round amount | ",""),LEN(IF(K1772="No","Does not balance | ","")&amp;IF(I1772="","Not approved | ",IF(UPPER(TRIM(H1772))=UPPER(TRIM(I1772)),"Self-approved | ",""))&amp;IF(J1772="","No support | ","")&amp;IF(WEEKDAY(B1772,2)&gt;5,"Weekend posting | ","")&amp;IF(COUNTIF(Settings!$A$14:$A$43,B1772)&gt;0,"Holiday posting | ","")&amp;IF(B1772&gt;Settings!$C$8,"Posted after close | ","")&amp;IF(OR(B1772&lt;Settings!$C$6,B1772&gt;Settings!$C$7),"Outside period | ","")&amp;IF(COUNTIF(Settings!$E$14:$E$43,C1772&amp;"")&gt;0,"Sensitive account | ","")&amp;IF(AND(MAX(N(E1772),N(F1772))&gt;=Settings!$C$9,MOD(MAX(N(E1772),N(F1772)),Settings!$C$10)=0),"Round amount | ",""))-3)))</f>
        <v/>
      </c>
      <c r="M1772" s="21" t="str">
        <f aca="false">IF(A1772="","",IF(COUNTIF($A$9:A1772,A1772)=1,MAX($M$8:M1771)+1,""))</f>
        <v/>
      </c>
    </row>
    <row r="1773" customFormat="false" ht="15" hidden="false" customHeight="false" outlineLevel="0" collapsed="false">
      <c r="A1773" s="8"/>
      <c r="B1773" s="17"/>
      <c r="C1773" s="19"/>
      <c r="D1773" s="8"/>
      <c r="E1773" s="18"/>
      <c r="F1773" s="18"/>
      <c r="G1773" s="8"/>
      <c r="H1773" s="8"/>
      <c r="I1773" s="8"/>
      <c r="J1773" s="8"/>
      <c r="K1773" s="10" t="str">
        <f aca="false">IF(A1773="","",IF(ABS(SUMIFS($E$9:$E$2008,$A$9:$A$2008,A1773)-SUMIFS($F$9:$F$2008,$A$9:$A$2008,A1773))&lt;0.5,"Yes","No"))</f>
        <v/>
      </c>
      <c r="L1773" s="10" t="str">
        <f aca="false">IF(A1773="","",IF(IF(K1773="No","Does not balance | ","")&amp;IF(I1773="","Not approved | ",IF(UPPER(TRIM(H1773))=UPPER(TRIM(I1773)),"Self-approved | ",""))&amp;IF(J1773="","No support | ","")&amp;IF(WEEKDAY(B1773,2)&gt;5,"Weekend posting | ","")&amp;IF(COUNTIF(Settings!$A$14:$A$43,B1773)&gt;0,"Holiday posting | ","")&amp;IF(B1773&gt;Settings!$C$8,"Posted after close | ","")&amp;IF(OR(B1773&lt;Settings!$C$6,B1773&gt;Settings!$C$7),"Outside period | ","")&amp;IF(COUNTIF(Settings!$E$14:$E$43,C1773&amp;"")&gt;0,"Sensitive account | ","")&amp;IF(AND(MAX(N(E1773),N(F1773))&gt;=Settings!$C$9,MOD(MAX(N(E1773),N(F1773)),Settings!$C$10)=0),"Round amount | ","")="","",LEFT(IF(K1773="No","Does not balance | ","")&amp;IF(I1773="","Not approved | ",IF(UPPER(TRIM(H1773))=UPPER(TRIM(I1773)),"Self-approved | ",""))&amp;IF(J1773="","No support | ","")&amp;IF(WEEKDAY(B1773,2)&gt;5,"Weekend posting | ","")&amp;IF(COUNTIF(Settings!$A$14:$A$43,B1773)&gt;0,"Holiday posting | ","")&amp;IF(B1773&gt;Settings!$C$8,"Posted after close | ","")&amp;IF(OR(B1773&lt;Settings!$C$6,B1773&gt;Settings!$C$7),"Outside period | ","")&amp;IF(COUNTIF(Settings!$E$14:$E$43,C1773&amp;"")&gt;0,"Sensitive account | ","")&amp;IF(AND(MAX(N(E1773),N(F1773))&gt;=Settings!$C$9,MOD(MAX(N(E1773),N(F1773)),Settings!$C$10)=0),"Round amount | ",""),LEN(IF(K1773="No","Does not balance | ","")&amp;IF(I1773="","Not approved | ",IF(UPPER(TRIM(H1773))=UPPER(TRIM(I1773)),"Self-approved | ",""))&amp;IF(J1773="","No support | ","")&amp;IF(WEEKDAY(B1773,2)&gt;5,"Weekend posting | ","")&amp;IF(COUNTIF(Settings!$A$14:$A$43,B1773)&gt;0,"Holiday posting | ","")&amp;IF(B1773&gt;Settings!$C$8,"Posted after close | ","")&amp;IF(OR(B1773&lt;Settings!$C$6,B1773&gt;Settings!$C$7),"Outside period | ","")&amp;IF(COUNTIF(Settings!$E$14:$E$43,C1773&amp;"")&gt;0,"Sensitive account | ","")&amp;IF(AND(MAX(N(E1773),N(F1773))&gt;=Settings!$C$9,MOD(MAX(N(E1773),N(F1773)),Settings!$C$10)=0),"Round amount | ",""))-3)))</f>
        <v/>
      </c>
      <c r="M1773" s="21" t="str">
        <f aca="false">IF(A1773="","",IF(COUNTIF($A$9:A1773,A1773)=1,MAX($M$8:M1772)+1,""))</f>
        <v/>
      </c>
    </row>
    <row r="1774" customFormat="false" ht="15" hidden="false" customHeight="false" outlineLevel="0" collapsed="false">
      <c r="A1774" s="8"/>
      <c r="B1774" s="17"/>
      <c r="C1774" s="19"/>
      <c r="D1774" s="8"/>
      <c r="E1774" s="18"/>
      <c r="F1774" s="18"/>
      <c r="G1774" s="8"/>
      <c r="H1774" s="8"/>
      <c r="I1774" s="8"/>
      <c r="J1774" s="8"/>
      <c r="K1774" s="10" t="str">
        <f aca="false">IF(A1774="","",IF(ABS(SUMIFS($E$9:$E$2008,$A$9:$A$2008,A1774)-SUMIFS($F$9:$F$2008,$A$9:$A$2008,A1774))&lt;0.5,"Yes","No"))</f>
        <v/>
      </c>
      <c r="L1774" s="10" t="str">
        <f aca="false">IF(A1774="","",IF(IF(K1774="No","Does not balance | ","")&amp;IF(I1774="","Not approved | ",IF(UPPER(TRIM(H1774))=UPPER(TRIM(I1774)),"Self-approved | ",""))&amp;IF(J1774="","No support | ","")&amp;IF(WEEKDAY(B1774,2)&gt;5,"Weekend posting | ","")&amp;IF(COUNTIF(Settings!$A$14:$A$43,B1774)&gt;0,"Holiday posting | ","")&amp;IF(B1774&gt;Settings!$C$8,"Posted after close | ","")&amp;IF(OR(B1774&lt;Settings!$C$6,B1774&gt;Settings!$C$7),"Outside period | ","")&amp;IF(COUNTIF(Settings!$E$14:$E$43,C1774&amp;"")&gt;0,"Sensitive account | ","")&amp;IF(AND(MAX(N(E1774),N(F1774))&gt;=Settings!$C$9,MOD(MAX(N(E1774),N(F1774)),Settings!$C$10)=0),"Round amount | ","")="","",LEFT(IF(K1774="No","Does not balance | ","")&amp;IF(I1774="","Not approved | ",IF(UPPER(TRIM(H1774))=UPPER(TRIM(I1774)),"Self-approved | ",""))&amp;IF(J1774="","No support | ","")&amp;IF(WEEKDAY(B1774,2)&gt;5,"Weekend posting | ","")&amp;IF(COUNTIF(Settings!$A$14:$A$43,B1774)&gt;0,"Holiday posting | ","")&amp;IF(B1774&gt;Settings!$C$8,"Posted after close | ","")&amp;IF(OR(B1774&lt;Settings!$C$6,B1774&gt;Settings!$C$7),"Outside period | ","")&amp;IF(COUNTIF(Settings!$E$14:$E$43,C1774&amp;"")&gt;0,"Sensitive account | ","")&amp;IF(AND(MAX(N(E1774),N(F1774))&gt;=Settings!$C$9,MOD(MAX(N(E1774),N(F1774)),Settings!$C$10)=0),"Round amount | ",""),LEN(IF(K1774="No","Does not balance | ","")&amp;IF(I1774="","Not approved | ",IF(UPPER(TRIM(H1774))=UPPER(TRIM(I1774)),"Self-approved | ",""))&amp;IF(J1774="","No support | ","")&amp;IF(WEEKDAY(B1774,2)&gt;5,"Weekend posting | ","")&amp;IF(COUNTIF(Settings!$A$14:$A$43,B1774)&gt;0,"Holiday posting | ","")&amp;IF(B1774&gt;Settings!$C$8,"Posted after close | ","")&amp;IF(OR(B1774&lt;Settings!$C$6,B1774&gt;Settings!$C$7),"Outside period | ","")&amp;IF(COUNTIF(Settings!$E$14:$E$43,C1774&amp;"")&gt;0,"Sensitive account | ","")&amp;IF(AND(MAX(N(E1774),N(F1774))&gt;=Settings!$C$9,MOD(MAX(N(E1774),N(F1774)),Settings!$C$10)=0),"Round amount | ",""))-3)))</f>
        <v/>
      </c>
      <c r="M1774" s="21" t="str">
        <f aca="false">IF(A1774="","",IF(COUNTIF($A$9:A1774,A1774)=1,MAX($M$8:M1773)+1,""))</f>
        <v/>
      </c>
    </row>
    <row r="1775" customFormat="false" ht="15" hidden="false" customHeight="false" outlineLevel="0" collapsed="false">
      <c r="A1775" s="8"/>
      <c r="B1775" s="17"/>
      <c r="C1775" s="19"/>
      <c r="D1775" s="8"/>
      <c r="E1775" s="18"/>
      <c r="F1775" s="18"/>
      <c r="G1775" s="8"/>
      <c r="H1775" s="8"/>
      <c r="I1775" s="8"/>
      <c r="J1775" s="8"/>
      <c r="K1775" s="10" t="str">
        <f aca="false">IF(A1775="","",IF(ABS(SUMIFS($E$9:$E$2008,$A$9:$A$2008,A1775)-SUMIFS($F$9:$F$2008,$A$9:$A$2008,A1775))&lt;0.5,"Yes","No"))</f>
        <v/>
      </c>
      <c r="L1775" s="10" t="str">
        <f aca="false">IF(A1775="","",IF(IF(K1775="No","Does not balance | ","")&amp;IF(I1775="","Not approved | ",IF(UPPER(TRIM(H1775))=UPPER(TRIM(I1775)),"Self-approved | ",""))&amp;IF(J1775="","No support | ","")&amp;IF(WEEKDAY(B1775,2)&gt;5,"Weekend posting | ","")&amp;IF(COUNTIF(Settings!$A$14:$A$43,B1775)&gt;0,"Holiday posting | ","")&amp;IF(B1775&gt;Settings!$C$8,"Posted after close | ","")&amp;IF(OR(B1775&lt;Settings!$C$6,B1775&gt;Settings!$C$7),"Outside period | ","")&amp;IF(COUNTIF(Settings!$E$14:$E$43,C1775&amp;"")&gt;0,"Sensitive account | ","")&amp;IF(AND(MAX(N(E1775),N(F1775))&gt;=Settings!$C$9,MOD(MAX(N(E1775),N(F1775)),Settings!$C$10)=0),"Round amount | ","")="","",LEFT(IF(K1775="No","Does not balance | ","")&amp;IF(I1775="","Not approved | ",IF(UPPER(TRIM(H1775))=UPPER(TRIM(I1775)),"Self-approved | ",""))&amp;IF(J1775="","No support | ","")&amp;IF(WEEKDAY(B1775,2)&gt;5,"Weekend posting | ","")&amp;IF(COUNTIF(Settings!$A$14:$A$43,B1775)&gt;0,"Holiday posting | ","")&amp;IF(B1775&gt;Settings!$C$8,"Posted after close | ","")&amp;IF(OR(B1775&lt;Settings!$C$6,B1775&gt;Settings!$C$7),"Outside period | ","")&amp;IF(COUNTIF(Settings!$E$14:$E$43,C1775&amp;"")&gt;0,"Sensitive account | ","")&amp;IF(AND(MAX(N(E1775),N(F1775))&gt;=Settings!$C$9,MOD(MAX(N(E1775),N(F1775)),Settings!$C$10)=0),"Round amount | ",""),LEN(IF(K1775="No","Does not balance | ","")&amp;IF(I1775="","Not approved | ",IF(UPPER(TRIM(H1775))=UPPER(TRIM(I1775)),"Self-approved | ",""))&amp;IF(J1775="","No support | ","")&amp;IF(WEEKDAY(B1775,2)&gt;5,"Weekend posting | ","")&amp;IF(COUNTIF(Settings!$A$14:$A$43,B1775)&gt;0,"Holiday posting | ","")&amp;IF(B1775&gt;Settings!$C$8,"Posted after close | ","")&amp;IF(OR(B1775&lt;Settings!$C$6,B1775&gt;Settings!$C$7),"Outside period | ","")&amp;IF(COUNTIF(Settings!$E$14:$E$43,C1775&amp;"")&gt;0,"Sensitive account | ","")&amp;IF(AND(MAX(N(E1775),N(F1775))&gt;=Settings!$C$9,MOD(MAX(N(E1775),N(F1775)),Settings!$C$10)=0),"Round amount | ",""))-3)))</f>
        <v/>
      </c>
      <c r="M1775" s="21" t="str">
        <f aca="false">IF(A1775="","",IF(COUNTIF($A$9:A1775,A1775)=1,MAX($M$8:M1774)+1,""))</f>
        <v/>
      </c>
    </row>
    <row r="1776" customFormat="false" ht="15" hidden="false" customHeight="false" outlineLevel="0" collapsed="false">
      <c r="A1776" s="8"/>
      <c r="B1776" s="17"/>
      <c r="C1776" s="19"/>
      <c r="D1776" s="8"/>
      <c r="E1776" s="18"/>
      <c r="F1776" s="18"/>
      <c r="G1776" s="8"/>
      <c r="H1776" s="8"/>
      <c r="I1776" s="8"/>
      <c r="J1776" s="8"/>
      <c r="K1776" s="10" t="str">
        <f aca="false">IF(A1776="","",IF(ABS(SUMIFS($E$9:$E$2008,$A$9:$A$2008,A1776)-SUMIFS($F$9:$F$2008,$A$9:$A$2008,A1776))&lt;0.5,"Yes","No"))</f>
        <v/>
      </c>
      <c r="L1776" s="10" t="str">
        <f aca="false">IF(A1776="","",IF(IF(K1776="No","Does not balance | ","")&amp;IF(I1776="","Not approved | ",IF(UPPER(TRIM(H1776))=UPPER(TRIM(I1776)),"Self-approved | ",""))&amp;IF(J1776="","No support | ","")&amp;IF(WEEKDAY(B1776,2)&gt;5,"Weekend posting | ","")&amp;IF(COUNTIF(Settings!$A$14:$A$43,B1776)&gt;0,"Holiday posting | ","")&amp;IF(B1776&gt;Settings!$C$8,"Posted after close | ","")&amp;IF(OR(B1776&lt;Settings!$C$6,B1776&gt;Settings!$C$7),"Outside period | ","")&amp;IF(COUNTIF(Settings!$E$14:$E$43,C1776&amp;"")&gt;0,"Sensitive account | ","")&amp;IF(AND(MAX(N(E1776),N(F1776))&gt;=Settings!$C$9,MOD(MAX(N(E1776),N(F1776)),Settings!$C$10)=0),"Round amount | ","")="","",LEFT(IF(K1776="No","Does not balance | ","")&amp;IF(I1776="","Not approved | ",IF(UPPER(TRIM(H1776))=UPPER(TRIM(I1776)),"Self-approved | ",""))&amp;IF(J1776="","No support | ","")&amp;IF(WEEKDAY(B1776,2)&gt;5,"Weekend posting | ","")&amp;IF(COUNTIF(Settings!$A$14:$A$43,B1776)&gt;0,"Holiday posting | ","")&amp;IF(B1776&gt;Settings!$C$8,"Posted after close | ","")&amp;IF(OR(B1776&lt;Settings!$C$6,B1776&gt;Settings!$C$7),"Outside period | ","")&amp;IF(COUNTIF(Settings!$E$14:$E$43,C1776&amp;"")&gt;0,"Sensitive account | ","")&amp;IF(AND(MAX(N(E1776),N(F1776))&gt;=Settings!$C$9,MOD(MAX(N(E1776),N(F1776)),Settings!$C$10)=0),"Round amount | ",""),LEN(IF(K1776="No","Does not balance | ","")&amp;IF(I1776="","Not approved | ",IF(UPPER(TRIM(H1776))=UPPER(TRIM(I1776)),"Self-approved | ",""))&amp;IF(J1776="","No support | ","")&amp;IF(WEEKDAY(B1776,2)&gt;5,"Weekend posting | ","")&amp;IF(COUNTIF(Settings!$A$14:$A$43,B1776)&gt;0,"Holiday posting | ","")&amp;IF(B1776&gt;Settings!$C$8,"Posted after close | ","")&amp;IF(OR(B1776&lt;Settings!$C$6,B1776&gt;Settings!$C$7),"Outside period | ","")&amp;IF(COUNTIF(Settings!$E$14:$E$43,C1776&amp;"")&gt;0,"Sensitive account | ","")&amp;IF(AND(MAX(N(E1776),N(F1776))&gt;=Settings!$C$9,MOD(MAX(N(E1776),N(F1776)),Settings!$C$10)=0),"Round amount | ",""))-3)))</f>
        <v/>
      </c>
      <c r="M1776" s="21" t="str">
        <f aca="false">IF(A1776="","",IF(COUNTIF($A$9:A1776,A1776)=1,MAX($M$8:M1775)+1,""))</f>
        <v/>
      </c>
    </row>
    <row r="1777" customFormat="false" ht="15" hidden="false" customHeight="false" outlineLevel="0" collapsed="false">
      <c r="A1777" s="8"/>
      <c r="B1777" s="17"/>
      <c r="C1777" s="19"/>
      <c r="D1777" s="8"/>
      <c r="E1777" s="18"/>
      <c r="F1777" s="18"/>
      <c r="G1777" s="8"/>
      <c r="H1777" s="8"/>
      <c r="I1777" s="8"/>
      <c r="J1777" s="8"/>
      <c r="K1777" s="10" t="str">
        <f aca="false">IF(A1777="","",IF(ABS(SUMIFS($E$9:$E$2008,$A$9:$A$2008,A1777)-SUMIFS($F$9:$F$2008,$A$9:$A$2008,A1777))&lt;0.5,"Yes","No"))</f>
        <v/>
      </c>
      <c r="L1777" s="10" t="str">
        <f aca="false">IF(A1777="","",IF(IF(K1777="No","Does not balance | ","")&amp;IF(I1777="","Not approved | ",IF(UPPER(TRIM(H1777))=UPPER(TRIM(I1777)),"Self-approved | ",""))&amp;IF(J1777="","No support | ","")&amp;IF(WEEKDAY(B1777,2)&gt;5,"Weekend posting | ","")&amp;IF(COUNTIF(Settings!$A$14:$A$43,B1777)&gt;0,"Holiday posting | ","")&amp;IF(B1777&gt;Settings!$C$8,"Posted after close | ","")&amp;IF(OR(B1777&lt;Settings!$C$6,B1777&gt;Settings!$C$7),"Outside period | ","")&amp;IF(COUNTIF(Settings!$E$14:$E$43,C1777&amp;"")&gt;0,"Sensitive account | ","")&amp;IF(AND(MAX(N(E1777),N(F1777))&gt;=Settings!$C$9,MOD(MAX(N(E1777),N(F1777)),Settings!$C$10)=0),"Round amount | ","")="","",LEFT(IF(K1777="No","Does not balance | ","")&amp;IF(I1777="","Not approved | ",IF(UPPER(TRIM(H1777))=UPPER(TRIM(I1777)),"Self-approved | ",""))&amp;IF(J1777="","No support | ","")&amp;IF(WEEKDAY(B1777,2)&gt;5,"Weekend posting | ","")&amp;IF(COUNTIF(Settings!$A$14:$A$43,B1777)&gt;0,"Holiday posting | ","")&amp;IF(B1777&gt;Settings!$C$8,"Posted after close | ","")&amp;IF(OR(B1777&lt;Settings!$C$6,B1777&gt;Settings!$C$7),"Outside period | ","")&amp;IF(COUNTIF(Settings!$E$14:$E$43,C1777&amp;"")&gt;0,"Sensitive account | ","")&amp;IF(AND(MAX(N(E1777),N(F1777))&gt;=Settings!$C$9,MOD(MAX(N(E1777),N(F1777)),Settings!$C$10)=0),"Round amount | ",""),LEN(IF(K1777="No","Does not balance | ","")&amp;IF(I1777="","Not approved | ",IF(UPPER(TRIM(H1777))=UPPER(TRIM(I1777)),"Self-approved | ",""))&amp;IF(J1777="","No support | ","")&amp;IF(WEEKDAY(B1777,2)&gt;5,"Weekend posting | ","")&amp;IF(COUNTIF(Settings!$A$14:$A$43,B1777)&gt;0,"Holiday posting | ","")&amp;IF(B1777&gt;Settings!$C$8,"Posted after close | ","")&amp;IF(OR(B1777&lt;Settings!$C$6,B1777&gt;Settings!$C$7),"Outside period | ","")&amp;IF(COUNTIF(Settings!$E$14:$E$43,C1777&amp;"")&gt;0,"Sensitive account | ","")&amp;IF(AND(MAX(N(E1777),N(F1777))&gt;=Settings!$C$9,MOD(MAX(N(E1777),N(F1777)),Settings!$C$10)=0),"Round amount | ",""))-3)))</f>
        <v/>
      </c>
      <c r="M1777" s="21" t="str">
        <f aca="false">IF(A1777="","",IF(COUNTIF($A$9:A1777,A1777)=1,MAX($M$8:M1776)+1,""))</f>
        <v/>
      </c>
    </row>
    <row r="1778" customFormat="false" ht="15" hidden="false" customHeight="false" outlineLevel="0" collapsed="false">
      <c r="A1778" s="8"/>
      <c r="B1778" s="17"/>
      <c r="C1778" s="19"/>
      <c r="D1778" s="8"/>
      <c r="E1778" s="18"/>
      <c r="F1778" s="18"/>
      <c r="G1778" s="8"/>
      <c r="H1778" s="8"/>
      <c r="I1778" s="8"/>
      <c r="J1778" s="8"/>
      <c r="K1778" s="10" t="str">
        <f aca="false">IF(A1778="","",IF(ABS(SUMIFS($E$9:$E$2008,$A$9:$A$2008,A1778)-SUMIFS($F$9:$F$2008,$A$9:$A$2008,A1778))&lt;0.5,"Yes","No"))</f>
        <v/>
      </c>
      <c r="L1778" s="10" t="str">
        <f aca="false">IF(A1778="","",IF(IF(K1778="No","Does not balance | ","")&amp;IF(I1778="","Not approved | ",IF(UPPER(TRIM(H1778))=UPPER(TRIM(I1778)),"Self-approved | ",""))&amp;IF(J1778="","No support | ","")&amp;IF(WEEKDAY(B1778,2)&gt;5,"Weekend posting | ","")&amp;IF(COUNTIF(Settings!$A$14:$A$43,B1778)&gt;0,"Holiday posting | ","")&amp;IF(B1778&gt;Settings!$C$8,"Posted after close | ","")&amp;IF(OR(B1778&lt;Settings!$C$6,B1778&gt;Settings!$C$7),"Outside period | ","")&amp;IF(COUNTIF(Settings!$E$14:$E$43,C1778&amp;"")&gt;0,"Sensitive account | ","")&amp;IF(AND(MAX(N(E1778),N(F1778))&gt;=Settings!$C$9,MOD(MAX(N(E1778),N(F1778)),Settings!$C$10)=0),"Round amount | ","")="","",LEFT(IF(K1778="No","Does not balance | ","")&amp;IF(I1778="","Not approved | ",IF(UPPER(TRIM(H1778))=UPPER(TRIM(I1778)),"Self-approved | ",""))&amp;IF(J1778="","No support | ","")&amp;IF(WEEKDAY(B1778,2)&gt;5,"Weekend posting | ","")&amp;IF(COUNTIF(Settings!$A$14:$A$43,B1778)&gt;0,"Holiday posting | ","")&amp;IF(B1778&gt;Settings!$C$8,"Posted after close | ","")&amp;IF(OR(B1778&lt;Settings!$C$6,B1778&gt;Settings!$C$7),"Outside period | ","")&amp;IF(COUNTIF(Settings!$E$14:$E$43,C1778&amp;"")&gt;0,"Sensitive account | ","")&amp;IF(AND(MAX(N(E1778),N(F1778))&gt;=Settings!$C$9,MOD(MAX(N(E1778),N(F1778)),Settings!$C$10)=0),"Round amount | ",""),LEN(IF(K1778="No","Does not balance | ","")&amp;IF(I1778="","Not approved | ",IF(UPPER(TRIM(H1778))=UPPER(TRIM(I1778)),"Self-approved | ",""))&amp;IF(J1778="","No support | ","")&amp;IF(WEEKDAY(B1778,2)&gt;5,"Weekend posting | ","")&amp;IF(COUNTIF(Settings!$A$14:$A$43,B1778)&gt;0,"Holiday posting | ","")&amp;IF(B1778&gt;Settings!$C$8,"Posted after close | ","")&amp;IF(OR(B1778&lt;Settings!$C$6,B1778&gt;Settings!$C$7),"Outside period | ","")&amp;IF(COUNTIF(Settings!$E$14:$E$43,C1778&amp;"")&gt;0,"Sensitive account | ","")&amp;IF(AND(MAX(N(E1778),N(F1778))&gt;=Settings!$C$9,MOD(MAX(N(E1778),N(F1778)),Settings!$C$10)=0),"Round amount | ",""))-3)))</f>
        <v/>
      </c>
      <c r="M1778" s="21" t="str">
        <f aca="false">IF(A1778="","",IF(COUNTIF($A$9:A1778,A1778)=1,MAX($M$8:M1777)+1,""))</f>
        <v/>
      </c>
    </row>
    <row r="1779" customFormat="false" ht="15" hidden="false" customHeight="false" outlineLevel="0" collapsed="false">
      <c r="A1779" s="8"/>
      <c r="B1779" s="17"/>
      <c r="C1779" s="19"/>
      <c r="D1779" s="8"/>
      <c r="E1779" s="18"/>
      <c r="F1779" s="18"/>
      <c r="G1779" s="8"/>
      <c r="H1779" s="8"/>
      <c r="I1779" s="8"/>
      <c r="J1779" s="8"/>
      <c r="K1779" s="10" t="str">
        <f aca="false">IF(A1779="","",IF(ABS(SUMIFS($E$9:$E$2008,$A$9:$A$2008,A1779)-SUMIFS($F$9:$F$2008,$A$9:$A$2008,A1779))&lt;0.5,"Yes","No"))</f>
        <v/>
      </c>
      <c r="L1779" s="10" t="str">
        <f aca="false">IF(A1779="","",IF(IF(K1779="No","Does not balance | ","")&amp;IF(I1779="","Not approved | ",IF(UPPER(TRIM(H1779))=UPPER(TRIM(I1779)),"Self-approved | ",""))&amp;IF(J1779="","No support | ","")&amp;IF(WEEKDAY(B1779,2)&gt;5,"Weekend posting | ","")&amp;IF(COUNTIF(Settings!$A$14:$A$43,B1779)&gt;0,"Holiday posting | ","")&amp;IF(B1779&gt;Settings!$C$8,"Posted after close | ","")&amp;IF(OR(B1779&lt;Settings!$C$6,B1779&gt;Settings!$C$7),"Outside period | ","")&amp;IF(COUNTIF(Settings!$E$14:$E$43,C1779&amp;"")&gt;0,"Sensitive account | ","")&amp;IF(AND(MAX(N(E1779),N(F1779))&gt;=Settings!$C$9,MOD(MAX(N(E1779),N(F1779)),Settings!$C$10)=0),"Round amount | ","")="","",LEFT(IF(K1779="No","Does not balance | ","")&amp;IF(I1779="","Not approved | ",IF(UPPER(TRIM(H1779))=UPPER(TRIM(I1779)),"Self-approved | ",""))&amp;IF(J1779="","No support | ","")&amp;IF(WEEKDAY(B1779,2)&gt;5,"Weekend posting | ","")&amp;IF(COUNTIF(Settings!$A$14:$A$43,B1779)&gt;0,"Holiday posting | ","")&amp;IF(B1779&gt;Settings!$C$8,"Posted after close | ","")&amp;IF(OR(B1779&lt;Settings!$C$6,B1779&gt;Settings!$C$7),"Outside period | ","")&amp;IF(COUNTIF(Settings!$E$14:$E$43,C1779&amp;"")&gt;0,"Sensitive account | ","")&amp;IF(AND(MAX(N(E1779),N(F1779))&gt;=Settings!$C$9,MOD(MAX(N(E1779),N(F1779)),Settings!$C$10)=0),"Round amount | ",""),LEN(IF(K1779="No","Does not balance | ","")&amp;IF(I1779="","Not approved | ",IF(UPPER(TRIM(H1779))=UPPER(TRIM(I1779)),"Self-approved | ",""))&amp;IF(J1779="","No support | ","")&amp;IF(WEEKDAY(B1779,2)&gt;5,"Weekend posting | ","")&amp;IF(COUNTIF(Settings!$A$14:$A$43,B1779)&gt;0,"Holiday posting | ","")&amp;IF(B1779&gt;Settings!$C$8,"Posted after close | ","")&amp;IF(OR(B1779&lt;Settings!$C$6,B1779&gt;Settings!$C$7),"Outside period | ","")&amp;IF(COUNTIF(Settings!$E$14:$E$43,C1779&amp;"")&gt;0,"Sensitive account | ","")&amp;IF(AND(MAX(N(E1779),N(F1779))&gt;=Settings!$C$9,MOD(MAX(N(E1779),N(F1779)),Settings!$C$10)=0),"Round amount | ",""))-3)))</f>
        <v/>
      </c>
      <c r="M1779" s="21" t="str">
        <f aca="false">IF(A1779="","",IF(COUNTIF($A$9:A1779,A1779)=1,MAX($M$8:M1778)+1,""))</f>
        <v/>
      </c>
    </row>
    <row r="1780" customFormat="false" ht="15" hidden="false" customHeight="false" outlineLevel="0" collapsed="false">
      <c r="A1780" s="8"/>
      <c r="B1780" s="17"/>
      <c r="C1780" s="19"/>
      <c r="D1780" s="8"/>
      <c r="E1780" s="18"/>
      <c r="F1780" s="18"/>
      <c r="G1780" s="8"/>
      <c r="H1780" s="8"/>
      <c r="I1780" s="8"/>
      <c r="J1780" s="8"/>
      <c r="K1780" s="10" t="str">
        <f aca="false">IF(A1780="","",IF(ABS(SUMIFS($E$9:$E$2008,$A$9:$A$2008,A1780)-SUMIFS($F$9:$F$2008,$A$9:$A$2008,A1780))&lt;0.5,"Yes","No"))</f>
        <v/>
      </c>
      <c r="L1780" s="10" t="str">
        <f aca="false">IF(A1780="","",IF(IF(K1780="No","Does not balance | ","")&amp;IF(I1780="","Not approved | ",IF(UPPER(TRIM(H1780))=UPPER(TRIM(I1780)),"Self-approved | ",""))&amp;IF(J1780="","No support | ","")&amp;IF(WEEKDAY(B1780,2)&gt;5,"Weekend posting | ","")&amp;IF(COUNTIF(Settings!$A$14:$A$43,B1780)&gt;0,"Holiday posting | ","")&amp;IF(B1780&gt;Settings!$C$8,"Posted after close | ","")&amp;IF(OR(B1780&lt;Settings!$C$6,B1780&gt;Settings!$C$7),"Outside period | ","")&amp;IF(COUNTIF(Settings!$E$14:$E$43,C1780&amp;"")&gt;0,"Sensitive account | ","")&amp;IF(AND(MAX(N(E1780),N(F1780))&gt;=Settings!$C$9,MOD(MAX(N(E1780),N(F1780)),Settings!$C$10)=0),"Round amount | ","")="","",LEFT(IF(K1780="No","Does not balance | ","")&amp;IF(I1780="","Not approved | ",IF(UPPER(TRIM(H1780))=UPPER(TRIM(I1780)),"Self-approved | ",""))&amp;IF(J1780="","No support | ","")&amp;IF(WEEKDAY(B1780,2)&gt;5,"Weekend posting | ","")&amp;IF(COUNTIF(Settings!$A$14:$A$43,B1780)&gt;0,"Holiday posting | ","")&amp;IF(B1780&gt;Settings!$C$8,"Posted after close | ","")&amp;IF(OR(B1780&lt;Settings!$C$6,B1780&gt;Settings!$C$7),"Outside period | ","")&amp;IF(COUNTIF(Settings!$E$14:$E$43,C1780&amp;"")&gt;0,"Sensitive account | ","")&amp;IF(AND(MAX(N(E1780),N(F1780))&gt;=Settings!$C$9,MOD(MAX(N(E1780),N(F1780)),Settings!$C$10)=0),"Round amount | ",""),LEN(IF(K1780="No","Does not balance | ","")&amp;IF(I1780="","Not approved | ",IF(UPPER(TRIM(H1780))=UPPER(TRIM(I1780)),"Self-approved | ",""))&amp;IF(J1780="","No support | ","")&amp;IF(WEEKDAY(B1780,2)&gt;5,"Weekend posting | ","")&amp;IF(COUNTIF(Settings!$A$14:$A$43,B1780)&gt;0,"Holiday posting | ","")&amp;IF(B1780&gt;Settings!$C$8,"Posted after close | ","")&amp;IF(OR(B1780&lt;Settings!$C$6,B1780&gt;Settings!$C$7),"Outside period | ","")&amp;IF(COUNTIF(Settings!$E$14:$E$43,C1780&amp;"")&gt;0,"Sensitive account | ","")&amp;IF(AND(MAX(N(E1780),N(F1780))&gt;=Settings!$C$9,MOD(MAX(N(E1780),N(F1780)),Settings!$C$10)=0),"Round amount | ",""))-3)))</f>
        <v/>
      </c>
      <c r="M1780" s="21" t="str">
        <f aca="false">IF(A1780="","",IF(COUNTIF($A$9:A1780,A1780)=1,MAX($M$8:M1779)+1,""))</f>
        <v/>
      </c>
    </row>
    <row r="1781" customFormat="false" ht="15" hidden="false" customHeight="false" outlineLevel="0" collapsed="false">
      <c r="A1781" s="8"/>
      <c r="B1781" s="17"/>
      <c r="C1781" s="19"/>
      <c r="D1781" s="8"/>
      <c r="E1781" s="18"/>
      <c r="F1781" s="18"/>
      <c r="G1781" s="8"/>
      <c r="H1781" s="8"/>
      <c r="I1781" s="8"/>
      <c r="J1781" s="8"/>
      <c r="K1781" s="10" t="str">
        <f aca="false">IF(A1781="","",IF(ABS(SUMIFS($E$9:$E$2008,$A$9:$A$2008,A1781)-SUMIFS($F$9:$F$2008,$A$9:$A$2008,A1781))&lt;0.5,"Yes","No"))</f>
        <v/>
      </c>
      <c r="L1781" s="10" t="str">
        <f aca="false">IF(A1781="","",IF(IF(K1781="No","Does not balance | ","")&amp;IF(I1781="","Not approved | ",IF(UPPER(TRIM(H1781))=UPPER(TRIM(I1781)),"Self-approved | ",""))&amp;IF(J1781="","No support | ","")&amp;IF(WEEKDAY(B1781,2)&gt;5,"Weekend posting | ","")&amp;IF(COUNTIF(Settings!$A$14:$A$43,B1781)&gt;0,"Holiday posting | ","")&amp;IF(B1781&gt;Settings!$C$8,"Posted after close | ","")&amp;IF(OR(B1781&lt;Settings!$C$6,B1781&gt;Settings!$C$7),"Outside period | ","")&amp;IF(COUNTIF(Settings!$E$14:$E$43,C1781&amp;"")&gt;0,"Sensitive account | ","")&amp;IF(AND(MAX(N(E1781),N(F1781))&gt;=Settings!$C$9,MOD(MAX(N(E1781),N(F1781)),Settings!$C$10)=0),"Round amount | ","")="","",LEFT(IF(K1781="No","Does not balance | ","")&amp;IF(I1781="","Not approved | ",IF(UPPER(TRIM(H1781))=UPPER(TRIM(I1781)),"Self-approved | ",""))&amp;IF(J1781="","No support | ","")&amp;IF(WEEKDAY(B1781,2)&gt;5,"Weekend posting | ","")&amp;IF(COUNTIF(Settings!$A$14:$A$43,B1781)&gt;0,"Holiday posting | ","")&amp;IF(B1781&gt;Settings!$C$8,"Posted after close | ","")&amp;IF(OR(B1781&lt;Settings!$C$6,B1781&gt;Settings!$C$7),"Outside period | ","")&amp;IF(COUNTIF(Settings!$E$14:$E$43,C1781&amp;"")&gt;0,"Sensitive account | ","")&amp;IF(AND(MAX(N(E1781),N(F1781))&gt;=Settings!$C$9,MOD(MAX(N(E1781),N(F1781)),Settings!$C$10)=0),"Round amount | ",""),LEN(IF(K1781="No","Does not balance | ","")&amp;IF(I1781="","Not approved | ",IF(UPPER(TRIM(H1781))=UPPER(TRIM(I1781)),"Self-approved | ",""))&amp;IF(J1781="","No support | ","")&amp;IF(WEEKDAY(B1781,2)&gt;5,"Weekend posting | ","")&amp;IF(COUNTIF(Settings!$A$14:$A$43,B1781)&gt;0,"Holiday posting | ","")&amp;IF(B1781&gt;Settings!$C$8,"Posted after close | ","")&amp;IF(OR(B1781&lt;Settings!$C$6,B1781&gt;Settings!$C$7),"Outside period | ","")&amp;IF(COUNTIF(Settings!$E$14:$E$43,C1781&amp;"")&gt;0,"Sensitive account | ","")&amp;IF(AND(MAX(N(E1781),N(F1781))&gt;=Settings!$C$9,MOD(MAX(N(E1781),N(F1781)),Settings!$C$10)=0),"Round amount | ",""))-3)))</f>
        <v/>
      </c>
      <c r="M1781" s="21" t="str">
        <f aca="false">IF(A1781="","",IF(COUNTIF($A$9:A1781,A1781)=1,MAX($M$8:M1780)+1,""))</f>
        <v/>
      </c>
    </row>
    <row r="1782" customFormat="false" ht="15" hidden="false" customHeight="false" outlineLevel="0" collapsed="false">
      <c r="A1782" s="8"/>
      <c r="B1782" s="17"/>
      <c r="C1782" s="19"/>
      <c r="D1782" s="8"/>
      <c r="E1782" s="18"/>
      <c r="F1782" s="18"/>
      <c r="G1782" s="8"/>
      <c r="H1782" s="8"/>
      <c r="I1782" s="8"/>
      <c r="J1782" s="8"/>
      <c r="K1782" s="10" t="str">
        <f aca="false">IF(A1782="","",IF(ABS(SUMIFS($E$9:$E$2008,$A$9:$A$2008,A1782)-SUMIFS($F$9:$F$2008,$A$9:$A$2008,A1782))&lt;0.5,"Yes","No"))</f>
        <v/>
      </c>
      <c r="L1782" s="10" t="str">
        <f aca="false">IF(A1782="","",IF(IF(K1782="No","Does not balance | ","")&amp;IF(I1782="","Not approved | ",IF(UPPER(TRIM(H1782))=UPPER(TRIM(I1782)),"Self-approved | ",""))&amp;IF(J1782="","No support | ","")&amp;IF(WEEKDAY(B1782,2)&gt;5,"Weekend posting | ","")&amp;IF(COUNTIF(Settings!$A$14:$A$43,B1782)&gt;0,"Holiday posting | ","")&amp;IF(B1782&gt;Settings!$C$8,"Posted after close | ","")&amp;IF(OR(B1782&lt;Settings!$C$6,B1782&gt;Settings!$C$7),"Outside period | ","")&amp;IF(COUNTIF(Settings!$E$14:$E$43,C1782&amp;"")&gt;0,"Sensitive account | ","")&amp;IF(AND(MAX(N(E1782),N(F1782))&gt;=Settings!$C$9,MOD(MAX(N(E1782),N(F1782)),Settings!$C$10)=0),"Round amount | ","")="","",LEFT(IF(K1782="No","Does not balance | ","")&amp;IF(I1782="","Not approved | ",IF(UPPER(TRIM(H1782))=UPPER(TRIM(I1782)),"Self-approved | ",""))&amp;IF(J1782="","No support | ","")&amp;IF(WEEKDAY(B1782,2)&gt;5,"Weekend posting | ","")&amp;IF(COUNTIF(Settings!$A$14:$A$43,B1782)&gt;0,"Holiday posting | ","")&amp;IF(B1782&gt;Settings!$C$8,"Posted after close | ","")&amp;IF(OR(B1782&lt;Settings!$C$6,B1782&gt;Settings!$C$7),"Outside period | ","")&amp;IF(COUNTIF(Settings!$E$14:$E$43,C1782&amp;"")&gt;0,"Sensitive account | ","")&amp;IF(AND(MAX(N(E1782),N(F1782))&gt;=Settings!$C$9,MOD(MAX(N(E1782),N(F1782)),Settings!$C$10)=0),"Round amount | ",""),LEN(IF(K1782="No","Does not balance | ","")&amp;IF(I1782="","Not approved | ",IF(UPPER(TRIM(H1782))=UPPER(TRIM(I1782)),"Self-approved | ",""))&amp;IF(J1782="","No support | ","")&amp;IF(WEEKDAY(B1782,2)&gt;5,"Weekend posting | ","")&amp;IF(COUNTIF(Settings!$A$14:$A$43,B1782)&gt;0,"Holiday posting | ","")&amp;IF(B1782&gt;Settings!$C$8,"Posted after close | ","")&amp;IF(OR(B1782&lt;Settings!$C$6,B1782&gt;Settings!$C$7),"Outside period | ","")&amp;IF(COUNTIF(Settings!$E$14:$E$43,C1782&amp;"")&gt;0,"Sensitive account | ","")&amp;IF(AND(MAX(N(E1782),N(F1782))&gt;=Settings!$C$9,MOD(MAX(N(E1782),N(F1782)),Settings!$C$10)=0),"Round amount | ",""))-3)))</f>
        <v/>
      </c>
      <c r="M1782" s="21" t="str">
        <f aca="false">IF(A1782="","",IF(COUNTIF($A$9:A1782,A1782)=1,MAX($M$8:M1781)+1,""))</f>
        <v/>
      </c>
    </row>
    <row r="1783" customFormat="false" ht="15" hidden="false" customHeight="false" outlineLevel="0" collapsed="false">
      <c r="A1783" s="8"/>
      <c r="B1783" s="17"/>
      <c r="C1783" s="19"/>
      <c r="D1783" s="8"/>
      <c r="E1783" s="18"/>
      <c r="F1783" s="18"/>
      <c r="G1783" s="8"/>
      <c r="H1783" s="8"/>
      <c r="I1783" s="8"/>
      <c r="J1783" s="8"/>
      <c r="K1783" s="10" t="str">
        <f aca="false">IF(A1783="","",IF(ABS(SUMIFS($E$9:$E$2008,$A$9:$A$2008,A1783)-SUMIFS($F$9:$F$2008,$A$9:$A$2008,A1783))&lt;0.5,"Yes","No"))</f>
        <v/>
      </c>
      <c r="L1783" s="10" t="str">
        <f aca="false">IF(A1783="","",IF(IF(K1783="No","Does not balance | ","")&amp;IF(I1783="","Not approved | ",IF(UPPER(TRIM(H1783))=UPPER(TRIM(I1783)),"Self-approved | ",""))&amp;IF(J1783="","No support | ","")&amp;IF(WEEKDAY(B1783,2)&gt;5,"Weekend posting | ","")&amp;IF(COUNTIF(Settings!$A$14:$A$43,B1783)&gt;0,"Holiday posting | ","")&amp;IF(B1783&gt;Settings!$C$8,"Posted after close | ","")&amp;IF(OR(B1783&lt;Settings!$C$6,B1783&gt;Settings!$C$7),"Outside period | ","")&amp;IF(COUNTIF(Settings!$E$14:$E$43,C1783&amp;"")&gt;0,"Sensitive account | ","")&amp;IF(AND(MAX(N(E1783),N(F1783))&gt;=Settings!$C$9,MOD(MAX(N(E1783),N(F1783)),Settings!$C$10)=0),"Round amount | ","")="","",LEFT(IF(K1783="No","Does not balance | ","")&amp;IF(I1783="","Not approved | ",IF(UPPER(TRIM(H1783))=UPPER(TRIM(I1783)),"Self-approved | ",""))&amp;IF(J1783="","No support | ","")&amp;IF(WEEKDAY(B1783,2)&gt;5,"Weekend posting | ","")&amp;IF(COUNTIF(Settings!$A$14:$A$43,B1783)&gt;0,"Holiday posting | ","")&amp;IF(B1783&gt;Settings!$C$8,"Posted after close | ","")&amp;IF(OR(B1783&lt;Settings!$C$6,B1783&gt;Settings!$C$7),"Outside period | ","")&amp;IF(COUNTIF(Settings!$E$14:$E$43,C1783&amp;"")&gt;0,"Sensitive account | ","")&amp;IF(AND(MAX(N(E1783),N(F1783))&gt;=Settings!$C$9,MOD(MAX(N(E1783),N(F1783)),Settings!$C$10)=0),"Round amount | ",""),LEN(IF(K1783="No","Does not balance | ","")&amp;IF(I1783="","Not approved | ",IF(UPPER(TRIM(H1783))=UPPER(TRIM(I1783)),"Self-approved | ",""))&amp;IF(J1783="","No support | ","")&amp;IF(WEEKDAY(B1783,2)&gt;5,"Weekend posting | ","")&amp;IF(COUNTIF(Settings!$A$14:$A$43,B1783)&gt;0,"Holiday posting | ","")&amp;IF(B1783&gt;Settings!$C$8,"Posted after close | ","")&amp;IF(OR(B1783&lt;Settings!$C$6,B1783&gt;Settings!$C$7),"Outside period | ","")&amp;IF(COUNTIF(Settings!$E$14:$E$43,C1783&amp;"")&gt;0,"Sensitive account | ","")&amp;IF(AND(MAX(N(E1783),N(F1783))&gt;=Settings!$C$9,MOD(MAX(N(E1783),N(F1783)),Settings!$C$10)=0),"Round amount | ",""))-3)))</f>
        <v/>
      </c>
      <c r="M1783" s="21" t="str">
        <f aca="false">IF(A1783="","",IF(COUNTIF($A$9:A1783,A1783)=1,MAX($M$8:M1782)+1,""))</f>
        <v/>
      </c>
    </row>
    <row r="1784" customFormat="false" ht="15" hidden="false" customHeight="false" outlineLevel="0" collapsed="false">
      <c r="A1784" s="8"/>
      <c r="B1784" s="17"/>
      <c r="C1784" s="19"/>
      <c r="D1784" s="8"/>
      <c r="E1784" s="18"/>
      <c r="F1784" s="18"/>
      <c r="G1784" s="8"/>
      <c r="H1784" s="8"/>
      <c r="I1784" s="8"/>
      <c r="J1784" s="8"/>
      <c r="K1784" s="10" t="str">
        <f aca="false">IF(A1784="","",IF(ABS(SUMIFS($E$9:$E$2008,$A$9:$A$2008,A1784)-SUMIFS($F$9:$F$2008,$A$9:$A$2008,A1784))&lt;0.5,"Yes","No"))</f>
        <v/>
      </c>
      <c r="L1784" s="10" t="str">
        <f aca="false">IF(A1784="","",IF(IF(K1784="No","Does not balance | ","")&amp;IF(I1784="","Not approved | ",IF(UPPER(TRIM(H1784))=UPPER(TRIM(I1784)),"Self-approved | ",""))&amp;IF(J1784="","No support | ","")&amp;IF(WEEKDAY(B1784,2)&gt;5,"Weekend posting | ","")&amp;IF(COUNTIF(Settings!$A$14:$A$43,B1784)&gt;0,"Holiday posting | ","")&amp;IF(B1784&gt;Settings!$C$8,"Posted after close | ","")&amp;IF(OR(B1784&lt;Settings!$C$6,B1784&gt;Settings!$C$7),"Outside period | ","")&amp;IF(COUNTIF(Settings!$E$14:$E$43,C1784&amp;"")&gt;0,"Sensitive account | ","")&amp;IF(AND(MAX(N(E1784),N(F1784))&gt;=Settings!$C$9,MOD(MAX(N(E1784),N(F1784)),Settings!$C$10)=0),"Round amount | ","")="","",LEFT(IF(K1784="No","Does not balance | ","")&amp;IF(I1784="","Not approved | ",IF(UPPER(TRIM(H1784))=UPPER(TRIM(I1784)),"Self-approved | ",""))&amp;IF(J1784="","No support | ","")&amp;IF(WEEKDAY(B1784,2)&gt;5,"Weekend posting | ","")&amp;IF(COUNTIF(Settings!$A$14:$A$43,B1784)&gt;0,"Holiday posting | ","")&amp;IF(B1784&gt;Settings!$C$8,"Posted after close | ","")&amp;IF(OR(B1784&lt;Settings!$C$6,B1784&gt;Settings!$C$7),"Outside period | ","")&amp;IF(COUNTIF(Settings!$E$14:$E$43,C1784&amp;"")&gt;0,"Sensitive account | ","")&amp;IF(AND(MAX(N(E1784),N(F1784))&gt;=Settings!$C$9,MOD(MAX(N(E1784),N(F1784)),Settings!$C$10)=0),"Round amount | ",""),LEN(IF(K1784="No","Does not balance | ","")&amp;IF(I1784="","Not approved | ",IF(UPPER(TRIM(H1784))=UPPER(TRIM(I1784)),"Self-approved | ",""))&amp;IF(J1784="","No support | ","")&amp;IF(WEEKDAY(B1784,2)&gt;5,"Weekend posting | ","")&amp;IF(COUNTIF(Settings!$A$14:$A$43,B1784)&gt;0,"Holiday posting | ","")&amp;IF(B1784&gt;Settings!$C$8,"Posted after close | ","")&amp;IF(OR(B1784&lt;Settings!$C$6,B1784&gt;Settings!$C$7),"Outside period | ","")&amp;IF(COUNTIF(Settings!$E$14:$E$43,C1784&amp;"")&gt;0,"Sensitive account | ","")&amp;IF(AND(MAX(N(E1784),N(F1784))&gt;=Settings!$C$9,MOD(MAX(N(E1784),N(F1784)),Settings!$C$10)=0),"Round amount | ",""))-3)))</f>
        <v/>
      </c>
      <c r="M1784" s="21" t="str">
        <f aca="false">IF(A1784="","",IF(COUNTIF($A$9:A1784,A1784)=1,MAX($M$8:M1783)+1,""))</f>
        <v/>
      </c>
    </row>
    <row r="1785" customFormat="false" ht="15" hidden="false" customHeight="false" outlineLevel="0" collapsed="false">
      <c r="A1785" s="8"/>
      <c r="B1785" s="17"/>
      <c r="C1785" s="19"/>
      <c r="D1785" s="8"/>
      <c r="E1785" s="18"/>
      <c r="F1785" s="18"/>
      <c r="G1785" s="8"/>
      <c r="H1785" s="8"/>
      <c r="I1785" s="8"/>
      <c r="J1785" s="8"/>
      <c r="K1785" s="10" t="str">
        <f aca="false">IF(A1785="","",IF(ABS(SUMIFS($E$9:$E$2008,$A$9:$A$2008,A1785)-SUMIFS($F$9:$F$2008,$A$9:$A$2008,A1785))&lt;0.5,"Yes","No"))</f>
        <v/>
      </c>
      <c r="L1785" s="10" t="str">
        <f aca="false">IF(A1785="","",IF(IF(K1785="No","Does not balance | ","")&amp;IF(I1785="","Not approved | ",IF(UPPER(TRIM(H1785))=UPPER(TRIM(I1785)),"Self-approved | ",""))&amp;IF(J1785="","No support | ","")&amp;IF(WEEKDAY(B1785,2)&gt;5,"Weekend posting | ","")&amp;IF(COUNTIF(Settings!$A$14:$A$43,B1785)&gt;0,"Holiday posting | ","")&amp;IF(B1785&gt;Settings!$C$8,"Posted after close | ","")&amp;IF(OR(B1785&lt;Settings!$C$6,B1785&gt;Settings!$C$7),"Outside period | ","")&amp;IF(COUNTIF(Settings!$E$14:$E$43,C1785&amp;"")&gt;0,"Sensitive account | ","")&amp;IF(AND(MAX(N(E1785),N(F1785))&gt;=Settings!$C$9,MOD(MAX(N(E1785),N(F1785)),Settings!$C$10)=0),"Round amount | ","")="","",LEFT(IF(K1785="No","Does not balance | ","")&amp;IF(I1785="","Not approved | ",IF(UPPER(TRIM(H1785))=UPPER(TRIM(I1785)),"Self-approved | ",""))&amp;IF(J1785="","No support | ","")&amp;IF(WEEKDAY(B1785,2)&gt;5,"Weekend posting | ","")&amp;IF(COUNTIF(Settings!$A$14:$A$43,B1785)&gt;0,"Holiday posting | ","")&amp;IF(B1785&gt;Settings!$C$8,"Posted after close | ","")&amp;IF(OR(B1785&lt;Settings!$C$6,B1785&gt;Settings!$C$7),"Outside period | ","")&amp;IF(COUNTIF(Settings!$E$14:$E$43,C1785&amp;"")&gt;0,"Sensitive account | ","")&amp;IF(AND(MAX(N(E1785),N(F1785))&gt;=Settings!$C$9,MOD(MAX(N(E1785),N(F1785)),Settings!$C$10)=0),"Round amount | ",""),LEN(IF(K1785="No","Does not balance | ","")&amp;IF(I1785="","Not approved | ",IF(UPPER(TRIM(H1785))=UPPER(TRIM(I1785)),"Self-approved | ",""))&amp;IF(J1785="","No support | ","")&amp;IF(WEEKDAY(B1785,2)&gt;5,"Weekend posting | ","")&amp;IF(COUNTIF(Settings!$A$14:$A$43,B1785)&gt;0,"Holiday posting | ","")&amp;IF(B1785&gt;Settings!$C$8,"Posted after close | ","")&amp;IF(OR(B1785&lt;Settings!$C$6,B1785&gt;Settings!$C$7),"Outside period | ","")&amp;IF(COUNTIF(Settings!$E$14:$E$43,C1785&amp;"")&gt;0,"Sensitive account | ","")&amp;IF(AND(MAX(N(E1785),N(F1785))&gt;=Settings!$C$9,MOD(MAX(N(E1785),N(F1785)),Settings!$C$10)=0),"Round amount | ",""))-3)))</f>
        <v/>
      </c>
      <c r="M1785" s="21" t="str">
        <f aca="false">IF(A1785="","",IF(COUNTIF($A$9:A1785,A1785)=1,MAX($M$8:M1784)+1,""))</f>
        <v/>
      </c>
    </row>
    <row r="1786" customFormat="false" ht="15" hidden="false" customHeight="false" outlineLevel="0" collapsed="false">
      <c r="A1786" s="8"/>
      <c r="B1786" s="17"/>
      <c r="C1786" s="19"/>
      <c r="D1786" s="8"/>
      <c r="E1786" s="18"/>
      <c r="F1786" s="18"/>
      <c r="G1786" s="8"/>
      <c r="H1786" s="8"/>
      <c r="I1786" s="8"/>
      <c r="J1786" s="8"/>
      <c r="K1786" s="10" t="str">
        <f aca="false">IF(A1786="","",IF(ABS(SUMIFS($E$9:$E$2008,$A$9:$A$2008,A1786)-SUMIFS($F$9:$F$2008,$A$9:$A$2008,A1786))&lt;0.5,"Yes","No"))</f>
        <v/>
      </c>
      <c r="L1786" s="10" t="str">
        <f aca="false">IF(A1786="","",IF(IF(K1786="No","Does not balance | ","")&amp;IF(I1786="","Not approved | ",IF(UPPER(TRIM(H1786))=UPPER(TRIM(I1786)),"Self-approved | ",""))&amp;IF(J1786="","No support | ","")&amp;IF(WEEKDAY(B1786,2)&gt;5,"Weekend posting | ","")&amp;IF(COUNTIF(Settings!$A$14:$A$43,B1786)&gt;0,"Holiday posting | ","")&amp;IF(B1786&gt;Settings!$C$8,"Posted after close | ","")&amp;IF(OR(B1786&lt;Settings!$C$6,B1786&gt;Settings!$C$7),"Outside period | ","")&amp;IF(COUNTIF(Settings!$E$14:$E$43,C1786&amp;"")&gt;0,"Sensitive account | ","")&amp;IF(AND(MAX(N(E1786),N(F1786))&gt;=Settings!$C$9,MOD(MAX(N(E1786),N(F1786)),Settings!$C$10)=0),"Round amount | ","")="","",LEFT(IF(K1786="No","Does not balance | ","")&amp;IF(I1786="","Not approved | ",IF(UPPER(TRIM(H1786))=UPPER(TRIM(I1786)),"Self-approved | ",""))&amp;IF(J1786="","No support | ","")&amp;IF(WEEKDAY(B1786,2)&gt;5,"Weekend posting | ","")&amp;IF(COUNTIF(Settings!$A$14:$A$43,B1786)&gt;0,"Holiday posting | ","")&amp;IF(B1786&gt;Settings!$C$8,"Posted after close | ","")&amp;IF(OR(B1786&lt;Settings!$C$6,B1786&gt;Settings!$C$7),"Outside period | ","")&amp;IF(COUNTIF(Settings!$E$14:$E$43,C1786&amp;"")&gt;0,"Sensitive account | ","")&amp;IF(AND(MAX(N(E1786),N(F1786))&gt;=Settings!$C$9,MOD(MAX(N(E1786),N(F1786)),Settings!$C$10)=0),"Round amount | ",""),LEN(IF(K1786="No","Does not balance | ","")&amp;IF(I1786="","Not approved | ",IF(UPPER(TRIM(H1786))=UPPER(TRIM(I1786)),"Self-approved | ",""))&amp;IF(J1786="","No support | ","")&amp;IF(WEEKDAY(B1786,2)&gt;5,"Weekend posting | ","")&amp;IF(COUNTIF(Settings!$A$14:$A$43,B1786)&gt;0,"Holiday posting | ","")&amp;IF(B1786&gt;Settings!$C$8,"Posted after close | ","")&amp;IF(OR(B1786&lt;Settings!$C$6,B1786&gt;Settings!$C$7),"Outside period | ","")&amp;IF(COUNTIF(Settings!$E$14:$E$43,C1786&amp;"")&gt;0,"Sensitive account | ","")&amp;IF(AND(MAX(N(E1786),N(F1786))&gt;=Settings!$C$9,MOD(MAX(N(E1786),N(F1786)),Settings!$C$10)=0),"Round amount | ",""))-3)))</f>
        <v/>
      </c>
      <c r="M1786" s="21" t="str">
        <f aca="false">IF(A1786="","",IF(COUNTIF($A$9:A1786,A1786)=1,MAX($M$8:M1785)+1,""))</f>
        <v/>
      </c>
    </row>
    <row r="1787" customFormat="false" ht="15" hidden="false" customHeight="false" outlineLevel="0" collapsed="false">
      <c r="A1787" s="8"/>
      <c r="B1787" s="17"/>
      <c r="C1787" s="19"/>
      <c r="D1787" s="8"/>
      <c r="E1787" s="18"/>
      <c r="F1787" s="18"/>
      <c r="G1787" s="8"/>
      <c r="H1787" s="8"/>
      <c r="I1787" s="8"/>
      <c r="J1787" s="8"/>
      <c r="K1787" s="10" t="str">
        <f aca="false">IF(A1787="","",IF(ABS(SUMIFS($E$9:$E$2008,$A$9:$A$2008,A1787)-SUMIFS($F$9:$F$2008,$A$9:$A$2008,A1787))&lt;0.5,"Yes","No"))</f>
        <v/>
      </c>
      <c r="L1787" s="10" t="str">
        <f aca="false">IF(A1787="","",IF(IF(K1787="No","Does not balance | ","")&amp;IF(I1787="","Not approved | ",IF(UPPER(TRIM(H1787))=UPPER(TRIM(I1787)),"Self-approved | ",""))&amp;IF(J1787="","No support | ","")&amp;IF(WEEKDAY(B1787,2)&gt;5,"Weekend posting | ","")&amp;IF(COUNTIF(Settings!$A$14:$A$43,B1787)&gt;0,"Holiday posting | ","")&amp;IF(B1787&gt;Settings!$C$8,"Posted after close | ","")&amp;IF(OR(B1787&lt;Settings!$C$6,B1787&gt;Settings!$C$7),"Outside period | ","")&amp;IF(COUNTIF(Settings!$E$14:$E$43,C1787&amp;"")&gt;0,"Sensitive account | ","")&amp;IF(AND(MAX(N(E1787),N(F1787))&gt;=Settings!$C$9,MOD(MAX(N(E1787),N(F1787)),Settings!$C$10)=0),"Round amount | ","")="","",LEFT(IF(K1787="No","Does not balance | ","")&amp;IF(I1787="","Not approved | ",IF(UPPER(TRIM(H1787))=UPPER(TRIM(I1787)),"Self-approved | ",""))&amp;IF(J1787="","No support | ","")&amp;IF(WEEKDAY(B1787,2)&gt;5,"Weekend posting | ","")&amp;IF(COUNTIF(Settings!$A$14:$A$43,B1787)&gt;0,"Holiday posting | ","")&amp;IF(B1787&gt;Settings!$C$8,"Posted after close | ","")&amp;IF(OR(B1787&lt;Settings!$C$6,B1787&gt;Settings!$C$7),"Outside period | ","")&amp;IF(COUNTIF(Settings!$E$14:$E$43,C1787&amp;"")&gt;0,"Sensitive account | ","")&amp;IF(AND(MAX(N(E1787),N(F1787))&gt;=Settings!$C$9,MOD(MAX(N(E1787),N(F1787)),Settings!$C$10)=0),"Round amount | ",""),LEN(IF(K1787="No","Does not balance | ","")&amp;IF(I1787="","Not approved | ",IF(UPPER(TRIM(H1787))=UPPER(TRIM(I1787)),"Self-approved | ",""))&amp;IF(J1787="","No support | ","")&amp;IF(WEEKDAY(B1787,2)&gt;5,"Weekend posting | ","")&amp;IF(COUNTIF(Settings!$A$14:$A$43,B1787)&gt;0,"Holiday posting | ","")&amp;IF(B1787&gt;Settings!$C$8,"Posted after close | ","")&amp;IF(OR(B1787&lt;Settings!$C$6,B1787&gt;Settings!$C$7),"Outside period | ","")&amp;IF(COUNTIF(Settings!$E$14:$E$43,C1787&amp;"")&gt;0,"Sensitive account | ","")&amp;IF(AND(MAX(N(E1787),N(F1787))&gt;=Settings!$C$9,MOD(MAX(N(E1787),N(F1787)),Settings!$C$10)=0),"Round amount | ",""))-3)))</f>
        <v/>
      </c>
      <c r="M1787" s="21" t="str">
        <f aca="false">IF(A1787="","",IF(COUNTIF($A$9:A1787,A1787)=1,MAX($M$8:M1786)+1,""))</f>
        <v/>
      </c>
    </row>
    <row r="1788" customFormat="false" ht="15" hidden="false" customHeight="false" outlineLevel="0" collapsed="false">
      <c r="A1788" s="8"/>
      <c r="B1788" s="17"/>
      <c r="C1788" s="19"/>
      <c r="D1788" s="8"/>
      <c r="E1788" s="18"/>
      <c r="F1788" s="18"/>
      <c r="G1788" s="8"/>
      <c r="H1788" s="8"/>
      <c r="I1788" s="8"/>
      <c r="J1788" s="8"/>
      <c r="K1788" s="10" t="str">
        <f aca="false">IF(A1788="","",IF(ABS(SUMIFS($E$9:$E$2008,$A$9:$A$2008,A1788)-SUMIFS($F$9:$F$2008,$A$9:$A$2008,A1788))&lt;0.5,"Yes","No"))</f>
        <v/>
      </c>
      <c r="L1788" s="10" t="str">
        <f aca="false">IF(A1788="","",IF(IF(K1788="No","Does not balance | ","")&amp;IF(I1788="","Not approved | ",IF(UPPER(TRIM(H1788))=UPPER(TRIM(I1788)),"Self-approved | ",""))&amp;IF(J1788="","No support | ","")&amp;IF(WEEKDAY(B1788,2)&gt;5,"Weekend posting | ","")&amp;IF(COUNTIF(Settings!$A$14:$A$43,B1788)&gt;0,"Holiday posting | ","")&amp;IF(B1788&gt;Settings!$C$8,"Posted after close | ","")&amp;IF(OR(B1788&lt;Settings!$C$6,B1788&gt;Settings!$C$7),"Outside period | ","")&amp;IF(COUNTIF(Settings!$E$14:$E$43,C1788&amp;"")&gt;0,"Sensitive account | ","")&amp;IF(AND(MAX(N(E1788),N(F1788))&gt;=Settings!$C$9,MOD(MAX(N(E1788),N(F1788)),Settings!$C$10)=0),"Round amount | ","")="","",LEFT(IF(K1788="No","Does not balance | ","")&amp;IF(I1788="","Not approved | ",IF(UPPER(TRIM(H1788))=UPPER(TRIM(I1788)),"Self-approved | ",""))&amp;IF(J1788="","No support | ","")&amp;IF(WEEKDAY(B1788,2)&gt;5,"Weekend posting | ","")&amp;IF(COUNTIF(Settings!$A$14:$A$43,B1788)&gt;0,"Holiday posting | ","")&amp;IF(B1788&gt;Settings!$C$8,"Posted after close | ","")&amp;IF(OR(B1788&lt;Settings!$C$6,B1788&gt;Settings!$C$7),"Outside period | ","")&amp;IF(COUNTIF(Settings!$E$14:$E$43,C1788&amp;"")&gt;0,"Sensitive account | ","")&amp;IF(AND(MAX(N(E1788),N(F1788))&gt;=Settings!$C$9,MOD(MAX(N(E1788),N(F1788)),Settings!$C$10)=0),"Round amount | ",""),LEN(IF(K1788="No","Does not balance | ","")&amp;IF(I1788="","Not approved | ",IF(UPPER(TRIM(H1788))=UPPER(TRIM(I1788)),"Self-approved | ",""))&amp;IF(J1788="","No support | ","")&amp;IF(WEEKDAY(B1788,2)&gt;5,"Weekend posting | ","")&amp;IF(COUNTIF(Settings!$A$14:$A$43,B1788)&gt;0,"Holiday posting | ","")&amp;IF(B1788&gt;Settings!$C$8,"Posted after close | ","")&amp;IF(OR(B1788&lt;Settings!$C$6,B1788&gt;Settings!$C$7),"Outside period | ","")&amp;IF(COUNTIF(Settings!$E$14:$E$43,C1788&amp;"")&gt;0,"Sensitive account | ","")&amp;IF(AND(MAX(N(E1788),N(F1788))&gt;=Settings!$C$9,MOD(MAX(N(E1788),N(F1788)),Settings!$C$10)=0),"Round amount | ",""))-3)))</f>
        <v/>
      </c>
      <c r="M1788" s="21" t="str">
        <f aca="false">IF(A1788="","",IF(COUNTIF($A$9:A1788,A1788)=1,MAX($M$8:M1787)+1,""))</f>
        <v/>
      </c>
    </row>
    <row r="1789" customFormat="false" ht="15" hidden="false" customHeight="false" outlineLevel="0" collapsed="false">
      <c r="A1789" s="8"/>
      <c r="B1789" s="17"/>
      <c r="C1789" s="19"/>
      <c r="D1789" s="8"/>
      <c r="E1789" s="18"/>
      <c r="F1789" s="18"/>
      <c r="G1789" s="8"/>
      <c r="H1789" s="8"/>
      <c r="I1789" s="8"/>
      <c r="J1789" s="8"/>
      <c r="K1789" s="10" t="str">
        <f aca="false">IF(A1789="","",IF(ABS(SUMIFS($E$9:$E$2008,$A$9:$A$2008,A1789)-SUMIFS($F$9:$F$2008,$A$9:$A$2008,A1789))&lt;0.5,"Yes","No"))</f>
        <v/>
      </c>
      <c r="L1789" s="10" t="str">
        <f aca="false">IF(A1789="","",IF(IF(K1789="No","Does not balance | ","")&amp;IF(I1789="","Not approved | ",IF(UPPER(TRIM(H1789))=UPPER(TRIM(I1789)),"Self-approved | ",""))&amp;IF(J1789="","No support | ","")&amp;IF(WEEKDAY(B1789,2)&gt;5,"Weekend posting | ","")&amp;IF(COUNTIF(Settings!$A$14:$A$43,B1789)&gt;0,"Holiday posting | ","")&amp;IF(B1789&gt;Settings!$C$8,"Posted after close | ","")&amp;IF(OR(B1789&lt;Settings!$C$6,B1789&gt;Settings!$C$7),"Outside period | ","")&amp;IF(COUNTIF(Settings!$E$14:$E$43,C1789&amp;"")&gt;0,"Sensitive account | ","")&amp;IF(AND(MAX(N(E1789),N(F1789))&gt;=Settings!$C$9,MOD(MAX(N(E1789),N(F1789)),Settings!$C$10)=0),"Round amount | ","")="","",LEFT(IF(K1789="No","Does not balance | ","")&amp;IF(I1789="","Not approved | ",IF(UPPER(TRIM(H1789))=UPPER(TRIM(I1789)),"Self-approved | ",""))&amp;IF(J1789="","No support | ","")&amp;IF(WEEKDAY(B1789,2)&gt;5,"Weekend posting | ","")&amp;IF(COUNTIF(Settings!$A$14:$A$43,B1789)&gt;0,"Holiday posting | ","")&amp;IF(B1789&gt;Settings!$C$8,"Posted after close | ","")&amp;IF(OR(B1789&lt;Settings!$C$6,B1789&gt;Settings!$C$7),"Outside period | ","")&amp;IF(COUNTIF(Settings!$E$14:$E$43,C1789&amp;"")&gt;0,"Sensitive account | ","")&amp;IF(AND(MAX(N(E1789),N(F1789))&gt;=Settings!$C$9,MOD(MAX(N(E1789),N(F1789)),Settings!$C$10)=0),"Round amount | ",""),LEN(IF(K1789="No","Does not balance | ","")&amp;IF(I1789="","Not approved | ",IF(UPPER(TRIM(H1789))=UPPER(TRIM(I1789)),"Self-approved | ",""))&amp;IF(J1789="","No support | ","")&amp;IF(WEEKDAY(B1789,2)&gt;5,"Weekend posting | ","")&amp;IF(COUNTIF(Settings!$A$14:$A$43,B1789)&gt;0,"Holiday posting | ","")&amp;IF(B1789&gt;Settings!$C$8,"Posted after close | ","")&amp;IF(OR(B1789&lt;Settings!$C$6,B1789&gt;Settings!$C$7),"Outside period | ","")&amp;IF(COUNTIF(Settings!$E$14:$E$43,C1789&amp;"")&gt;0,"Sensitive account | ","")&amp;IF(AND(MAX(N(E1789),N(F1789))&gt;=Settings!$C$9,MOD(MAX(N(E1789),N(F1789)),Settings!$C$10)=0),"Round amount | ",""))-3)))</f>
        <v/>
      </c>
      <c r="M1789" s="21" t="str">
        <f aca="false">IF(A1789="","",IF(COUNTIF($A$9:A1789,A1789)=1,MAX($M$8:M1788)+1,""))</f>
        <v/>
      </c>
    </row>
    <row r="1790" customFormat="false" ht="15" hidden="false" customHeight="false" outlineLevel="0" collapsed="false">
      <c r="A1790" s="8"/>
      <c r="B1790" s="17"/>
      <c r="C1790" s="19"/>
      <c r="D1790" s="8"/>
      <c r="E1790" s="18"/>
      <c r="F1790" s="18"/>
      <c r="G1790" s="8"/>
      <c r="H1790" s="8"/>
      <c r="I1790" s="8"/>
      <c r="J1790" s="8"/>
      <c r="K1790" s="10" t="str">
        <f aca="false">IF(A1790="","",IF(ABS(SUMIFS($E$9:$E$2008,$A$9:$A$2008,A1790)-SUMIFS($F$9:$F$2008,$A$9:$A$2008,A1790))&lt;0.5,"Yes","No"))</f>
        <v/>
      </c>
      <c r="L1790" s="10" t="str">
        <f aca="false">IF(A1790="","",IF(IF(K1790="No","Does not balance | ","")&amp;IF(I1790="","Not approved | ",IF(UPPER(TRIM(H1790))=UPPER(TRIM(I1790)),"Self-approved | ",""))&amp;IF(J1790="","No support | ","")&amp;IF(WEEKDAY(B1790,2)&gt;5,"Weekend posting | ","")&amp;IF(COUNTIF(Settings!$A$14:$A$43,B1790)&gt;0,"Holiday posting | ","")&amp;IF(B1790&gt;Settings!$C$8,"Posted after close | ","")&amp;IF(OR(B1790&lt;Settings!$C$6,B1790&gt;Settings!$C$7),"Outside period | ","")&amp;IF(COUNTIF(Settings!$E$14:$E$43,C1790&amp;"")&gt;0,"Sensitive account | ","")&amp;IF(AND(MAX(N(E1790),N(F1790))&gt;=Settings!$C$9,MOD(MAX(N(E1790),N(F1790)),Settings!$C$10)=0),"Round amount | ","")="","",LEFT(IF(K1790="No","Does not balance | ","")&amp;IF(I1790="","Not approved | ",IF(UPPER(TRIM(H1790))=UPPER(TRIM(I1790)),"Self-approved | ",""))&amp;IF(J1790="","No support | ","")&amp;IF(WEEKDAY(B1790,2)&gt;5,"Weekend posting | ","")&amp;IF(COUNTIF(Settings!$A$14:$A$43,B1790)&gt;0,"Holiday posting | ","")&amp;IF(B1790&gt;Settings!$C$8,"Posted after close | ","")&amp;IF(OR(B1790&lt;Settings!$C$6,B1790&gt;Settings!$C$7),"Outside period | ","")&amp;IF(COUNTIF(Settings!$E$14:$E$43,C1790&amp;"")&gt;0,"Sensitive account | ","")&amp;IF(AND(MAX(N(E1790),N(F1790))&gt;=Settings!$C$9,MOD(MAX(N(E1790),N(F1790)),Settings!$C$10)=0),"Round amount | ",""),LEN(IF(K1790="No","Does not balance | ","")&amp;IF(I1790="","Not approved | ",IF(UPPER(TRIM(H1790))=UPPER(TRIM(I1790)),"Self-approved | ",""))&amp;IF(J1790="","No support | ","")&amp;IF(WEEKDAY(B1790,2)&gt;5,"Weekend posting | ","")&amp;IF(COUNTIF(Settings!$A$14:$A$43,B1790)&gt;0,"Holiday posting | ","")&amp;IF(B1790&gt;Settings!$C$8,"Posted after close | ","")&amp;IF(OR(B1790&lt;Settings!$C$6,B1790&gt;Settings!$C$7),"Outside period | ","")&amp;IF(COUNTIF(Settings!$E$14:$E$43,C1790&amp;"")&gt;0,"Sensitive account | ","")&amp;IF(AND(MAX(N(E1790),N(F1790))&gt;=Settings!$C$9,MOD(MAX(N(E1790),N(F1790)),Settings!$C$10)=0),"Round amount | ",""))-3)))</f>
        <v/>
      </c>
      <c r="M1790" s="21" t="str">
        <f aca="false">IF(A1790="","",IF(COUNTIF($A$9:A1790,A1790)=1,MAX($M$8:M1789)+1,""))</f>
        <v/>
      </c>
    </row>
    <row r="1791" customFormat="false" ht="15" hidden="false" customHeight="false" outlineLevel="0" collapsed="false">
      <c r="A1791" s="8"/>
      <c r="B1791" s="17"/>
      <c r="C1791" s="19"/>
      <c r="D1791" s="8"/>
      <c r="E1791" s="18"/>
      <c r="F1791" s="18"/>
      <c r="G1791" s="8"/>
      <c r="H1791" s="8"/>
      <c r="I1791" s="8"/>
      <c r="J1791" s="8"/>
      <c r="K1791" s="10" t="str">
        <f aca="false">IF(A1791="","",IF(ABS(SUMIFS($E$9:$E$2008,$A$9:$A$2008,A1791)-SUMIFS($F$9:$F$2008,$A$9:$A$2008,A1791))&lt;0.5,"Yes","No"))</f>
        <v/>
      </c>
      <c r="L1791" s="10" t="str">
        <f aca="false">IF(A1791="","",IF(IF(K1791="No","Does not balance | ","")&amp;IF(I1791="","Not approved | ",IF(UPPER(TRIM(H1791))=UPPER(TRIM(I1791)),"Self-approved | ",""))&amp;IF(J1791="","No support | ","")&amp;IF(WEEKDAY(B1791,2)&gt;5,"Weekend posting | ","")&amp;IF(COUNTIF(Settings!$A$14:$A$43,B1791)&gt;0,"Holiday posting | ","")&amp;IF(B1791&gt;Settings!$C$8,"Posted after close | ","")&amp;IF(OR(B1791&lt;Settings!$C$6,B1791&gt;Settings!$C$7),"Outside period | ","")&amp;IF(COUNTIF(Settings!$E$14:$E$43,C1791&amp;"")&gt;0,"Sensitive account | ","")&amp;IF(AND(MAX(N(E1791),N(F1791))&gt;=Settings!$C$9,MOD(MAX(N(E1791),N(F1791)),Settings!$C$10)=0),"Round amount | ","")="","",LEFT(IF(K1791="No","Does not balance | ","")&amp;IF(I1791="","Not approved | ",IF(UPPER(TRIM(H1791))=UPPER(TRIM(I1791)),"Self-approved | ",""))&amp;IF(J1791="","No support | ","")&amp;IF(WEEKDAY(B1791,2)&gt;5,"Weekend posting | ","")&amp;IF(COUNTIF(Settings!$A$14:$A$43,B1791)&gt;0,"Holiday posting | ","")&amp;IF(B1791&gt;Settings!$C$8,"Posted after close | ","")&amp;IF(OR(B1791&lt;Settings!$C$6,B1791&gt;Settings!$C$7),"Outside period | ","")&amp;IF(COUNTIF(Settings!$E$14:$E$43,C1791&amp;"")&gt;0,"Sensitive account | ","")&amp;IF(AND(MAX(N(E1791),N(F1791))&gt;=Settings!$C$9,MOD(MAX(N(E1791),N(F1791)),Settings!$C$10)=0),"Round amount | ",""),LEN(IF(K1791="No","Does not balance | ","")&amp;IF(I1791="","Not approved | ",IF(UPPER(TRIM(H1791))=UPPER(TRIM(I1791)),"Self-approved | ",""))&amp;IF(J1791="","No support | ","")&amp;IF(WEEKDAY(B1791,2)&gt;5,"Weekend posting | ","")&amp;IF(COUNTIF(Settings!$A$14:$A$43,B1791)&gt;0,"Holiday posting | ","")&amp;IF(B1791&gt;Settings!$C$8,"Posted after close | ","")&amp;IF(OR(B1791&lt;Settings!$C$6,B1791&gt;Settings!$C$7),"Outside period | ","")&amp;IF(COUNTIF(Settings!$E$14:$E$43,C1791&amp;"")&gt;0,"Sensitive account | ","")&amp;IF(AND(MAX(N(E1791),N(F1791))&gt;=Settings!$C$9,MOD(MAX(N(E1791),N(F1791)),Settings!$C$10)=0),"Round amount | ",""))-3)))</f>
        <v/>
      </c>
      <c r="M1791" s="21" t="str">
        <f aca="false">IF(A1791="","",IF(COUNTIF($A$9:A1791,A1791)=1,MAX($M$8:M1790)+1,""))</f>
        <v/>
      </c>
    </row>
    <row r="1792" customFormat="false" ht="15" hidden="false" customHeight="false" outlineLevel="0" collapsed="false">
      <c r="A1792" s="8"/>
      <c r="B1792" s="17"/>
      <c r="C1792" s="19"/>
      <c r="D1792" s="8"/>
      <c r="E1792" s="18"/>
      <c r="F1792" s="18"/>
      <c r="G1792" s="8"/>
      <c r="H1792" s="8"/>
      <c r="I1792" s="8"/>
      <c r="J1792" s="8"/>
      <c r="K1792" s="10" t="str">
        <f aca="false">IF(A1792="","",IF(ABS(SUMIFS($E$9:$E$2008,$A$9:$A$2008,A1792)-SUMIFS($F$9:$F$2008,$A$9:$A$2008,A1792))&lt;0.5,"Yes","No"))</f>
        <v/>
      </c>
      <c r="L1792" s="10" t="str">
        <f aca="false">IF(A1792="","",IF(IF(K1792="No","Does not balance | ","")&amp;IF(I1792="","Not approved | ",IF(UPPER(TRIM(H1792))=UPPER(TRIM(I1792)),"Self-approved | ",""))&amp;IF(J1792="","No support | ","")&amp;IF(WEEKDAY(B1792,2)&gt;5,"Weekend posting | ","")&amp;IF(COUNTIF(Settings!$A$14:$A$43,B1792)&gt;0,"Holiday posting | ","")&amp;IF(B1792&gt;Settings!$C$8,"Posted after close | ","")&amp;IF(OR(B1792&lt;Settings!$C$6,B1792&gt;Settings!$C$7),"Outside period | ","")&amp;IF(COUNTIF(Settings!$E$14:$E$43,C1792&amp;"")&gt;0,"Sensitive account | ","")&amp;IF(AND(MAX(N(E1792),N(F1792))&gt;=Settings!$C$9,MOD(MAX(N(E1792),N(F1792)),Settings!$C$10)=0),"Round amount | ","")="","",LEFT(IF(K1792="No","Does not balance | ","")&amp;IF(I1792="","Not approved | ",IF(UPPER(TRIM(H1792))=UPPER(TRIM(I1792)),"Self-approved | ",""))&amp;IF(J1792="","No support | ","")&amp;IF(WEEKDAY(B1792,2)&gt;5,"Weekend posting | ","")&amp;IF(COUNTIF(Settings!$A$14:$A$43,B1792)&gt;0,"Holiday posting | ","")&amp;IF(B1792&gt;Settings!$C$8,"Posted after close | ","")&amp;IF(OR(B1792&lt;Settings!$C$6,B1792&gt;Settings!$C$7),"Outside period | ","")&amp;IF(COUNTIF(Settings!$E$14:$E$43,C1792&amp;"")&gt;0,"Sensitive account | ","")&amp;IF(AND(MAX(N(E1792),N(F1792))&gt;=Settings!$C$9,MOD(MAX(N(E1792),N(F1792)),Settings!$C$10)=0),"Round amount | ",""),LEN(IF(K1792="No","Does not balance | ","")&amp;IF(I1792="","Not approved | ",IF(UPPER(TRIM(H1792))=UPPER(TRIM(I1792)),"Self-approved | ",""))&amp;IF(J1792="","No support | ","")&amp;IF(WEEKDAY(B1792,2)&gt;5,"Weekend posting | ","")&amp;IF(COUNTIF(Settings!$A$14:$A$43,B1792)&gt;0,"Holiday posting | ","")&amp;IF(B1792&gt;Settings!$C$8,"Posted after close | ","")&amp;IF(OR(B1792&lt;Settings!$C$6,B1792&gt;Settings!$C$7),"Outside period | ","")&amp;IF(COUNTIF(Settings!$E$14:$E$43,C1792&amp;"")&gt;0,"Sensitive account | ","")&amp;IF(AND(MAX(N(E1792),N(F1792))&gt;=Settings!$C$9,MOD(MAX(N(E1792),N(F1792)),Settings!$C$10)=0),"Round amount | ",""))-3)))</f>
        <v/>
      </c>
      <c r="M1792" s="21" t="str">
        <f aca="false">IF(A1792="","",IF(COUNTIF($A$9:A1792,A1792)=1,MAX($M$8:M1791)+1,""))</f>
        <v/>
      </c>
    </row>
    <row r="1793" customFormat="false" ht="15" hidden="false" customHeight="false" outlineLevel="0" collapsed="false">
      <c r="A1793" s="8"/>
      <c r="B1793" s="17"/>
      <c r="C1793" s="19"/>
      <c r="D1793" s="8"/>
      <c r="E1793" s="18"/>
      <c r="F1793" s="18"/>
      <c r="G1793" s="8"/>
      <c r="H1793" s="8"/>
      <c r="I1793" s="8"/>
      <c r="J1793" s="8"/>
      <c r="K1793" s="10" t="str">
        <f aca="false">IF(A1793="","",IF(ABS(SUMIFS($E$9:$E$2008,$A$9:$A$2008,A1793)-SUMIFS($F$9:$F$2008,$A$9:$A$2008,A1793))&lt;0.5,"Yes","No"))</f>
        <v/>
      </c>
      <c r="L1793" s="10" t="str">
        <f aca="false">IF(A1793="","",IF(IF(K1793="No","Does not balance | ","")&amp;IF(I1793="","Not approved | ",IF(UPPER(TRIM(H1793))=UPPER(TRIM(I1793)),"Self-approved | ",""))&amp;IF(J1793="","No support | ","")&amp;IF(WEEKDAY(B1793,2)&gt;5,"Weekend posting | ","")&amp;IF(COUNTIF(Settings!$A$14:$A$43,B1793)&gt;0,"Holiday posting | ","")&amp;IF(B1793&gt;Settings!$C$8,"Posted after close | ","")&amp;IF(OR(B1793&lt;Settings!$C$6,B1793&gt;Settings!$C$7),"Outside period | ","")&amp;IF(COUNTIF(Settings!$E$14:$E$43,C1793&amp;"")&gt;0,"Sensitive account | ","")&amp;IF(AND(MAX(N(E1793),N(F1793))&gt;=Settings!$C$9,MOD(MAX(N(E1793),N(F1793)),Settings!$C$10)=0),"Round amount | ","")="","",LEFT(IF(K1793="No","Does not balance | ","")&amp;IF(I1793="","Not approved | ",IF(UPPER(TRIM(H1793))=UPPER(TRIM(I1793)),"Self-approved | ",""))&amp;IF(J1793="","No support | ","")&amp;IF(WEEKDAY(B1793,2)&gt;5,"Weekend posting | ","")&amp;IF(COUNTIF(Settings!$A$14:$A$43,B1793)&gt;0,"Holiday posting | ","")&amp;IF(B1793&gt;Settings!$C$8,"Posted after close | ","")&amp;IF(OR(B1793&lt;Settings!$C$6,B1793&gt;Settings!$C$7),"Outside period | ","")&amp;IF(COUNTIF(Settings!$E$14:$E$43,C1793&amp;"")&gt;0,"Sensitive account | ","")&amp;IF(AND(MAX(N(E1793),N(F1793))&gt;=Settings!$C$9,MOD(MAX(N(E1793),N(F1793)),Settings!$C$10)=0),"Round amount | ",""),LEN(IF(K1793="No","Does not balance | ","")&amp;IF(I1793="","Not approved | ",IF(UPPER(TRIM(H1793))=UPPER(TRIM(I1793)),"Self-approved | ",""))&amp;IF(J1793="","No support | ","")&amp;IF(WEEKDAY(B1793,2)&gt;5,"Weekend posting | ","")&amp;IF(COUNTIF(Settings!$A$14:$A$43,B1793)&gt;0,"Holiday posting | ","")&amp;IF(B1793&gt;Settings!$C$8,"Posted after close | ","")&amp;IF(OR(B1793&lt;Settings!$C$6,B1793&gt;Settings!$C$7),"Outside period | ","")&amp;IF(COUNTIF(Settings!$E$14:$E$43,C1793&amp;"")&gt;0,"Sensitive account | ","")&amp;IF(AND(MAX(N(E1793),N(F1793))&gt;=Settings!$C$9,MOD(MAX(N(E1793),N(F1793)),Settings!$C$10)=0),"Round amount | ",""))-3)))</f>
        <v/>
      </c>
      <c r="M1793" s="21" t="str">
        <f aca="false">IF(A1793="","",IF(COUNTIF($A$9:A1793,A1793)=1,MAX($M$8:M1792)+1,""))</f>
        <v/>
      </c>
    </row>
    <row r="1794" customFormat="false" ht="15" hidden="false" customHeight="false" outlineLevel="0" collapsed="false">
      <c r="A1794" s="8"/>
      <c r="B1794" s="17"/>
      <c r="C1794" s="19"/>
      <c r="D1794" s="8"/>
      <c r="E1794" s="18"/>
      <c r="F1794" s="18"/>
      <c r="G1794" s="8"/>
      <c r="H1794" s="8"/>
      <c r="I1794" s="8"/>
      <c r="J1794" s="8"/>
      <c r="K1794" s="10" t="str">
        <f aca="false">IF(A1794="","",IF(ABS(SUMIFS($E$9:$E$2008,$A$9:$A$2008,A1794)-SUMIFS($F$9:$F$2008,$A$9:$A$2008,A1794))&lt;0.5,"Yes","No"))</f>
        <v/>
      </c>
      <c r="L1794" s="10" t="str">
        <f aca="false">IF(A1794="","",IF(IF(K1794="No","Does not balance | ","")&amp;IF(I1794="","Not approved | ",IF(UPPER(TRIM(H1794))=UPPER(TRIM(I1794)),"Self-approved | ",""))&amp;IF(J1794="","No support | ","")&amp;IF(WEEKDAY(B1794,2)&gt;5,"Weekend posting | ","")&amp;IF(COUNTIF(Settings!$A$14:$A$43,B1794)&gt;0,"Holiday posting | ","")&amp;IF(B1794&gt;Settings!$C$8,"Posted after close | ","")&amp;IF(OR(B1794&lt;Settings!$C$6,B1794&gt;Settings!$C$7),"Outside period | ","")&amp;IF(COUNTIF(Settings!$E$14:$E$43,C1794&amp;"")&gt;0,"Sensitive account | ","")&amp;IF(AND(MAX(N(E1794),N(F1794))&gt;=Settings!$C$9,MOD(MAX(N(E1794),N(F1794)),Settings!$C$10)=0),"Round amount | ","")="","",LEFT(IF(K1794="No","Does not balance | ","")&amp;IF(I1794="","Not approved | ",IF(UPPER(TRIM(H1794))=UPPER(TRIM(I1794)),"Self-approved | ",""))&amp;IF(J1794="","No support | ","")&amp;IF(WEEKDAY(B1794,2)&gt;5,"Weekend posting | ","")&amp;IF(COUNTIF(Settings!$A$14:$A$43,B1794)&gt;0,"Holiday posting | ","")&amp;IF(B1794&gt;Settings!$C$8,"Posted after close | ","")&amp;IF(OR(B1794&lt;Settings!$C$6,B1794&gt;Settings!$C$7),"Outside period | ","")&amp;IF(COUNTIF(Settings!$E$14:$E$43,C1794&amp;"")&gt;0,"Sensitive account | ","")&amp;IF(AND(MAX(N(E1794),N(F1794))&gt;=Settings!$C$9,MOD(MAX(N(E1794),N(F1794)),Settings!$C$10)=0),"Round amount | ",""),LEN(IF(K1794="No","Does not balance | ","")&amp;IF(I1794="","Not approved | ",IF(UPPER(TRIM(H1794))=UPPER(TRIM(I1794)),"Self-approved | ",""))&amp;IF(J1794="","No support | ","")&amp;IF(WEEKDAY(B1794,2)&gt;5,"Weekend posting | ","")&amp;IF(COUNTIF(Settings!$A$14:$A$43,B1794)&gt;0,"Holiday posting | ","")&amp;IF(B1794&gt;Settings!$C$8,"Posted after close | ","")&amp;IF(OR(B1794&lt;Settings!$C$6,B1794&gt;Settings!$C$7),"Outside period | ","")&amp;IF(COUNTIF(Settings!$E$14:$E$43,C1794&amp;"")&gt;0,"Sensitive account | ","")&amp;IF(AND(MAX(N(E1794),N(F1794))&gt;=Settings!$C$9,MOD(MAX(N(E1794),N(F1794)),Settings!$C$10)=0),"Round amount | ",""))-3)))</f>
        <v/>
      </c>
      <c r="M1794" s="21" t="str">
        <f aca="false">IF(A1794="","",IF(COUNTIF($A$9:A1794,A1794)=1,MAX($M$8:M1793)+1,""))</f>
        <v/>
      </c>
    </row>
    <row r="1795" customFormat="false" ht="15" hidden="false" customHeight="false" outlineLevel="0" collapsed="false">
      <c r="A1795" s="8"/>
      <c r="B1795" s="17"/>
      <c r="C1795" s="19"/>
      <c r="D1795" s="8"/>
      <c r="E1795" s="18"/>
      <c r="F1795" s="18"/>
      <c r="G1795" s="8"/>
      <c r="H1795" s="8"/>
      <c r="I1795" s="8"/>
      <c r="J1795" s="8"/>
      <c r="K1795" s="10" t="str">
        <f aca="false">IF(A1795="","",IF(ABS(SUMIFS($E$9:$E$2008,$A$9:$A$2008,A1795)-SUMIFS($F$9:$F$2008,$A$9:$A$2008,A1795))&lt;0.5,"Yes","No"))</f>
        <v/>
      </c>
      <c r="L1795" s="10" t="str">
        <f aca="false">IF(A1795="","",IF(IF(K1795="No","Does not balance | ","")&amp;IF(I1795="","Not approved | ",IF(UPPER(TRIM(H1795))=UPPER(TRIM(I1795)),"Self-approved | ",""))&amp;IF(J1795="","No support | ","")&amp;IF(WEEKDAY(B1795,2)&gt;5,"Weekend posting | ","")&amp;IF(COUNTIF(Settings!$A$14:$A$43,B1795)&gt;0,"Holiday posting | ","")&amp;IF(B1795&gt;Settings!$C$8,"Posted after close | ","")&amp;IF(OR(B1795&lt;Settings!$C$6,B1795&gt;Settings!$C$7),"Outside period | ","")&amp;IF(COUNTIF(Settings!$E$14:$E$43,C1795&amp;"")&gt;0,"Sensitive account | ","")&amp;IF(AND(MAX(N(E1795),N(F1795))&gt;=Settings!$C$9,MOD(MAX(N(E1795),N(F1795)),Settings!$C$10)=0),"Round amount | ","")="","",LEFT(IF(K1795="No","Does not balance | ","")&amp;IF(I1795="","Not approved | ",IF(UPPER(TRIM(H1795))=UPPER(TRIM(I1795)),"Self-approved | ",""))&amp;IF(J1795="","No support | ","")&amp;IF(WEEKDAY(B1795,2)&gt;5,"Weekend posting | ","")&amp;IF(COUNTIF(Settings!$A$14:$A$43,B1795)&gt;0,"Holiday posting | ","")&amp;IF(B1795&gt;Settings!$C$8,"Posted after close | ","")&amp;IF(OR(B1795&lt;Settings!$C$6,B1795&gt;Settings!$C$7),"Outside period | ","")&amp;IF(COUNTIF(Settings!$E$14:$E$43,C1795&amp;"")&gt;0,"Sensitive account | ","")&amp;IF(AND(MAX(N(E1795),N(F1795))&gt;=Settings!$C$9,MOD(MAX(N(E1795),N(F1795)),Settings!$C$10)=0),"Round amount | ",""),LEN(IF(K1795="No","Does not balance | ","")&amp;IF(I1795="","Not approved | ",IF(UPPER(TRIM(H1795))=UPPER(TRIM(I1795)),"Self-approved | ",""))&amp;IF(J1795="","No support | ","")&amp;IF(WEEKDAY(B1795,2)&gt;5,"Weekend posting | ","")&amp;IF(COUNTIF(Settings!$A$14:$A$43,B1795)&gt;0,"Holiday posting | ","")&amp;IF(B1795&gt;Settings!$C$8,"Posted after close | ","")&amp;IF(OR(B1795&lt;Settings!$C$6,B1795&gt;Settings!$C$7),"Outside period | ","")&amp;IF(COUNTIF(Settings!$E$14:$E$43,C1795&amp;"")&gt;0,"Sensitive account | ","")&amp;IF(AND(MAX(N(E1795),N(F1795))&gt;=Settings!$C$9,MOD(MAX(N(E1795),N(F1795)),Settings!$C$10)=0),"Round amount | ",""))-3)))</f>
        <v/>
      </c>
      <c r="M1795" s="21" t="str">
        <f aca="false">IF(A1795="","",IF(COUNTIF($A$9:A1795,A1795)=1,MAX($M$8:M1794)+1,""))</f>
        <v/>
      </c>
    </row>
    <row r="1796" customFormat="false" ht="15" hidden="false" customHeight="false" outlineLevel="0" collapsed="false">
      <c r="A1796" s="8"/>
      <c r="B1796" s="17"/>
      <c r="C1796" s="19"/>
      <c r="D1796" s="8"/>
      <c r="E1796" s="18"/>
      <c r="F1796" s="18"/>
      <c r="G1796" s="8"/>
      <c r="H1796" s="8"/>
      <c r="I1796" s="8"/>
      <c r="J1796" s="8"/>
      <c r="K1796" s="10" t="str">
        <f aca="false">IF(A1796="","",IF(ABS(SUMIFS($E$9:$E$2008,$A$9:$A$2008,A1796)-SUMIFS($F$9:$F$2008,$A$9:$A$2008,A1796))&lt;0.5,"Yes","No"))</f>
        <v/>
      </c>
      <c r="L1796" s="10" t="str">
        <f aca="false">IF(A1796="","",IF(IF(K1796="No","Does not balance | ","")&amp;IF(I1796="","Not approved | ",IF(UPPER(TRIM(H1796))=UPPER(TRIM(I1796)),"Self-approved | ",""))&amp;IF(J1796="","No support | ","")&amp;IF(WEEKDAY(B1796,2)&gt;5,"Weekend posting | ","")&amp;IF(COUNTIF(Settings!$A$14:$A$43,B1796)&gt;0,"Holiday posting | ","")&amp;IF(B1796&gt;Settings!$C$8,"Posted after close | ","")&amp;IF(OR(B1796&lt;Settings!$C$6,B1796&gt;Settings!$C$7),"Outside period | ","")&amp;IF(COUNTIF(Settings!$E$14:$E$43,C1796&amp;"")&gt;0,"Sensitive account | ","")&amp;IF(AND(MAX(N(E1796),N(F1796))&gt;=Settings!$C$9,MOD(MAX(N(E1796),N(F1796)),Settings!$C$10)=0),"Round amount | ","")="","",LEFT(IF(K1796="No","Does not balance | ","")&amp;IF(I1796="","Not approved | ",IF(UPPER(TRIM(H1796))=UPPER(TRIM(I1796)),"Self-approved | ",""))&amp;IF(J1796="","No support | ","")&amp;IF(WEEKDAY(B1796,2)&gt;5,"Weekend posting | ","")&amp;IF(COUNTIF(Settings!$A$14:$A$43,B1796)&gt;0,"Holiday posting | ","")&amp;IF(B1796&gt;Settings!$C$8,"Posted after close | ","")&amp;IF(OR(B1796&lt;Settings!$C$6,B1796&gt;Settings!$C$7),"Outside period | ","")&amp;IF(COUNTIF(Settings!$E$14:$E$43,C1796&amp;"")&gt;0,"Sensitive account | ","")&amp;IF(AND(MAX(N(E1796),N(F1796))&gt;=Settings!$C$9,MOD(MAX(N(E1796),N(F1796)),Settings!$C$10)=0),"Round amount | ",""),LEN(IF(K1796="No","Does not balance | ","")&amp;IF(I1796="","Not approved | ",IF(UPPER(TRIM(H1796))=UPPER(TRIM(I1796)),"Self-approved | ",""))&amp;IF(J1796="","No support | ","")&amp;IF(WEEKDAY(B1796,2)&gt;5,"Weekend posting | ","")&amp;IF(COUNTIF(Settings!$A$14:$A$43,B1796)&gt;0,"Holiday posting | ","")&amp;IF(B1796&gt;Settings!$C$8,"Posted after close | ","")&amp;IF(OR(B1796&lt;Settings!$C$6,B1796&gt;Settings!$C$7),"Outside period | ","")&amp;IF(COUNTIF(Settings!$E$14:$E$43,C1796&amp;"")&gt;0,"Sensitive account | ","")&amp;IF(AND(MAX(N(E1796),N(F1796))&gt;=Settings!$C$9,MOD(MAX(N(E1796),N(F1796)),Settings!$C$10)=0),"Round amount | ",""))-3)))</f>
        <v/>
      </c>
      <c r="M1796" s="21" t="str">
        <f aca="false">IF(A1796="","",IF(COUNTIF($A$9:A1796,A1796)=1,MAX($M$8:M1795)+1,""))</f>
        <v/>
      </c>
    </row>
    <row r="1797" customFormat="false" ht="15" hidden="false" customHeight="false" outlineLevel="0" collapsed="false">
      <c r="A1797" s="8"/>
      <c r="B1797" s="17"/>
      <c r="C1797" s="19"/>
      <c r="D1797" s="8"/>
      <c r="E1797" s="18"/>
      <c r="F1797" s="18"/>
      <c r="G1797" s="8"/>
      <c r="H1797" s="8"/>
      <c r="I1797" s="8"/>
      <c r="J1797" s="8"/>
      <c r="K1797" s="10" t="str">
        <f aca="false">IF(A1797="","",IF(ABS(SUMIFS($E$9:$E$2008,$A$9:$A$2008,A1797)-SUMIFS($F$9:$F$2008,$A$9:$A$2008,A1797))&lt;0.5,"Yes","No"))</f>
        <v/>
      </c>
      <c r="L1797" s="10" t="str">
        <f aca="false">IF(A1797="","",IF(IF(K1797="No","Does not balance | ","")&amp;IF(I1797="","Not approved | ",IF(UPPER(TRIM(H1797))=UPPER(TRIM(I1797)),"Self-approved | ",""))&amp;IF(J1797="","No support | ","")&amp;IF(WEEKDAY(B1797,2)&gt;5,"Weekend posting | ","")&amp;IF(COUNTIF(Settings!$A$14:$A$43,B1797)&gt;0,"Holiday posting | ","")&amp;IF(B1797&gt;Settings!$C$8,"Posted after close | ","")&amp;IF(OR(B1797&lt;Settings!$C$6,B1797&gt;Settings!$C$7),"Outside period | ","")&amp;IF(COUNTIF(Settings!$E$14:$E$43,C1797&amp;"")&gt;0,"Sensitive account | ","")&amp;IF(AND(MAX(N(E1797),N(F1797))&gt;=Settings!$C$9,MOD(MAX(N(E1797),N(F1797)),Settings!$C$10)=0),"Round amount | ","")="","",LEFT(IF(K1797="No","Does not balance | ","")&amp;IF(I1797="","Not approved | ",IF(UPPER(TRIM(H1797))=UPPER(TRIM(I1797)),"Self-approved | ",""))&amp;IF(J1797="","No support | ","")&amp;IF(WEEKDAY(B1797,2)&gt;5,"Weekend posting | ","")&amp;IF(COUNTIF(Settings!$A$14:$A$43,B1797)&gt;0,"Holiday posting | ","")&amp;IF(B1797&gt;Settings!$C$8,"Posted after close | ","")&amp;IF(OR(B1797&lt;Settings!$C$6,B1797&gt;Settings!$C$7),"Outside period | ","")&amp;IF(COUNTIF(Settings!$E$14:$E$43,C1797&amp;"")&gt;0,"Sensitive account | ","")&amp;IF(AND(MAX(N(E1797),N(F1797))&gt;=Settings!$C$9,MOD(MAX(N(E1797),N(F1797)),Settings!$C$10)=0),"Round amount | ",""),LEN(IF(K1797="No","Does not balance | ","")&amp;IF(I1797="","Not approved | ",IF(UPPER(TRIM(H1797))=UPPER(TRIM(I1797)),"Self-approved | ",""))&amp;IF(J1797="","No support | ","")&amp;IF(WEEKDAY(B1797,2)&gt;5,"Weekend posting | ","")&amp;IF(COUNTIF(Settings!$A$14:$A$43,B1797)&gt;0,"Holiday posting | ","")&amp;IF(B1797&gt;Settings!$C$8,"Posted after close | ","")&amp;IF(OR(B1797&lt;Settings!$C$6,B1797&gt;Settings!$C$7),"Outside period | ","")&amp;IF(COUNTIF(Settings!$E$14:$E$43,C1797&amp;"")&gt;0,"Sensitive account | ","")&amp;IF(AND(MAX(N(E1797),N(F1797))&gt;=Settings!$C$9,MOD(MAX(N(E1797),N(F1797)),Settings!$C$10)=0),"Round amount | ",""))-3)))</f>
        <v/>
      </c>
      <c r="M1797" s="21" t="str">
        <f aca="false">IF(A1797="","",IF(COUNTIF($A$9:A1797,A1797)=1,MAX($M$8:M1796)+1,""))</f>
        <v/>
      </c>
    </row>
    <row r="1798" customFormat="false" ht="15" hidden="false" customHeight="false" outlineLevel="0" collapsed="false">
      <c r="A1798" s="8"/>
      <c r="B1798" s="17"/>
      <c r="C1798" s="19"/>
      <c r="D1798" s="8"/>
      <c r="E1798" s="18"/>
      <c r="F1798" s="18"/>
      <c r="G1798" s="8"/>
      <c r="H1798" s="8"/>
      <c r="I1798" s="8"/>
      <c r="J1798" s="8"/>
      <c r="K1798" s="10" t="str">
        <f aca="false">IF(A1798="","",IF(ABS(SUMIFS($E$9:$E$2008,$A$9:$A$2008,A1798)-SUMIFS($F$9:$F$2008,$A$9:$A$2008,A1798))&lt;0.5,"Yes","No"))</f>
        <v/>
      </c>
      <c r="L1798" s="10" t="str">
        <f aca="false">IF(A1798="","",IF(IF(K1798="No","Does not balance | ","")&amp;IF(I1798="","Not approved | ",IF(UPPER(TRIM(H1798))=UPPER(TRIM(I1798)),"Self-approved | ",""))&amp;IF(J1798="","No support | ","")&amp;IF(WEEKDAY(B1798,2)&gt;5,"Weekend posting | ","")&amp;IF(COUNTIF(Settings!$A$14:$A$43,B1798)&gt;0,"Holiday posting | ","")&amp;IF(B1798&gt;Settings!$C$8,"Posted after close | ","")&amp;IF(OR(B1798&lt;Settings!$C$6,B1798&gt;Settings!$C$7),"Outside period | ","")&amp;IF(COUNTIF(Settings!$E$14:$E$43,C1798&amp;"")&gt;0,"Sensitive account | ","")&amp;IF(AND(MAX(N(E1798),N(F1798))&gt;=Settings!$C$9,MOD(MAX(N(E1798),N(F1798)),Settings!$C$10)=0),"Round amount | ","")="","",LEFT(IF(K1798="No","Does not balance | ","")&amp;IF(I1798="","Not approved | ",IF(UPPER(TRIM(H1798))=UPPER(TRIM(I1798)),"Self-approved | ",""))&amp;IF(J1798="","No support | ","")&amp;IF(WEEKDAY(B1798,2)&gt;5,"Weekend posting | ","")&amp;IF(COUNTIF(Settings!$A$14:$A$43,B1798)&gt;0,"Holiday posting | ","")&amp;IF(B1798&gt;Settings!$C$8,"Posted after close | ","")&amp;IF(OR(B1798&lt;Settings!$C$6,B1798&gt;Settings!$C$7),"Outside period | ","")&amp;IF(COUNTIF(Settings!$E$14:$E$43,C1798&amp;"")&gt;0,"Sensitive account | ","")&amp;IF(AND(MAX(N(E1798),N(F1798))&gt;=Settings!$C$9,MOD(MAX(N(E1798),N(F1798)),Settings!$C$10)=0),"Round amount | ",""),LEN(IF(K1798="No","Does not balance | ","")&amp;IF(I1798="","Not approved | ",IF(UPPER(TRIM(H1798))=UPPER(TRIM(I1798)),"Self-approved | ",""))&amp;IF(J1798="","No support | ","")&amp;IF(WEEKDAY(B1798,2)&gt;5,"Weekend posting | ","")&amp;IF(COUNTIF(Settings!$A$14:$A$43,B1798)&gt;0,"Holiday posting | ","")&amp;IF(B1798&gt;Settings!$C$8,"Posted after close | ","")&amp;IF(OR(B1798&lt;Settings!$C$6,B1798&gt;Settings!$C$7),"Outside period | ","")&amp;IF(COUNTIF(Settings!$E$14:$E$43,C1798&amp;"")&gt;0,"Sensitive account | ","")&amp;IF(AND(MAX(N(E1798),N(F1798))&gt;=Settings!$C$9,MOD(MAX(N(E1798),N(F1798)),Settings!$C$10)=0),"Round amount | ",""))-3)))</f>
        <v/>
      </c>
      <c r="M1798" s="21" t="str">
        <f aca="false">IF(A1798="","",IF(COUNTIF($A$9:A1798,A1798)=1,MAX($M$8:M1797)+1,""))</f>
        <v/>
      </c>
    </row>
    <row r="1799" customFormat="false" ht="15" hidden="false" customHeight="false" outlineLevel="0" collapsed="false">
      <c r="A1799" s="8"/>
      <c r="B1799" s="17"/>
      <c r="C1799" s="19"/>
      <c r="D1799" s="8"/>
      <c r="E1799" s="18"/>
      <c r="F1799" s="18"/>
      <c r="G1799" s="8"/>
      <c r="H1799" s="8"/>
      <c r="I1799" s="8"/>
      <c r="J1799" s="8"/>
      <c r="K1799" s="10" t="str">
        <f aca="false">IF(A1799="","",IF(ABS(SUMIFS($E$9:$E$2008,$A$9:$A$2008,A1799)-SUMIFS($F$9:$F$2008,$A$9:$A$2008,A1799))&lt;0.5,"Yes","No"))</f>
        <v/>
      </c>
      <c r="L1799" s="10" t="str">
        <f aca="false">IF(A1799="","",IF(IF(K1799="No","Does not balance | ","")&amp;IF(I1799="","Not approved | ",IF(UPPER(TRIM(H1799))=UPPER(TRIM(I1799)),"Self-approved | ",""))&amp;IF(J1799="","No support | ","")&amp;IF(WEEKDAY(B1799,2)&gt;5,"Weekend posting | ","")&amp;IF(COUNTIF(Settings!$A$14:$A$43,B1799)&gt;0,"Holiday posting | ","")&amp;IF(B1799&gt;Settings!$C$8,"Posted after close | ","")&amp;IF(OR(B1799&lt;Settings!$C$6,B1799&gt;Settings!$C$7),"Outside period | ","")&amp;IF(COUNTIF(Settings!$E$14:$E$43,C1799&amp;"")&gt;0,"Sensitive account | ","")&amp;IF(AND(MAX(N(E1799),N(F1799))&gt;=Settings!$C$9,MOD(MAX(N(E1799),N(F1799)),Settings!$C$10)=0),"Round amount | ","")="","",LEFT(IF(K1799="No","Does not balance | ","")&amp;IF(I1799="","Not approved | ",IF(UPPER(TRIM(H1799))=UPPER(TRIM(I1799)),"Self-approved | ",""))&amp;IF(J1799="","No support | ","")&amp;IF(WEEKDAY(B1799,2)&gt;5,"Weekend posting | ","")&amp;IF(COUNTIF(Settings!$A$14:$A$43,B1799)&gt;0,"Holiday posting | ","")&amp;IF(B1799&gt;Settings!$C$8,"Posted after close | ","")&amp;IF(OR(B1799&lt;Settings!$C$6,B1799&gt;Settings!$C$7),"Outside period | ","")&amp;IF(COUNTIF(Settings!$E$14:$E$43,C1799&amp;"")&gt;0,"Sensitive account | ","")&amp;IF(AND(MAX(N(E1799),N(F1799))&gt;=Settings!$C$9,MOD(MAX(N(E1799),N(F1799)),Settings!$C$10)=0),"Round amount | ",""),LEN(IF(K1799="No","Does not balance | ","")&amp;IF(I1799="","Not approved | ",IF(UPPER(TRIM(H1799))=UPPER(TRIM(I1799)),"Self-approved | ",""))&amp;IF(J1799="","No support | ","")&amp;IF(WEEKDAY(B1799,2)&gt;5,"Weekend posting | ","")&amp;IF(COUNTIF(Settings!$A$14:$A$43,B1799)&gt;0,"Holiday posting | ","")&amp;IF(B1799&gt;Settings!$C$8,"Posted after close | ","")&amp;IF(OR(B1799&lt;Settings!$C$6,B1799&gt;Settings!$C$7),"Outside period | ","")&amp;IF(COUNTIF(Settings!$E$14:$E$43,C1799&amp;"")&gt;0,"Sensitive account | ","")&amp;IF(AND(MAX(N(E1799),N(F1799))&gt;=Settings!$C$9,MOD(MAX(N(E1799),N(F1799)),Settings!$C$10)=0),"Round amount | ",""))-3)))</f>
        <v/>
      </c>
      <c r="M1799" s="21" t="str">
        <f aca="false">IF(A1799="","",IF(COUNTIF($A$9:A1799,A1799)=1,MAX($M$8:M1798)+1,""))</f>
        <v/>
      </c>
    </row>
    <row r="1800" customFormat="false" ht="15" hidden="false" customHeight="false" outlineLevel="0" collapsed="false">
      <c r="A1800" s="8"/>
      <c r="B1800" s="17"/>
      <c r="C1800" s="19"/>
      <c r="D1800" s="8"/>
      <c r="E1800" s="18"/>
      <c r="F1800" s="18"/>
      <c r="G1800" s="8"/>
      <c r="H1800" s="8"/>
      <c r="I1800" s="8"/>
      <c r="J1800" s="8"/>
      <c r="K1800" s="10" t="str">
        <f aca="false">IF(A1800="","",IF(ABS(SUMIFS($E$9:$E$2008,$A$9:$A$2008,A1800)-SUMIFS($F$9:$F$2008,$A$9:$A$2008,A1800))&lt;0.5,"Yes","No"))</f>
        <v/>
      </c>
      <c r="L1800" s="10" t="str">
        <f aca="false">IF(A1800="","",IF(IF(K1800="No","Does not balance | ","")&amp;IF(I1800="","Not approved | ",IF(UPPER(TRIM(H1800))=UPPER(TRIM(I1800)),"Self-approved | ",""))&amp;IF(J1800="","No support | ","")&amp;IF(WEEKDAY(B1800,2)&gt;5,"Weekend posting | ","")&amp;IF(COUNTIF(Settings!$A$14:$A$43,B1800)&gt;0,"Holiday posting | ","")&amp;IF(B1800&gt;Settings!$C$8,"Posted after close | ","")&amp;IF(OR(B1800&lt;Settings!$C$6,B1800&gt;Settings!$C$7),"Outside period | ","")&amp;IF(COUNTIF(Settings!$E$14:$E$43,C1800&amp;"")&gt;0,"Sensitive account | ","")&amp;IF(AND(MAX(N(E1800),N(F1800))&gt;=Settings!$C$9,MOD(MAX(N(E1800),N(F1800)),Settings!$C$10)=0),"Round amount | ","")="","",LEFT(IF(K1800="No","Does not balance | ","")&amp;IF(I1800="","Not approved | ",IF(UPPER(TRIM(H1800))=UPPER(TRIM(I1800)),"Self-approved | ",""))&amp;IF(J1800="","No support | ","")&amp;IF(WEEKDAY(B1800,2)&gt;5,"Weekend posting | ","")&amp;IF(COUNTIF(Settings!$A$14:$A$43,B1800)&gt;0,"Holiday posting | ","")&amp;IF(B1800&gt;Settings!$C$8,"Posted after close | ","")&amp;IF(OR(B1800&lt;Settings!$C$6,B1800&gt;Settings!$C$7),"Outside period | ","")&amp;IF(COUNTIF(Settings!$E$14:$E$43,C1800&amp;"")&gt;0,"Sensitive account | ","")&amp;IF(AND(MAX(N(E1800),N(F1800))&gt;=Settings!$C$9,MOD(MAX(N(E1800),N(F1800)),Settings!$C$10)=0),"Round amount | ",""),LEN(IF(K1800="No","Does not balance | ","")&amp;IF(I1800="","Not approved | ",IF(UPPER(TRIM(H1800))=UPPER(TRIM(I1800)),"Self-approved | ",""))&amp;IF(J1800="","No support | ","")&amp;IF(WEEKDAY(B1800,2)&gt;5,"Weekend posting | ","")&amp;IF(COUNTIF(Settings!$A$14:$A$43,B1800)&gt;0,"Holiday posting | ","")&amp;IF(B1800&gt;Settings!$C$8,"Posted after close | ","")&amp;IF(OR(B1800&lt;Settings!$C$6,B1800&gt;Settings!$C$7),"Outside period | ","")&amp;IF(COUNTIF(Settings!$E$14:$E$43,C1800&amp;"")&gt;0,"Sensitive account | ","")&amp;IF(AND(MAX(N(E1800),N(F1800))&gt;=Settings!$C$9,MOD(MAX(N(E1800),N(F1800)),Settings!$C$10)=0),"Round amount | ",""))-3)))</f>
        <v/>
      </c>
      <c r="M1800" s="21" t="str">
        <f aca="false">IF(A1800="","",IF(COUNTIF($A$9:A1800,A1800)=1,MAX($M$8:M1799)+1,""))</f>
        <v/>
      </c>
    </row>
    <row r="1801" customFormat="false" ht="15" hidden="false" customHeight="false" outlineLevel="0" collapsed="false">
      <c r="A1801" s="8"/>
      <c r="B1801" s="17"/>
      <c r="C1801" s="19"/>
      <c r="D1801" s="8"/>
      <c r="E1801" s="18"/>
      <c r="F1801" s="18"/>
      <c r="G1801" s="8"/>
      <c r="H1801" s="8"/>
      <c r="I1801" s="8"/>
      <c r="J1801" s="8"/>
      <c r="K1801" s="10" t="str">
        <f aca="false">IF(A1801="","",IF(ABS(SUMIFS($E$9:$E$2008,$A$9:$A$2008,A1801)-SUMIFS($F$9:$F$2008,$A$9:$A$2008,A1801))&lt;0.5,"Yes","No"))</f>
        <v/>
      </c>
      <c r="L1801" s="10" t="str">
        <f aca="false">IF(A1801="","",IF(IF(K1801="No","Does not balance | ","")&amp;IF(I1801="","Not approved | ",IF(UPPER(TRIM(H1801))=UPPER(TRIM(I1801)),"Self-approved | ",""))&amp;IF(J1801="","No support | ","")&amp;IF(WEEKDAY(B1801,2)&gt;5,"Weekend posting | ","")&amp;IF(COUNTIF(Settings!$A$14:$A$43,B1801)&gt;0,"Holiday posting | ","")&amp;IF(B1801&gt;Settings!$C$8,"Posted after close | ","")&amp;IF(OR(B1801&lt;Settings!$C$6,B1801&gt;Settings!$C$7),"Outside period | ","")&amp;IF(COUNTIF(Settings!$E$14:$E$43,C1801&amp;"")&gt;0,"Sensitive account | ","")&amp;IF(AND(MAX(N(E1801),N(F1801))&gt;=Settings!$C$9,MOD(MAX(N(E1801),N(F1801)),Settings!$C$10)=0),"Round amount | ","")="","",LEFT(IF(K1801="No","Does not balance | ","")&amp;IF(I1801="","Not approved | ",IF(UPPER(TRIM(H1801))=UPPER(TRIM(I1801)),"Self-approved | ",""))&amp;IF(J1801="","No support | ","")&amp;IF(WEEKDAY(B1801,2)&gt;5,"Weekend posting | ","")&amp;IF(COUNTIF(Settings!$A$14:$A$43,B1801)&gt;0,"Holiday posting | ","")&amp;IF(B1801&gt;Settings!$C$8,"Posted after close | ","")&amp;IF(OR(B1801&lt;Settings!$C$6,B1801&gt;Settings!$C$7),"Outside period | ","")&amp;IF(COUNTIF(Settings!$E$14:$E$43,C1801&amp;"")&gt;0,"Sensitive account | ","")&amp;IF(AND(MAX(N(E1801),N(F1801))&gt;=Settings!$C$9,MOD(MAX(N(E1801),N(F1801)),Settings!$C$10)=0),"Round amount | ",""),LEN(IF(K1801="No","Does not balance | ","")&amp;IF(I1801="","Not approved | ",IF(UPPER(TRIM(H1801))=UPPER(TRIM(I1801)),"Self-approved | ",""))&amp;IF(J1801="","No support | ","")&amp;IF(WEEKDAY(B1801,2)&gt;5,"Weekend posting | ","")&amp;IF(COUNTIF(Settings!$A$14:$A$43,B1801)&gt;0,"Holiday posting | ","")&amp;IF(B1801&gt;Settings!$C$8,"Posted after close | ","")&amp;IF(OR(B1801&lt;Settings!$C$6,B1801&gt;Settings!$C$7),"Outside period | ","")&amp;IF(COUNTIF(Settings!$E$14:$E$43,C1801&amp;"")&gt;0,"Sensitive account | ","")&amp;IF(AND(MAX(N(E1801),N(F1801))&gt;=Settings!$C$9,MOD(MAX(N(E1801),N(F1801)),Settings!$C$10)=0),"Round amount | ",""))-3)))</f>
        <v/>
      </c>
      <c r="M1801" s="21" t="str">
        <f aca="false">IF(A1801="","",IF(COUNTIF($A$9:A1801,A1801)=1,MAX($M$8:M1800)+1,""))</f>
        <v/>
      </c>
    </row>
    <row r="1802" customFormat="false" ht="15" hidden="false" customHeight="false" outlineLevel="0" collapsed="false">
      <c r="A1802" s="8"/>
      <c r="B1802" s="17"/>
      <c r="C1802" s="19"/>
      <c r="D1802" s="8"/>
      <c r="E1802" s="18"/>
      <c r="F1802" s="18"/>
      <c r="G1802" s="8"/>
      <c r="H1802" s="8"/>
      <c r="I1802" s="8"/>
      <c r="J1802" s="8"/>
      <c r="K1802" s="10" t="str">
        <f aca="false">IF(A1802="","",IF(ABS(SUMIFS($E$9:$E$2008,$A$9:$A$2008,A1802)-SUMIFS($F$9:$F$2008,$A$9:$A$2008,A1802))&lt;0.5,"Yes","No"))</f>
        <v/>
      </c>
      <c r="L1802" s="10" t="str">
        <f aca="false">IF(A1802="","",IF(IF(K1802="No","Does not balance | ","")&amp;IF(I1802="","Not approved | ",IF(UPPER(TRIM(H1802))=UPPER(TRIM(I1802)),"Self-approved | ",""))&amp;IF(J1802="","No support | ","")&amp;IF(WEEKDAY(B1802,2)&gt;5,"Weekend posting | ","")&amp;IF(COUNTIF(Settings!$A$14:$A$43,B1802)&gt;0,"Holiday posting | ","")&amp;IF(B1802&gt;Settings!$C$8,"Posted after close | ","")&amp;IF(OR(B1802&lt;Settings!$C$6,B1802&gt;Settings!$C$7),"Outside period | ","")&amp;IF(COUNTIF(Settings!$E$14:$E$43,C1802&amp;"")&gt;0,"Sensitive account | ","")&amp;IF(AND(MAX(N(E1802),N(F1802))&gt;=Settings!$C$9,MOD(MAX(N(E1802),N(F1802)),Settings!$C$10)=0),"Round amount | ","")="","",LEFT(IF(K1802="No","Does not balance | ","")&amp;IF(I1802="","Not approved | ",IF(UPPER(TRIM(H1802))=UPPER(TRIM(I1802)),"Self-approved | ",""))&amp;IF(J1802="","No support | ","")&amp;IF(WEEKDAY(B1802,2)&gt;5,"Weekend posting | ","")&amp;IF(COUNTIF(Settings!$A$14:$A$43,B1802)&gt;0,"Holiday posting | ","")&amp;IF(B1802&gt;Settings!$C$8,"Posted after close | ","")&amp;IF(OR(B1802&lt;Settings!$C$6,B1802&gt;Settings!$C$7),"Outside period | ","")&amp;IF(COUNTIF(Settings!$E$14:$E$43,C1802&amp;"")&gt;0,"Sensitive account | ","")&amp;IF(AND(MAX(N(E1802),N(F1802))&gt;=Settings!$C$9,MOD(MAX(N(E1802),N(F1802)),Settings!$C$10)=0),"Round amount | ",""),LEN(IF(K1802="No","Does not balance | ","")&amp;IF(I1802="","Not approved | ",IF(UPPER(TRIM(H1802))=UPPER(TRIM(I1802)),"Self-approved | ",""))&amp;IF(J1802="","No support | ","")&amp;IF(WEEKDAY(B1802,2)&gt;5,"Weekend posting | ","")&amp;IF(COUNTIF(Settings!$A$14:$A$43,B1802)&gt;0,"Holiday posting | ","")&amp;IF(B1802&gt;Settings!$C$8,"Posted after close | ","")&amp;IF(OR(B1802&lt;Settings!$C$6,B1802&gt;Settings!$C$7),"Outside period | ","")&amp;IF(COUNTIF(Settings!$E$14:$E$43,C1802&amp;"")&gt;0,"Sensitive account | ","")&amp;IF(AND(MAX(N(E1802),N(F1802))&gt;=Settings!$C$9,MOD(MAX(N(E1802),N(F1802)),Settings!$C$10)=0),"Round amount | ",""))-3)))</f>
        <v/>
      </c>
      <c r="M1802" s="21" t="str">
        <f aca="false">IF(A1802="","",IF(COUNTIF($A$9:A1802,A1802)=1,MAX($M$8:M1801)+1,""))</f>
        <v/>
      </c>
    </row>
    <row r="1803" customFormat="false" ht="15" hidden="false" customHeight="false" outlineLevel="0" collapsed="false">
      <c r="A1803" s="8"/>
      <c r="B1803" s="17"/>
      <c r="C1803" s="19"/>
      <c r="D1803" s="8"/>
      <c r="E1803" s="18"/>
      <c r="F1803" s="18"/>
      <c r="G1803" s="8"/>
      <c r="H1803" s="8"/>
      <c r="I1803" s="8"/>
      <c r="J1803" s="8"/>
      <c r="K1803" s="10" t="str">
        <f aca="false">IF(A1803="","",IF(ABS(SUMIFS($E$9:$E$2008,$A$9:$A$2008,A1803)-SUMIFS($F$9:$F$2008,$A$9:$A$2008,A1803))&lt;0.5,"Yes","No"))</f>
        <v/>
      </c>
      <c r="L1803" s="10" t="str">
        <f aca="false">IF(A1803="","",IF(IF(K1803="No","Does not balance | ","")&amp;IF(I1803="","Not approved | ",IF(UPPER(TRIM(H1803))=UPPER(TRIM(I1803)),"Self-approved | ",""))&amp;IF(J1803="","No support | ","")&amp;IF(WEEKDAY(B1803,2)&gt;5,"Weekend posting | ","")&amp;IF(COUNTIF(Settings!$A$14:$A$43,B1803)&gt;0,"Holiday posting | ","")&amp;IF(B1803&gt;Settings!$C$8,"Posted after close | ","")&amp;IF(OR(B1803&lt;Settings!$C$6,B1803&gt;Settings!$C$7),"Outside period | ","")&amp;IF(COUNTIF(Settings!$E$14:$E$43,C1803&amp;"")&gt;0,"Sensitive account | ","")&amp;IF(AND(MAX(N(E1803),N(F1803))&gt;=Settings!$C$9,MOD(MAX(N(E1803),N(F1803)),Settings!$C$10)=0),"Round amount | ","")="","",LEFT(IF(K1803="No","Does not balance | ","")&amp;IF(I1803="","Not approved | ",IF(UPPER(TRIM(H1803))=UPPER(TRIM(I1803)),"Self-approved | ",""))&amp;IF(J1803="","No support | ","")&amp;IF(WEEKDAY(B1803,2)&gt;5,"Weekend posting | ","")&amp;IF(COUNTIF(Settings!$A$14:$A$43,B1803)&gt;0,"Holiday posting | ","")&amp;IF(B1803&gt;Settings!$C$8,"Posted after close | ","")&amp;IF(OR(B1803&lt;Settings!$C$6,B1803&gt;Settings!$C$7),"Outside period | ","")&amp;IF(COUNTIF(Settings!$E$14:$E$43,C1803&amp;"")&gt;0,"Sensitive account | ","")&amp;IF(AND(MAX(N(E1803),N(F1803))&gt;=Settings!$C$9,MOD(MAX(N(E1803),N(F1803)),Settings!$C$10)=0),"Round amount | ",""),LEN(IF(K1803="No","Does not balance | ","")&amp;IF(I1803="","Not approved | ",IF(UPPER(TRIM(H1803))=UPPER(TRIM(I1803)),"Self-approved | ",""))&amp;IF(J1803="","No support | ","")&amp;IF(WEEKDAY(B1803,2)&gt;5,"Weekend posting | ","")&amp;IF(COUNTIF(Settings!$A$14:$A$43,B1803)&gt;0,"Holiday posting | ","")&amp;IF(B1803&gt;Settings!$C$8,"Posted after close | ","")&amp;IF(OR(B1803&lt;Settings!$C$6,B1803&gt;Settings!$C$7),"Outside period | ","")&amp;IF(COUNTIF(Settings!$E$14:$E$43,C1803&amp;"")&gt;0,"Sensitive account | ","")&amp;IF(AND(MAX(N(E1803),N(F1803))&gt;=Settings!$C$9,MOD(MAX(N(E1803),N(F1803)),Settings!$C$10)=0),"Round amount | ",""))-3)))</f>
        <v/>
      </c>
      <c r="M1803" s="21" t="str">
        <f aca="false">IF(A1803="","",IF(COUNTIF($A$9:A1803,A1803)=1,MAX($M$8:M1802)+1,""))</f>
        <v/>
      </c>
    </row>
    <row r="1804" customFormat="false" ht="15" hidden="false" customHeight="false" outlineLevel="0" collapsed="false">
      <c r="A1804" s="8"/>
      <c r="B1804" s="17"/>
      <c r="C1804" s="19"/>
      <c r="D1804" s="8"/>
      <c r="E1804" s="18"/>
      <c r="F1804" s="18"/>
      <c r="G1804" s="8"/>
      <c r="H1804" s="8"/>
      <c r="I1804" s="8"/>
      <c r="J1804" s="8"/>
      <c r="K1804" s="10" t="str">
        <f aca="false">IF(A1804="","",IF(ABS(SUMIFS($E$9:$E$2008,$A$9:$A$2008,A1804)-SUMIFS($F$9:$F$2008,$A$9:$A$2008,A1804))&lt;0.5,"Yes","No"))</f>
        <v/>
      </c>
      <c r="L1804" s="10" t="str">
        <f aca="false">IF(A1804="","",IF(IF(K1804="No","Does not balance | ","")&amp;IF(I1804="","Not approved | ",IF(UPPER(TRIM(H1804))=UPPER(TRIM(I1804)),"Self-approved | ",""))&amp;IF(J1804="","No support | ","")&amp;IF(WEEKDAY(B1804,2)&gt;5,"Weekend posting | ","")&amp;IF(COUNTIF(Settings!$A$14:$A$43,B1804)&gt;0,"Holiday posting | ","")&amp;IF(B1804&gt;Settings!$C$8,"Posted after close | ","")&amp;IF(OR(B1804&lt;Settings!$C$6,B1804&gt;Settings!$C$7),"Outside period | ","")&amp;IF(COUNTIF(Settings!$E$14:$E$43,C1804&amp;"")&gt;0,"Sensitive account | ","")&amp;IF(AND(MAX(N(E1804),N(F1804))&gt;=Settings!$C$9,MOD(MAX(N(E1804),N(F1804)),Settings!$C$10)=0),"Round amount | ","")="","",LEFT(IF(K1804="No","Does not balance | ","")&amp;IF(I1804="","Not approved | ",IF(UPPER(TRIM(H1804))=UPPER(TRIM(I1804)),"Self-approved | ",""))&amp;IF(J1804="","No support | ","")&amp;IF(WEEKDAY(B1804,2)&gt;5,"Weekend posting | ","")&amp;IF(COUNTIF(Settings!$A$14:$A$43,B1804)&gt;0,"Holiday posting | ","")&amp;IF(B1804&gt;Settings!$C$8,"Posted after close | ","")&amp;IF(OR(B1804&lt;Settings!$C$6,B1804&gt;Settings!$C$7),"Outside period | ","")&amp;IF(COUNTIF(Settings!$E$14:$E$43,C1804&amp;"")&gt;0,"Sensitive account | ","")&amp;IF(AND(MAX(N(E1804),N(F1804))&gt;=Settings!$C$9,MOD(MAX(N(E1804),N(F1804)),Settings!$C$10)=0),"Round amount | ",""),LEN(IF(K1804="No","Does not balance | ","")&amp;IF(I1804="","Not approved | ",IF(UPPER(TRIM(H1804))=UPPER(TRIM(I1804)),"Self-approved | ",""))&amp;IF(J1804="","No support | ","")&amp;IF(WEEKDAY(B1804,2)&gt;5,"Weekend posting | ","")&amp;IF(COUNTIF(Settings!$A$14:$A$43,B1804)&gt;0,"Holiday posting | ","")&amp;IF(B1804&gt;Settings!$C$8,"Posted after close | ","")&amp;IF(OR(B1804&lt;Settings!$C$6,B1804&gt;Settings!$C$7),"Outside period | ","")&amp;IF(COUNTIF(Settings!$E$14:$E$43,C1804&amp;"")&gt;0,"Sensitive account | ","")&amp;IF(AND(MAX(N(E1804),N(F1804))&gt;=Settings!$C$9,MOD(MAX(N(E1804),N(F1804)),Settings!$C$10)=0),"Round amount | ",""))-3)))</f>
        <v/>
      </c>
      <c r="M1804" s="21" t="str">
        <f aca="false">IF(A1804="","",IF(COUNTIF($A$9:A1804,A1804)=1,MAX($M$8:M1803)+1,""))</f>
        <v/>
      </c>
    </row>
    <row r="1805" customFormat="false" ht="15" hidden="false" customHeight="false" outlineLevel="0" collapsed="false">
      <c r="A1805" s="8"/>
      <c r="B1805" s="17"/>
      <c r="C1805" s="19"/>
      <c r="D1805" s="8"/>
      <c r="E1805" s="18"/>
      <c r="F1805" s="18"/>
      <c r="G1805" s="8"/>
      <c r="H1805" s="8"/>
      <c r="I1805" s="8"/>
      <c r="J1805" s="8"/>
      <c r="K1805" s="10" t="str">
        <f aca="false">IF(A1805="","",IF(ABS(SUMIFS($E$9:$E$2008,$A$9:$A$2008,A1805)-SUMIFS($F$9:$F$2008,$A$9:$A$2008,A1805))&lt;0.5,"Yes","No"))</f>
        <v/>
      </c>
      <c r="L1805" s="10" t="str">
        <f aca="false">IF(A1805="","",IF(IF(K1805="No","Does not balance | ","")&amp;IF(I1805="","Not approved | ",IF(UPPER(TRIM(H1805))=UPPER(TRIM(I1805)),"Self-approved | ",""))&amp;IF(J1805="","No support | ","")&amp;IF(WEEKDAY(B1805,2)&gt;5,"Weekend posting | ","")&amp;IF(COUNTIF(Settings!$A$14:$A$43,B1805)&gt;0,"Holiday posting | ","")&amp;IF(B1805&gt;Settings!$C$8,"Posted after close | ","")&amp;IF(OR(B1805&lt;Settings!$C$6,B1805&gt;Settings!$C$7),"Outside period | ","")&amp;IF(COUNTIF(Settings!$E$14:$E$43,C1805&amp;"")&gt;0,"Sensitive account | ","")&amp;IF(AND(MAX(N(E1805),N(F1805))&gt;=Settings!$C$9,MOD(MAX(N(E1805),N(F1805)),Settings!$C$10)=0),"Round amount | ","")="","",LEFT(IF(K1805="No","Does not balance | ","")&amp;IF(I1805="","Not approved | ",IF(UPPER(TRIM(H1805))=UPPER(TRIM(I1805)),"Self-approved | ",""))&amp;IF(J1805="","No support | ","")&amp;IF(WEEKDAY(B1805,2)&gt;5,"Weekend posting | ","")&amp;IF(COUNTIF(Settings!$A$14:$A$43,B1805)&gt;0,"Holiday posting | ","")&amp;IF(B1805&gt;Settings!$C$8,"Posted after close | ","")&amp;IF(OR(B1805&lt;Settings!$C$6,B1805&gt;Settings!$C$7),"Outside period | ","")&amp;IF(COUNTIF(Settings!$E$14:$E$43,C1805&amp;"")&gt;0,"Sensitive account | ","")&amp;IF(AND(MAX(N(E1805),N(F1805))&gt;=Settings!$C$9,MOD(MAX(N(E1805),N(F1805)),Settings!$C$10)=0),"Round amount | ",""),LEN(IF(K1805="No","Does not balance | ","")&amp;IF(I1805="","Not approved | ",IF(UPPER(TRIM(H1805))=UPPER(TRIM(I1805)),"Self-approved | ",""))&amp;IF(J1805="","No support | ","")&amp;IF(WEEKDAY(B1805,2)&gt;5,"Weekend posting | ","")&amp;IF(COUNTIF(Settings!$A$14:$A$43,B1805)&gt;0,"Holiday posting | ","")&amp;IF(B1805&gt;Settings!$C$8,"Posted after close | ","")&amp;IF(OR(B1805&lt;Settings!$C$6,B1805&gt;Settings!$C$7),"Outside period | ","")&amp;IF(COUNTIF(Settings!$E$14:$E$43,C1805&amp;"")&gt;0,"Sensitive account | ","")&amp;IF(AND(MAX(N(E1805),N(F1805))&gt;=Settings!$C$9,MOD(MAX(N(E1805),N(F1805)),Settings!$C$10)=0),"Round amount | ",""))-3)))</f>
        <v/>
      </c>
      <c r="M1805" s="21" t="str">
        <f aca="false">IF(A1805="","",IF(COUNTIF($A$9:A1805,A1805)=1,MAX($M$8:M1804)+1,""))</f>
        <v/>
      </c>
    </row>
    <row r="1806" customFormat="false" ht="15" hidden="false" customHeight="false" outlineLevel="0" collapsed="false">
      <c r="A1806" s="8"/>
      <c r="B1806" s="17"/>
      <c r="C1806" s="19"/>
      <c r="D1806" s="8"/>
      <c r="E1806" s="18"/>
      <c r="F1806" s="18"/>
      <c r="G1806" s="8"/>
      <c r="H1806" s="8"/>
      <c r="I1806" s="8"/>
      <c r="J1806" s="8"/>
      <c r="K1806" s="10" t="str">
        <f aca="false">IF(A1806="","",IF(ABS(SUMIFS($E$9:$E$2008,$A$9:$A$2008,A1806)-SUMIFS($F$9:$F$2008,$A$9:$A$2008,A1806))&lt;0.5,"Yes","No"))</f>
        <v/>
      </c>
      <c r="L1806" s="10" t="str">
        <f aca="false">IF(A1806="","",IF(IF(K1806="No","Does not balance | ","")&amp;IF(I1806="","Not approved | ",IF(UPPER(TRIM(H1806))=UPPER(TRIM(I1806)),"Self-approved | ",""))&amp;IF(J1806="","No support | ","")&amp;IF(WEEKDAY(B1806,2)&gt;5,"Weekend posting | ","")&amp;IF(COUNTIF(Settings!$A$14:$A$43,B1806)&gt;0,"Holiday posting | ","")&amp;IF(B1806&gt;Settings!$C$8,"Posted after close | ","")&amp;IF(OR(B1806&lt;Settings!$C$6,B1806&gt;Settings!$C$7),"Outside period | ","")&amp;IF(COUNTIF(Settings!$E$14:$E$43,C1806&amp;"")&gt;0,"Sensitive account | ","")&amp;IF(AND(MAX(N(E1806),N(F1806))&gt;=Settings!$C$9,MOD(MAX(N(E1806),N(F1806)),Settings!$C$10)=0),"Round amount | ","")="","",LEFT(IF(K1806="No","Does not balance | ","")&amp;IF(I1806="","Not approved | ",IF(UPPER(TRIM(H1806))=UPPER(TRIM(I1806)),"Self-approved | ",""))&amp;IF(J1806="","No support | ","")&amp;IF(WEEKDAY(B1806,2)&gt;5,"Weekend posting | ","")&amp;IF(COUNTIF(Settings!$A$14:$A$43,B1806)&gt;0,"Holiday posting | ","")&amp;IF(B1806&gt;Settings!$C$8,"Posted after close | ","")&amp;IF(OR(B1806&lt;Settings!$C$6,B1806&gt;Settings!$C$7),"Outside period | ","")&amp;IF(COUNTIF(Settings!$E$14:$E$43,C1806&amp;"")&gt;0,"Sensitive account | ","")&amp;IF(AND(MAX(N(E1806),N(F1806))&gt;=Settings!$C$9,MOD(MAX(N(E1806),N(F1806)),Settings!$C$10)=0),"Round amount | ",""),LEN(IF(K1806="No","Does not balance | ","")&amp;IF(I1806="","Not approved | ",IF(UPPER(TRIM(H1806))=UPPER(TRIM(I1806)),"Self-approved | ",""))&amp;IF(J1806="","No support | ","")&amp;IF(WEEKDAY(B1806,2)&gt;5,"Weekend posting | ","")&amp;IF(COUNTIF(Settings!$A$14:$A$43,B1806)&gt;0,"Holiday posting | ","")&amp;IF(B1806&gt;Settings!$C$8,"Posted after close | ","")&amp;IF(OR(B1806&lt;Settings!$C$6,B1806&gt;Settings!$C$7),"Outside period | ","")&amp;IF(COUNTIF(Settings!$E$14:$E$43,C1806&amp;"")&gt;0,"Sensitive account | ","")&amp;IF(AND(MAX(N(E1806),N(F1806))&gt;=Settings!$C$9,MOD(MAX(N(E1806),N(F1806)),Settings!$C$10)=0),"Round amount | ",""))-3)))</f>
        <v/>
      </c>
      <c r="M1806" s="21" t="str">
        <f aca="false">IF(A1806="","",IF(COUNTIF($A$9:A1806,A1806)=1,MAX($M$8:M1805)+1,""))</f>
        <v/>
      </c>
    </row>
    <row r="1807" customFormat="false" ht="15" hidden="false" customHeight="false" outlineLevel="0" collapsed="false">
      <c r="A1807" s="8"/>
      <c r="B1807" s="17"/>
      <c r="C1807" s="19"/>
      <c r="D1807" s="8"/>
      <c r="E1807" s="18"/>
      <c r="F1807" s="18"/>
      <c r="G1807" s="8"/>
      <c r="H1807" s="8"/>
      <c r="I1807" s="8"/>
      <c r="J1807" s="8"/>
      <c r="K1807" s="10" t="str">
        <f aca="false">IF(A1807="","",IF(ABS(SUMIFS($E$9:$E$2008,$A$9:$A$2008,A1807)-SUMIFS($F$9:$F$2008,$A$9:$A$2008,A1807))&lt;0.5,"Yes","No"))</f>
        <v/>
      </c>
      <c r="L1807" s="10" t="str">
        <f aca="false">IF(A1807="","",IF(IF(K1807="No","Does not balance | ","")&amp;IF(I1807="","Not approved | ",IF(UPPER(TRIM(H1807))=UPPER(TRIM(I1807)),"Self-approved | ",""))&amp;IF(J1807="","No support | ","")&amp;IF(WEEKDAY(B1807,2)&gt;5,"Weekend posting | ","")&amp;IF(COUNTIF(Settings!$A$14:$A$43,B1807)&gt;0,"Holiday posting | ","")&amp;IF(B1807&gt;Settings!$C$8,"Posted after close | ","")&amp;IF(OR(B1807&lt;Settings!$C$6,B1807&gt;Settings!$C$7),"Outside period | ","")&amp;IF(COUNTIF(Settings!$E$14:$E$43,C1807&amp;"")&gt;0,"Sensitive account | ","")&amp;IF(AND(MAX(N(E1807),N(F1807))&gt;=Settings!$C$9,MOD(MAX(N(E1807),N(F1807)),Settings!$C$10)=0),"Round amount | ","")="","",LEFT(IF(K1807="No","Does not balance | ","")&amp;IF(I1807="","Not approved | ",IF(UPPER(TRIM(H1807))=UPPER(TRIM(I1807)),"Self-approved | ",""))&amp;IF(J1807="","No support | ","")&amp;IF(WEEKDAY(B1807,2)&gt;5,"Weekend posting | ","")&amp;IF(COUNTIF(Settings!$A$14:$A$43,B1807)&gt;0,"Holiday posting | ","")&amp;IF(B1807&gt;Settings!$C$8,"Posted after close | ","")&amp;IF(OR(B1807&lt;Settings!$C$6,B1807&gt;Settings!$C$7),"Outside period | ","")&amp;IF(COUNTIF(Settings!$E$14:$E$43,C1807&amp;"")&gt;0,"Sensitive account | ","")&amp;IF(AND(MAX(N(E1807),N(F1807))&gt;=Settings!$C$9,MOD(MAX(N(E1807),N(F1807)),Settings!$C$10)=0),"Round amount | ",""),LEN(IF(K1807="No","Does not balance | ","")&amp;IF(I1807="","Not approved | ",IF(UPPER(TRIM(H1807))=UPPER(TRIM(I1807)),"Self-approved | ",""))&amp;IF(J1807="","No support | ","")&amp;IF(WEEKDAY(B1807,2)&gt;5,"Weekend posting | ","")&amp;IF(COUNTIF(Settings!$A$14:$A$43,B1807)&gt;0,"Holiday posting | ","")&amp;IF(B1807&gt;Settings!$C$8,"Posted after close | ","")&amp;IF(OR(B1807&lt;Settings!$C$6,B1807&gt;Settings!$C$7),"Outside period | ","")&amp;IF(COUNTIF(Settings!$E$14:$E$43,C1807&amp;"")&gt;0,"Sensitive account | ","")&amp;IF(AND(MAX(N(E1807),N(F1807))&gt;=Settings!$C$9,MOD(MAX(N(E1807),N(F1807)),Settings!$C$10)=0),"Round amount | ",""))-3)))</f>
        <v/>
      </c>
      <c r="M1807" s="21" t="str">
        <f aca="false">IF(A1807="","",IF(COUNTIF($A$9:A1807,A1807)=1,MAX($M$8:M1806)+1,""))</f>
        <v/>
      </c>
    </row>
    <row r="1808" customFormat="false" ht="15" hidden="false" customHeight="false" outlineLevel="0" collapsed="false">
      <c r="A1808" s="8"/>
      <c r="B1808" s="17"/>
      <c r="C1808" s="19"/>
      <c r="D1808" s="8"/>
      <c r="E1808" s="18"/>
      <c r="F1808" s="18"/>
      <c r="G1808" s="8"/>
      <c r="H1808" s="8"/>
      <c r="I1808" s="8"/>
      <c r="J1808" s="8"/>
      <c r="K1808" s="10" t="str">
        <f aca="false">IF(A1808="","",IF(ABS(SUMIFS($E$9:$E$2008,$A$9:$A$2008,A1808)-SUMIFS($F$9:$F$2008,$A$9:$A$2008,A1808))&lt;0.5,"Yes","No"))</f>
        <v/>
      </c>
      <c r="L1808" s="10" t="str">
        <f aca="false">IF(A1808="","",IF(IF(K1808="No","Does not balance | ","")&amp;IF(I1808="","Not approved | ",IF(UPPER(TRIM(H1808))=UPPER(TRIM(I1808)),"Self-approved | ",""))&amp;IF(J1808="","No support | ","")&amp;IF(WEEKDAY(B1808,2)&gt;5,"Weekend posting | ","")&amp;IF(COUNTIF(Settings!$A$14:$A$43,B1808)&gt;0,"Holiday posting | ","")&amp;IF(B1808&gt;Settings!$C$8,"Posted after close | ","")&amp;IF(OR(B1808&lt;Settings!$C$6,B1808&gt;Settings!$C$7),"Outside period | ","")&amp;IF(COUNTIF(Settings!$E$14:$E$43,C1808&amp;"")&gt;0,"Sensitive account | ","")&amp;IF(AND(MAX(N(E1808),N(F1808))&gt;=Settings!$C$9,MOD(MAX(N(E1808),N(F1808)),Settings!$C$10)=0),"Round amount | ","")="","",LEFT(IF(K1808="No","Does not balance | ","")&amp;IF(I1808="","Not approved | ",IF(UPPER(TRIM(H1808))=UPPER(TRIM(I1808)),"Self-approved | ",""))&amp;IF(J1808="","No support | ","")&amp;IF(WEEKDAY(B1808,2)&gt;5,"Weekend posting | ","")&amp;IF(COUNTIF(Settings!$A$14:$A$43,B1808)&gt;0,"Holiday posting | ","")&amp;IF(B1808&gt;Settings!$C$8,"Posted after close | ","")&amp;IF(OR(B1808&lt;Settings!$C$6,B1808&gt;Settings!$C$7),"Outside period | ","")&amp;IF(COUNTIF(Settings!$E$14:$E$43,C1808&amp;"")&gt;0,"Sensitive account | ","")&amp;IF(AND(MAX(N(E1808),N(F1808))&gt;=Settings!$C$9,MOD(MAX(N(E1808),N(F1808)),Settings!$C$10)=0),"Round amount | ",""),LEN(IF(K1808="No","Does not balance | ","")&amp;IF(I1808="","Not approved | ",IF(UPPER(TRIM(H1808))=UPPER(TRIM(I1808)),"Self-approved | ",""))&amp;IF(J1808="","No support | ","")&amp;IF(WEEKDAY(B1808,2)&gt;5,"Weekend posting | ","")&amp;IF(COUNTIF(Settings!$A$14:$A$43,B1808)&gt;0,"Holiday posting | ","")&amp;IF(B1808&gt;Settings!$C$8,"Posted after close | ","")&amp;IF(OR(B1808&lt;Settings!$C$6,B1808&gt;Settings!$C$7),"Outside period | ","")&amp;IF(COUNTIF(Settings!$E$14:$E$43,C1808&amp;"")&gt;0,"Sensitive account | ","")&amp;IF(AND(MAX(N(E1808),N(F1808))&gt;=Settings!$C$9,MOD(MAX(N(E1808),N(F1808)),Settings!$C$10)=0),"Round amount | ",""))-3)))</f>
        <v/>
      </c>
      <c r="M1808" s="21" t="str">
        <f aca="false">IF(A1808="","",IF(COUNTIF($A$9:A1808,A1808)=1,MAX($M$8:M1807)+1,""))</f>
        <v/>
      </c>
    </row>
    <row r="1809" customFormat="false" ht="15" hidden="false" customHeight="false" outlineLevel="0" collapsed="false">
      <c r="A1809" s="8"/>
      <c r="B1809" s="17"/>
      <c r="C1809" s="19"/>
      <c r="D1809" s="8"/>
      <c r="E1809" s="18"/>
      <c r="F1809" s="18"/>
      <c r="G1809" s="8"/>
      <c r="H1809" s="8"/>
      <c r="I1809" s="8"/>
      <c r="J1809" s="8"/>
      <c r="K1809" s="10" t="str">
        <f aca="false">IF(A1809="","",IF(ABS(SUMIFS($E$9:$E$2008,$A$9:$A$2008,A1809)-SUMIFS($F$9:$F$2008,$A$9:$A$2008,A1809))&lt;0.5,"Yes","No"))</f>
        <v/>
      </c>
      <c r="L1809" s="10" t="str">
        <f aca="false">IF(A1809="","",IF(IF(K1809="No","Does not balance | ","")&amp;IF(I1809="","Not approved | ",IF(UPPER(TRIM(H1809))=UPPER(TRIM(I1809)),"Self-approved | ",""))&amp;IF(J1809="","No support | ","")&amp;IF(WEEKDAY(B1809,2)&gt;5,"Weekend posting | ","")&amp;IF(COUNTIF(Settings!$A$14:$A$43,B1809)&gt;0,"Holiday posting | ","")&amp;IF(B1809&gt;Settings!$C$8,"Posted after close | ","")&amp;IF(OR(B1809&lt;Settings!$C$6,B1809&gt;Settings!$C$7),"Outside period | ","")&amp;IF(COUNTIF(Settings!$E$14:$E$43,C1809&amp;"")&gt;0,"Sensitive account | ","")&amp;IF(AND(MAX(N(E1809),N(F1809))&gt;=Settings!$C$9,MOD(MAX(N(E1809),N(F1809)),Settings!$C$10)=0),"Round amount | ","")="","",LEFT(IF(K1809="No","Does not balance | ","")&amp;IF(I1809="","Not approved | ",IF(UPPER(TRIM(H1809))=UPPER(TRIM(I1809)),"Self-approved | ",""))&amp;IF(J1809="","No support | ","")&amp;IF(WEEKDAY(B1809,2)&gt;5,"Weekend posting | ","")&amp;IF(COUNTIF(Settings!$A$14:$A$43,B1809)&gt;0,"Holiday posting | ","")&amp;IF(B1809&gt;Settings!$C$8,"Posted after close | ","")&amp;IF(OR(B1809&lt;Settings!$C$6,B1809&gt;Settings!$C$7),"Outside period | ","")&amp;IF(COUNTIF(Settings!$E$14:$E$43,C1809&amp;"")&gt;0,"Sensitive account | ","")&amp;IF(AND(MAX(N(E1809),N(F1809))&gt;=Settings!$C$9,MOD(MAX(N(E1809),N(F1809)),Settings!$C$10)=0),"Round amount | ",""),LEN(IF(K1809="No","Does not balance | ","")&amp;IF(I1809="","Not approved | ",IF(UPPER(TRIM(H1809))=UPPER(TRIM(I1809)),"Self-approved | ",""))&amp;IF(J1809="","No support | ","")&amp;IF(WEEKDAY(B1809,2)&gt;5,"Weekend posting | ","")&amp;IF(COUNTIF(Settings!$A$14:$A$43,B1809)&gt;0,"Holiday posting | ","")&amp;IF(B1809&gt;Settings!$C$8,"Posted after close | ","")&amp;IF(OR(B1809&lt;Settings!$C$6,B1809&gt;Settings!$C$7),"Outside period | ","")&amp;IF(COUNTIF(Settings!$E$14:$E$43,C1809&amp;"")&gt;0,"Sensitive account | ","")&amp;IF(AND(MAX(N(E1809),N(F1809))&gt;=Settings!$C$9,MOD(MAX(N(E1809),N(F1809)),Settings!$C$10)=0),"Round amount | ",""))-3)))</f>
        <v/>
      </c>
      <c r="M1809" s="21" t="str">
        <f aca="false">IF(A1809="","",IF(COUNTIF($A$9:A1809,A1809)=1,MAX($M$8:M1808)+1,""))</f>
        <v/>
      </c>
    </row>
    <row r="1810" customFormat="false" ht="15" hidden="false" customHeight="false" outlineLevel="0" collapsed="false">
      <c r="A1810" s="8"/>
      <c r="B1810" s="17"/>
      <c r="C1810" s="19"/>
      <c r="D1810" s="8"/>
      <c r="E1810" s="18"/>
      <c r="F1810" s="18"/>
      <c r="G1810" s="8"/>
      <c r="H1810" s="8"/>
      <c r="I1810" s="8"/>
      <c r="J1810" s="8"/>
      <c r="K1810" s="10" t="str">
        <f aca="false">IF(A1810="","",IF(ABS(SUMIFS($E$9:$E$2008,$A$9:$A$2008,A1810)-SUMIFS($F$9:$F$2008,$A$9:$A$2008,A1810))&lt;0.5,"Yes","No"))</f>
        <v/>
      </c>
      <c r="L1810" s="10" t="str">
        <f aca="false">IF(A1810="","",IF(IF(K1810="No","Does not balance | ","")&amp;IF(I1810="","Not approved | ",IF(UPPER(TRIM(H1810))=UPPER(TRIM(I1810)),"Self-approved | ",""))&amp;IF(J1810="","No support | ","")&amp;IF(WEEKDAY(B1810,2)&gt;5,"Weekend posting | ","")&amp;IF(COUNTIF(Settings!$A$14:$A$43,B1810)&gt;0,"Holiday posting | ","")&amp;IF(B1810&gt;Settings!$C$8,"Posted after close | ","")&amp;IF(OR(B1810&lt;Settings!$C$6,B1810&gt;Settings!$C$7),"Outside period | ","")&amp;IF(COUNTIF(Settings!$E$14:$E$43,C1810&amp;"")&gt;0,"Sensitive account | ","")&amp;IF(AND(MAX(N(E1810),N(F1810))&gt;=Settings!$C$9,MOD(MAX(N(E1810),N(F1810)),Settings!$C$10)=0),"Round amount | ","")="","",LEFT(IF(K1810="No","Does not balance | ","")&amp;IF(I1810="","Not approved | ",IF(UPPER(TRIM(H1810))=UPPER(TRIM(I1810)),"Self-approved | ",""))&amp;IF(J1810="","No support | ","")&amp;IF(WEEKDAY(B1810,2)&gt;5,"Weekend posting | ","")&amp;IF(COUNTIF(Settings!$A$14:$A$43,B1810)&gt;0,"Holiday posting | ","")&amp;IF(B1810&gt;Settings!$C$8,"Posted after close | ","")&amp;IF(OR(B1810&lt;Settings!$C$6,B1810&gt;Settings!$C$7),"Outside period | ","")&amp;IF(COUNTIF(Settings!$E$14:$E$43,C1810&amp;"")&gt;0,"Sensitive account | ","")&amp;IF(AND(MAX(N(E1810),N(F1810))&gt;=Settings!$C$9,MOD(MAX(N(E1810),N(F1810)),Settings!$C$10)=0),"Round amount | ",""),LEN(IF(K1810="No","Does not balance | ","")&amp;IF(I1810="","Not approved | ",IF(UPPER(TRIM(H1810))=UPPER(TRIM(I1810)),"Self-approved | ",""))&amp;IF(J1810="","No support | ","")&amp;IF(WEEKDAY(B1810,2)&gt;5,"Weekend posting | ","")&amp;IF(COUNTIF(Settings!$A$14:$A$43,B1810)&gt;0,"Holiday posting | ","")&amp;IF(B1810&gt;Settings!$C$8,"Posted after close | ","")&amp;IF(OR(B1810&lt;Settings!$C$6,B1810&gt;Settings!$C$7),"Outside period | ","")&amp;IF(COUNTIF(Settings!$E$14:$E$43,C1810&amp;"")&gt;0,"Sensitive account | ","")&amp;IF(AND(MAX(N(E1810),N(F1810))&gt;=Settings!$C$9,MOD(MAX(N(E1810),N(F1810)),Settings!$C$10)=0),"Round amount | ",""))-3)))</f>
        <v/>
      </c>
      <c r="M1810" s="21" t="str">
        <f aca="false">IF(A1810="","",IF(COUNTIF($A$9:A1810,A1810)=1,MAX($M$8:M1809)+1,""))</f>
        <v/>
      </c>
    </row>
    <row r="1811" customFormat="false" ht="15" hidden="false" customHeight="false" outlineLevel="0" collapsed="false">
      <c r="A1811" s="8"/>
      <c r="B1811" s="17"/>
      <c r="C1811" s="19"/>
      <c r="D1811" s="8"/>
      <c r="E1811" s="18"/>
      <c r="F1811" s="18"/>
      <c r="G1811" s="8"/>
      <c r="H1811" s="8"/>
      <c r="I1811" s="8"/>
      <c r="J1811" s="8"/>
      <c r="K1811" s="10" t="str">
        <f aca="false">IF(A1811="","",IF(ABS(SUMIFS($E$9:$E$2008,$A$9:$A$2008,A1811)-SUMIFS($F$9:$F$2008,$A$9:$A$2008,A1811))&lt;0.5,"Yes","No"))</f>
        <v/>
      </c>
      <c r="L1811" s="10" t="str">
        <f aca="false">IF(A1811="","",IF(IF(K1811="No","Does not balance | ","")&amp;IF(I1811="","Not approved | ",IF(UPPER(TRIM(H1811))=UPPER(TRIM(I1811)),"Self-approved | ",""))&amp;IF(J1811="","No support | ","")&amp;IF(WEEKDAY(B1811,2)&gt;5,"Weekend posting | ","")&amp;IF(COUNTIF(Settings!$A$14:$A$43,B1811)&gt;0,"Holiday posting | ","")&amp;IF(B1811&gt;Settings!$C$8,"Posted after close | ","")&amp;IF(OR(B1811&lt;Settings!$C$6,B1811&gt;Settings!$C$7),"Outside period | ","")&amp;IF(COUNTIF(Settings!$E$14:$E$43,C1811&amp;"")&gt;0,"Sensitive account | ","")&amp;IF(AND(MAX(N(E1811),N(F1811))&gt;=Settings!$C$9,MOD(MAX(N(E1811),N(F1811)),Settings!$C$10)=0),"Round amount | ","")="","",LEFT(IF(K1811="No","Does not balance | ","")&amp;IF(I1811="","Not approved | ",IF(UPPER(TRIM(H1811))=UPPER(TRIM(I1811)),"Self-approved | ",""))&amp;IF(J1811="","No support | ","")&amp;IF(WEEKDAY(B1811,2)&gt;5,"Weekend posting | ","")&amp;IF(COUNTIF(Settings!$A$14:$A$43,B1811)&gt;0,"Holiday posting | ","")&amp;IF(B1811&gt;Settings!$C$8,"Posted after close | ","")&amp;IF(OR(B1811&lt;Settings!$C$6,B1811&gt;Settings!$C$7),"Outside period | ","")&amp;IF(COUNTIF(Settings!$E$14:$E$43,C1811&amp;"")&gt;0,"Sensitive account | ","")&amp;IF(AND(MAX(N(E1811),N(F1811))&gt;=Settings!$C$9,MOD(MAX(N(E1811),N(F1811)),Settings!$C$10)=0),"Round amount | ",""),LEN(IF(K1811="No","Does not balance | ","")&amp;IF(I1811="","Not approved | ",IF(UPPER(TRIM(H1811))=UPPER(TRIM(I1811)),"Self-approved | ",""))&amp;IF(J1811="","No support | ","")&amp;IF(WEEKDAY(B1811,2)&gt;5,"Weekend posting | ","")&amp;IF(COUNTIF(Settings!$A$14:$A$43,B1811)&gt;0,"Holiday posting | ","")&amp;IF(B1811&gt;Settings!$C$8,"Posted after close | ","")&amp;IF(OR(B1811&lt;Settings!$C$6,B1811&gt;Settings!$C$7),"Outside period | ","")&amp;IF(COUNTIF(Settings!$E$14:$E$43,C1811&amp;"")&gt;0,"Sensitive account | ","")&amp;IF(AND(MAX(N(E1811),N(F1811))&gt;=Settings!$C$9,MOD(MAX(N(E1811),N(F1811)),Settings!$C$10)=0),"Round amount | ",""))-3)))</f>
        <v/>
      </c>
      <c r="M1811" s="21" t="str">
        <f aca="false">IF(A1811="","",IF(COUNTIF($A$9:A1811,A1811)=1,MAX($M$8:M1810)+1,""))</f>
        <v/>
      </c>
    </row>
    <row r="1812" customFormat="false" ht="15" hidden="false" customHeight="false" outlineLevel="0" collapsed="false">
      <c r="A1812" s="8"/>
      <c r="B1812" s="17"/>
      <c r="C1812" s="19"/>
      <c r="D1812" s="8"/>
      <c r="E1812" s="18"/>
      <c r="F1812" s="18"/>
      <c r="G1812" s="8"/>
      <c r="H1812" s="8"/>
      <c r="I1812" s="8"/>
      <c r="J1812" s="8"/>
      <c r="K1812" s="10" t="str">
        <f aca="false">IF(A1812="","",IF(ABS(SUMIFS($E$9:$E$2008,$A$9:$A$2008,A1812)-SUMIFS($F$9:$F$2008,$A$9:$A$2008,A1812))&lt;0.5,"Yes","No"))</f>
        <v/>
      </c>
      <c r="L1812" s="10" t="str">
        <f aca="false">IF(A1812="","",IF(IF(K1812="No","Does not balance | ","")&amp;IF(I1812="","Not approved | ",IF(UPPER(TRIM(H1812))=UPPER(TRIM(I1812)),"Self-approved | ",""))&amp;IF(J1812="","No support | ","")&amp;IF(WEEKDAY(B1812,2)&gt;5,"Weekend posting | ","")&amp;IF(COUNTIF(Settings!$A$14:$A$43,B1812)&gt;0,"Holiday posting | ","")&amp;IF(B1812&gt;Settings!$C$8,"Posted after close | ","")&amp;IF(OR(B1812&lt;Settings!$C$6,B1812&gt;Settings!$C$7),"Outside period | ","")&amp;IF(COUNTIF(Settings!$E$14:$E$43,C1812&amp;"")&gt;0,"Sensitive account | ","")&amp;IF(AND(MAX(N(E1812),N(F1812))&gt;=Settings!$C$9,MOD(MAX(N(E1812),N(F1812)),Settings!$C$10)=0),"Round amount | ","")="","",LEFT(IF(K1812="No","Does not balance | ","")&amp;IF(I1812="","Not approved | ",IF(UPPER(TRIM(H1812))=UPPER(TRIM(I1812)),"Self-approved | ",""))&amp;IF(J1812="","No support | ","")&amp;IF(WEEKDAY(B1812,2)&gt;5,"Weekend posting | ","")&amp;IF(COUNTIF(Settings!$A$14:$A$43,B1812)&gt;0,"Holiday posting | ","")&amp;IF(B1812&gt;Settings!$C$8,"Posted after close | ","")&amp;IF(OR(B1812&lt;Settings!$C$6,B1812&gt;Settings!$C$7),"Outside period | ","")&amp;IF(COUNTIF(Settings!$E$14:$E$43,C1812&amp;"")&gt;0,"Sensitive account | ","")&amp;IF(AND(MAX(N(E1812),N(F1812))&gt;=Settings!$C$9,MOD(MAX(N(E1812),N(F1812)),Settings!$C$10)=0),"Round amount | ",""),LEN(IF(K1812="No","Does not balance | ","")&amp;IF(I1812="","Not approved | ",IF(UPPER(TRIM(H1812))=UPPER(TRIM(I1812)),"Self-approved | ",""))&amp;IF(J1812="","No support | ","")&amp;IF(WEEKDAY(B1812,2)&gt;5,"Weekend posting | ","")&amp;IF(COUNTIF(Settings!$A$14:$A$43,B1812)&gt;0,"Holiday posting | ","")&amp;IF(B1812&gt;Settings!$C$8,"Posted after close | ","")&amp;IF(OR(B1812&lt;Settings!$C$6,B1812&gt;Settings!$C$7),"Outside period | ","")&amp;IF(COUNTIF(Settings!$E$14:$E$43,C1812&amp;"")&gt;0,"Sensitive account | ","")&amp;IF(AND(MAX(N(E1812),N(F1812))&gt;=Settings!$C$9,MOD(MAX(N(E1812),N(F1812)),Settings!$C$10)=0),"Round amount | ",""))-3)))</f>
        <v/>
      </c>
      <c r="M1812" s="21" t="str">
        <f aca="false">IF(A1812="","",IF(COUNTIF($A$9:A1812,A1812)=1,MAX($M$8:M1811)+1,""))</f>
        <v/>
      </c>
    </row>
    <row r="1813" customFormat="false" ht="15" hidden="false" customHeight="false" outlineLevel="0" collapsed="false">
      <c r="A1813" s="8"/>
      <c r="B1813" s="17"/>
      <c r="C1813" s="19"/>
      <c r="D1813" s="8"/>
      <c r="E1813" s="18"/>
      <c r="F1813" s="18"/>
      <c r="G1813" s="8"/>
      <c r="H1813" s="8"/>
      <c r="I1813" s="8"/>
      <c r="J1813" s="8"/>
      <c r="K1813" s="10" t="str">
        <f aca="false">IF(A1813="","",IF(ABS(SUMIFS($E$9:$E$2008,$A$9:$A$2008,A1813)-SUMIFS($F$9:$F$2008,$A$9:$A$2008,A1813))&lt;0.5,"Yes","No"))</f>
        <v/>
      </c>
      <c r="L1813" s="10" t="str">
        <f aca="false">IF(A1813="","",IF(IF(K1813="No","Does not balance | ","")&amp;IF(I1813="","Not approved | ",IF(UPPER(TRIM(H1813))=UPPER(TRIM(I1813)),"Self-approved | ",""))&amp;IF(J1813="","No support | ","")&amp;IF(WEEKDAY(B1813,2)&gt;5,"Weekend posting | ","")&amp;IF(COUNTIF(Settings!$A$14:$A$43,B1813)&gt;0,"Holiday posting | ","")&amp;IF(B1813&gt;Settings!$C$8,"Posted after close | ","")&amp;IF(OR(B1813&lt;Settings!$C$6,B1813&gt;Settings!$C$7),"Outside period | ","")&amp;IF(COUNTIF(Settings!$E$14:$E$43,C1813&amp;"")&gt;0,"Sensitive account | ","")&amp;IF(AND(MAX(N(E1813),N(F1813))&gt;=Settings!$C$9,MOD(MAX(N(E1813),N(F1813)),Settings!$C$10)=0),"Round amount | ","")="","",LEFT(IF(K1813="No","Does not balance | ","")&amp;IF(I1813="","Not approved | ",IF(UPPER(TRIM(H1813))=UPPER(TRIM(I1813)),"Self-approved | ",""))&amp;IF(J1813="","No support | ","")&amp;IF(WEEKDAY(B1813,2)&gt;5,"Weekend posting | ","")&amp;IF(COUNTIF(Settings!$A$14:$A$43,B1813)&gt;0,"Holiday posting | ","")&amp;IF(B1813&gt;Settings!$C$8,"Posted after close | ","")&amp;IF(OR(B1813&lt;Settings!$C$6,B1813&gt;Settings!$C$7),"Outside period | ","")&amp;IF(COUNTIF(Settings!$E$14:$E$43,C1813&amp;"")&gt;0,"Sensitive account | ","")&amp;IF(AND(MAX(N(E1813),N(F1813))&gt;=Settings!$C$9,MOD(MAX(N(E1813),N(F1813)),Settings!$C$10)=0),"Round amount | ",""),LEN(IF(K1813="No","Does not balance | ","")&amp;IF(I1813="","Not approved | ",IF(UPPER(TRIM(H1813))=UPPER(TRIM(I1813)),"Self-approved | ",""))&amp;IF(J1813="","No support | ","")&amp;IF(WEEKDAY(B1813,2)&gt;5,"Weekend posting | ","")&amp;IF(COUNTIF(Settings!$A$14:$A$43,B1813)&gt;0,"Holiday posting | ","")&amp;IF(B1813&gt;Settings!$C$8,"Posted after close | ","")&amp;IF(OR(B1813&lt;Settings!$C$6,B1813&gt;Settings!$C$7),"Outside period | ","")&amp;IF(COUNTIF(Settings!$E$14:$E$43,C1813&amp;"")&gt;0,"Sensitive account | ","")&amp;IF(AND(MAX(N(E1813),N(F1813))&gt;=Settings!$C$9,MOD(MAX(N(E1813),N(F1813)),Settings!$C$10)=0),"Round amount | ",""))-3)))</f>
        <v/>
      </c>
      <c r="M1813" s="21" t="str">
        <f aca="false">IF(A1813="","",IF(COUNTIF($A$9:A1813,A1813)=1,MAX($M$8:M1812)+1,""))</f>
        <v/>
      </c>
    </row>
    <row r="1814" customFormat="false" ht="15" hidden="false" customHeight="false" outlineLevel="0" collapsed="false">
      <c r="A1814" s="8"/>
      <c r="B1814" s="17"/>
      <c r="C1814" s="19"/>
      <c r="D1814" s="8"/>
      <c r="E1814" s="18"/>
      <c r="F1814" s="18"/>
      <c r="G1814" s="8"/>
      <c r="H1814" s="8"/>
      <c r="I1814" s="8"/>
      <c r="J1814" s="8"/>
      <c r="K1814" s="10" t="str">
        <f aca="false">IF(A1814="","",IF(ABS(SUMIFS($E$9:$E$2008,$A$9:$A$2008,A1814)-SUMIFS($F$9:$F$2008,$A$9:$A$2008,A1814))&lt;0.5,"Yes","No"))</f>
        <v/>
      </c>
      <c r="L1814" s="10" t="str">
        <f aca="false">IF(A1814="","",IF(IF(K1814="No","Does not balance | ","")&amp;IF(I1814="","Not approved | ",IF(UPPER(TRIM(H1814))=UPPER(TRIM(I1814)),"Self-approved | ",""))&amp;IF(J1814="","No support | ","")&amp;IF(WEEKDAY(B1814,2)&gt;5,"Weekend posting | ","")&amp;IF(COUNTIF(Settings!$A$14:$A$43,B1814)&gt;0,"Holiday posting | ","")&amp;IF(B1814&gt;Settings!$C$8,"Posted after close | ","")&amp;IF(OR(B1814&lt;Settings!$C$6,B1814&gt;Settings!$C$7),"Outside period | ","")&amp;IF(COUNTIF(Settings!$E$14:$E$43,C1814&amp;"")&gt;0,"Sensitive account | ","")&amp;IF(AND(MAX(N(E1814),N(F1814))&gt;=Settings!$C$9,MOD(MAX(N(E1814),N(F1814)),Settings!$C$10)=0),"Round amount | ","")="","",LEFT(IF(K1814="No","Does not balance | ","")&amp;IF(I1814="","Not approved | ",IF(UPPER(TRIM(H1814))=UPPER(TRIM(I1814)),"Self-approved | ",""))&amp;IF(J1814="","No support | ","")&amp;IF(WEEKDAY(B1814,2)&gt;5,"Weekend posting | ","")&amp;IF(COUNTIF(Settings!$A$14:$A$43,B1814)&gt;0,"Holiday posting | ","")&amp;IF(B1814&gt;Settings!$C$8,"Posted after close | ","")&amp;IF(OR(B1814&lt;Settings!$C$6,B1814&gt;Settings!$C$7),"Outside period | ","")&amp;IF(COUNTIF(Settings!$E$14:$E$43,C1814&amp;"")&gt;0,"Sensitive account | ","")&amp;IF(AND(MAX(N(E1814),N(F1814))&gt;=Settings!$C$9,MOD(MAX(N(E1814),N(F1814)),Settings!$C$10)=0),"Round amount | ",""),LEN(IF(K1814="No","Does not balance | ","")&amp;IF(I1814="","Not approved | ",IF(UPPER(TRIM(H1814))=UPPER(TRIM(I1814)),"Self-approved | ",""))&amp;IF(J1814="","No support | ","")&amp;IF(WEEKDAY(B1814,2)&gt;5,"Weekend posting | ","")&amp;IF(COUNTIF(Settings!$A$14:$A$43,B1814)&gt;0,"Holiday posting | ","")&amp;IF(B1814&gt;Settings!$C$8,"Posted after close | ","")&amp;IF(OR(B1814&lt;Settings!$C$6,B1814&gt;Settings!$C$7),"Outside period | ","")&amp;IF(COUNTIF(Settings!$E$14:$E$43,C1814&amp;"")&gt;0,"Sensitive account | ","")&amp;IF(AND(MAX(N(E1814),N(F1814))&gt;=Settings!$C$9,MOD(MAX(N(E1814),N(F1814)),Settings!$C$10)=0),"Round amount | ",""))-3)))</f>
        <v/>
      </c>
      <c r="M1814" s="21" t="str">
        <f aca="false">IF(A1814="","",IF(COUNTIF($A$9:A1814,A1814)=1,MAX($M$8:M1813)+1,""))</f>
        <v/>
      </c>
    </row>
    <row r="1815" customFormat="false" ht="15" hidden="false" customHeight="false" outlineLevel="0" collapsed="false">
      <c r="A1815" s="8"/>
      <c r="B1815" s="17"/>
      <c r="C1815" s="19"/>
      <c r="D1815" s="8"/>
      <c r="E1815" s="18"/>
      <c r="F1815" s="18"/>
      <c r="G1815" s="8"/>
      <c r="H1815" s="8"/>
      <c r="I1815" s="8"/>
      <c r="J1815" s="8"/>
      <c r="K1815" s="10" t="str">
        <f aca="false">IF(A1815="","",IF(ABS(SUMIFS($E$9:$E$2008,$A$9:$A$2008,A1815)-SUMIFS($F$9:$F$2008,$A$9:$A$2008,A1815))&lt;0.5,"Yes","No"))</f>
        <v/>
      </c>
      <c r="L1815" s="10" t="str">
        <f aca="false">IF(A1815="","",IF(IF(K1815="No","Does not balance | ","")&amp;IF(I1815="","Not approved | ",IF(UPPER(TRIM(H1815))=UPPER(TRIM(I1815)),"Self-approved | ",""))&amp;IF(J1815="","No support | ","")&amp;IF(WEEKDAY(B1815,2)&gt;5,"Weekend posting | ","")&amp;IF(COUNTIF(Settings!$A$14:$A$43,B1815)&gt;0,"Holiday posting | ","")&amp;IF(B1815&gt;Settings!$C$8,"Posted after close | ","")&amp;IF(OR(B1815&lt;Settings!$C$6,B1815&gt;Settings!$C$7),"Outside period | ","")&amp;IF(COUNTIF(Settings!$E$14:$E$43,C1815&amp;"")&gt;0,"Sensitive account | ","")&amp;IF(AND(MAX(N(E1815),N(F1815))&gt;=Settings!$C$9,MOD(MAX(N(E1815),N(F1815)),Settings!$C$10)=0),"Round amount | ","")="","",LEFT(IF(K1815="No","Does not balance | ","")&amp;IF(I1815="","Not approved | ",IF(UPPER(TRIM(H1815))=UPPER(TRIM(I1815)),"Self-approved | ",""))&amp;IF(J1815="","No support | ","")&amp;IF(WEEKDAY(B1815,2)&gt;5,"Weekend posting | ","")&amp;IF(COUNTIF(Settings!$A$14:$A$43,B1815)&gt;0,"Holiday posting | ","")&amp;IF(B1815&gt;Settings!$C$8,"Posted after close | ","")&amp;IF(OR(B1815&lt;Settings!$C$6,B1815&gt;Settings!$C$7),"Outside period | ","")&amp;IF(COUNTIF(Settings!$E$14:$E$43,C1815&amp;"")&gt;0,"Sensitive account | ","")&amp;IF(AND(MAX(N(E1815),N(F1815))&gt;=Settings!$C$9,MOD(MAX(N(E1815),N(F1815)),Settings!$C$10)=0),"Round amount | ",""),LEN(IF(K1815="No","Does not balance | ","")&amp;IF(I1815="","Not approved | ",IF(UPPER(TRIM(H1815))=UPPER(TRIM(I1815)),"Self-approved | ",""))&amp;IF(J1815="","No support | ","")&amp;IF(WEEKDAY(B1815,2)&gt;5,"Weekend posting | ","")&amp;IF(COUNTIF(Settings!$A$14:$A$43,B1815)&gt;0,"Holiday posting | ","")&amp;IF(B1815&gt;Settings!$C$8,"Posted after close | ","")&amp;IF(OR(B1815&lt;Settings!$C$6,B1815&gt;Settings!$C$7),"Outside period | ","")&amp;IF(COUNTIF(Settings!$E$14:$E$43,C1815&amp;"")&gt;0,"Sensitive account | ","")&amp;IF(AND(MAX(N(E1815),N(F1815))&gt;=Settings!$C$9,MOD(MAX(N(E1815),N(F1815)),Settings!$C$10)=0),"Round amount | ",""))-3)))</f>
        <v/>
      </c>
      <c r="M1815" s="21" t="str">
        <f aca="false">IF(A1815="","",IF(COUNTIF($A$9:A1815,A1815)=1,MAX($M$8:M1814)+1,""))</f>
        <v/>
      </c>
    </row>
    <row r="1816" customFormat="false" ht="15" hidden="false" customHeight="false" outlineLevel="0" collapsed="false">
      <c r="A1816" s="8"/>
      <c r="B1816" s="17"/>
      <c r="C1816" s="19"/>
      <c r="D1816" s="8"/>
      <c r="E1816" s="18"/>
      <c r="F1816" s="18"/>
      <c r="G1816" s="8"/>
      <c r="H1816" s="8"/>
      <c r="I1816" s="8"/>
      <c r="J1816" s="8"/>
      <c r="K1816" s="10" t="str">
        <f aca="false">IF(A1816="","",IF(ABS(SUMIFS($E$9:$E$2008,$A$9:$A$2008,A1816)-SUMIFS($F$9:$F$2008,$A$9:$A$2008,A1816))&lt;0.5,"Yes","No"))</f>
        <v/>
      </c>
      <c r="L1816" s="10" t="str">
        <f aca="false">IF(A1816="","",IF(IF(K1816="No","Does not balance | ","")&amp;IF(I1816="","Not approved | ",IF(UPPER(TRIM(H1816))=UPPER(TRIM(I1816)),"Self-approved | ",""))&amp;IF(J1816="","No support | ","")&amp;IF(WEEKDAY(B1816,2)&gt;5,"Weekend posting | ","")&amp;IF(COUNTIF(Settings!$A$14:$A$43,B1816)&gt;0,"Holiday posting | ","")&amp;IF(B1816&gt;Settings!$C$8,"Posted after close | ","")&amp;IF(OR(B1816&lt;Settings!$C$6,B1816&gt;Settings!$C$7),"Outside period | ","")&amp;IF(COUNTIF(Settings!$E$14:$E$43,C1816&amp;"")&gt;0,"Sensitive account | ","")&amp;IF(AND(MAX(N(E1816),N(F1816))&gt;=Settings!$C$9,MOD(MAX(N(E1816),N(F1816)),Settings!$C$10)=0),"Round amount | ","")="","",LEFT(IF(K1816="No","Does not balance | ","")&amp;IF(I1816="","Not approved | ",IF(UPPER(TRIM(H1816))=UPPER(TRIM(I1816)),"Self-approved | ",""))&amp;IF(J1816="","No support | ","")&amp;IF(WEEKDAY(B1816,2)&gt;5,"Weekend posting | ","")&amp;IF(COUNTIF(Settings!$A$14:$A$43,B1816)&gt;0,"Holiday posting | ","")&amp;IF(B1816&gt;Settings!$C$8,"Posted after close | ","")&amp;IF(OR(B1816&lt;Settings!$C$6,B1816&gt;Settings!$C$7),"Outside period | ","")&amp;IF(COUNTIF(Settings!$E$14:$E$43,C1816&amp;"")&gt;0,"Sensitive account | ","")&amp;IF(AND(MAX(N(E1816),N(F1816))&gt;=Settings!$C$9,MOD(MAX(N(E1816),N(F1816)),Settings!$C$10)=0),"Round amount | ",""),LEN(IF(K1816="No","Does not balance | ","")&amp;IF(I1816="","Not approved | ",IF(UPPER(TRIM(H1816))=UPPER(TRIM(I1816)),"Self-approved | ",""))&amp;IF(J1816="","No support | ","")&amp;IF(WEEKDAY(B1816,2)&gt;5,"Weekend posting | ","")&amp;IF(COUNTIF(Settings!$A$14:$A$43,B1816)&gt;0,"Holiday posting | ","")&amp;IF(B1816&gt;Settings!$C$8,"Posted after close | ","")&amp;IF(OR(B1816&lt;Settings!$C$6,B1816&gt;Settings!$C$7),"Outside period | ","")&amp;IF(COUNTIF(Settings!$E$14:$E$43,C1816&amp;"")&gt;0,"Sensitive account | ","")&amp;IF(AND(MAX(N(E1816),N(F1816))&gt;=Settings!$C$9,MOD(MAX(N(E1816),N(F1816)),Settings!$C$10)=0),"Round amount | ",""))-3)))</f>
        <v/>
      </c>
      <c r="M1816" s="21" t="str">
        <f aca="false">IF(A1816="","",IF(COUNTIF($A$9:A1816,A1816)=1,MAX($M$8:M1815)+1,""))</f>
        <v/>
      </c>
    </row>
    <row r="1817" customFormat="false" ht="15" hidden="false" customHeight="false" outlineLevel="0" collapsed="false">
      <c r="A1817" s="8"/>
      <c r="B1817" s="17"/>
      <c r="C1817" s="19"/>
      <c r="D1817" s="8"/>
      <c r="E1817" s="18"/>
      <c r="F1817" s="18"/>
      <c r="G1817" s="8"/>
      <c r="H1817" s="8"/>
      <c r="I1817" s="8"/>
      <c r="J1817" s="8"/>
      <c r="K1817" s="10" t="str">
        <f aca="false">IF(A1817="","",IF(ABS(SUMIFS($E$9:$E$2008,$A$9:$A$2008,A1817)-SUMIFS($F$9:$F$2008,$A$9:$A$2008,A1817))&lt;0.5,"Yes","No"))</f>
        <v/>
      </c>
      <c r="L1817" s="10" t="str">
        <f aca="false">IF(A1817="","",IF(IF(K1817="No","Does not balance | ","")&amp;IF(I1817="","Not approved | ",IF(UPPER(TRIM(H1817))=UPPER(TRIM(I1817)),"Self-approved | ",""))&amp;IF(J1817="","No support | ","")&amp;IF(WEEKDAY(B1817,2)&gt;5,"Weekend posting | ","")&amp;IF(COUNTIF(Settings!$A$14:$A$43,B1817)&gt;0,"Holiday posting | ","")&amp;IF(B1817&gt;Settings!$C$8,"Posted after close | ","")&amp;IF(OR(B1817&lt;Settings!$C$6,B1817&gt;Settings!$C$7),"Outside period | ","")&amp;IF(COUNTIF(Settings!$E$14:$E$43,C1817&amp;"")&gt;0,"Sensitive account | ","")&amp;IF(AND(MAX(N(E1817),N(F1817))&gt;=Settings!$C$9,MOD(MAX(N(E1817),N(F1817)),Settings!$C$10)=0),"Round amount | ","")="","",LEFT(IF(K1817="No","Does not balance | ","")&amp;IF(I1817="","Not approved | ",IF(UPPER(TRIM(H1817))=UPPER(TRIM(I1817)),"Self-approved | ",""))&amp;IF(J1817="","No support | ","")&amp;IF(WEEKDAY(B1817,2)&gt;5,"Weekend posting | ","")&amp;IF(COUNTIF(Settings!$A$14:$A$43,B1817)&gt;0,"Holiday posting | ","")&amp;IF(B1817&gt;Settings!$C$8,"Posted after close | ","")&amp;IF(OR(B1817&lt;Settings!$C$6,B1817&gt;Settings!$C$7),"Outside period | ","")&amp;IF(COUNTIF(Settings!$E$14:$E$43,C1817&amp;"")&gt;0,"Sensitive account | ","")&amp;IF(AND(MAX(N(E1817),N(F1817))&gt;=Settings!$C$9,MOD(MAX(N(E1817),N(F1817)),Settings!$C$10)=0),"Round amount | ",""),LEN(IF(K1817="No","Does not balance | ","")&amp;IF(I1817="","Not approved | ",IF(UPPER(TRIM(H1817))=UPPER(TRIM(I1817)),"Self-approved | ",""))&amp;IF(J1817="","No support | ","")&amp;IF(WEEKDAY(B1817,2)&gt;5,"Weekend posting | ","")&amp;IF(COUNTIF(Settings!$A$14:$A$43,B1817)&gt;0,"Holiday posting | ","")&amp;IF(B1817&gt;Settings!$C$8,"Posted after close | ","")&amp;IF(OR(B1817&lt;Settings!$C$6,B1817&gt;Settings!$C$7),"Outside period | ","")&amp;IF(COUNTIF(Settings!$E$14:$E$43,C1817&amp;"")&gt;0,"Sensitive account | ","")&amp;IF(AND(MAX(N(E1817),N(F1817))&gt;=Settings!$C$9,MOD(MAX(N(E1817),N(F1817)),Settings!$C$10)=0),"Round amount | ",""))-3)))</f>
        <v/>
      </c>
      <c r="M1817" s="21" t="str">
        <f aca="false">IF(A1817="","",IF(COUNTIF($A$9:A1817,A1817)=1,MAX($M$8:M1816)+1,""))</f>
        <v/>
      </c>
    </row>
    <row r="1818" customFormat="false" ht="15" hidden="false" customHeight="false" outlineLevel="0" collapsed="false">
      <c r="A1818" s="8"/>
      <c r="B1818" s="17"/>
      <c r="C1818" s="19"/>
      <c r="D1818" s="8"/>
      <c r="E1818" s="18"/>
      <c r="F1818" s="18"/>
      <c r="G1818" s="8"/>
      <c r="H1818" s="8"/>
      <c r="I1818" s="8"/>
      <c r="J1818" s="8"/>
      <c r="K1818" s="10" t="str">
        <f aca="false">IF(A1818="","",IF(ABS(SUMIFS($E$9:$E$2008,$A$9:$A$2008,A1818)-SUMIFS($F$9:$F$2008,$A$9:$A$2008,A1818))&lt;0.5,"Yes","No"))</f>
        <v/>
      </c>
      <c r="L1818" s="10" t="str">
        <f aca="false">IF(A1818="","",IF(IF(K1818="No","Does not balance | ","")&amp;IF(I1818="","Not approved | ",IF(UPPER(TRIM(H1818))=UPPER(TRIM(I1818)),"Self-approved | ",""))&amp;IF(J1818="","No support | ","")&amp;IF(WEEKDAY(B1818,2)&gt;5,"Weekend posting | ","")&amp;IF(COUNTIF(Settings!$A$14:$A$43,B1818)&gt;0,"Holiday posting | ","")&amp;IF(B1818&gt;Settings!$C$8,"Posted after close | ","")&amp;IF(OR(B1818&lt;Settings!$C$6,B1818&gt;Settings!$C$7),"Outside period | ","")&amp;IF(COUNTIF(Settings!$E$14:$E$43,C1818&amp;"")&gt;0,"Sensitive account | ","")&amp;IF(AND(MAX(N(E1818),N(F1818))&gt;=Settings!$C$9,MOD(MAX(N(E1818),N(F1818)),Settings!$C$10)=0),"Round amount | ","")="","",LEFT(IF(K1818="No","Does not balance | ","")&amp;IF(I1818="","Not approved | ",IF(UPPER(TRIM(H1818))=UPPER(TRIM(I1818)),"Self-approved | ",""))&amp;IF(J1818="","No support | ","")&amp;IF(WEEKDAY(B1818,2)&gt;5,"Weekend posting | ","")&amp;IF(COUNTIF(Settings!$A$14:$A$43,B1818)&gt;0,"Holiday posting | ","")&amp;IF(B1818&gt;Settings!$C$8,"Posted after close | ","")&amp;IF(OR(B1818&lt;Settings!$C$6,B1818&gt;Settings!$C$7),"Outside period | ","")&amp;IF(COUNTIF(Settings!$E$14:$E$43,C1818&amp;"")&gt;0,"Sensitive account | ","")&amp;IF(AND(MAX(N(E1818),N(F1818))&gt;=Settings!$C$9,MOD(MAX(N(E1818),N(F1818)),Settings!$C$10)=0),"Round amount | ",""),LEN(IF(K1818="No","Does not balance | ","")&amp;IF(I1818="","Not approved | ",IF(UPPER(TRIM(H1818))=UPPER(TRIM(I1818)),"Self-approved | ",""))&amp;IF(J1818="","No support | ","")&amp;IF(WEEKDAY(B1818,2)&gt;5,"Weekend posting | ","")&amp;IF(COUNTIF(Settings!$A$14:$A$43,B1818)&gt;0,"Holiday posting | ","")&amp;IF(B1818&gt;Settings!$C$8,"Posted after close | ","")&amp;IF(OR(B1818&lt;Settings!$C$6,B1818&gt;Settings!$C$7),"Outside period | ","")&amp;IF(COUNTIF(Settings!$E$14:$E$43,C1818&amp;"")&gt;0,"Sensitive account | ","")&amp;IF(AND(MAX(N(E1818),N(F1818))&gt;=Settings!$C$9,MOD(MAX(N(E1818),N(F1818)),Settings!$C$10)=0),"Round amount | ",""))-3)))</f>
        <v/>
      </c>
      <c r="M1818" s="21" t="str">
        <f aca="false">IF(A1818="","",IF(COUNTIF($A$9:A1818,A1818)=1,MAX($M$8:M1817)+1,""))</f>
        <v/>
      </c>
    </row>
    <row r="1819" customFormat="false" ht="15" hidden="false" customHeight="false" outlineLevel="0" collapsed="false">
      <c r="A1819" s="8"/>
      <c r="B1819" s="17"/>
      <c r="C1819" s="19"/>
      <c r="D1819" s="8"/>
      <c r="E1819" s="18"/>
      <c r="F1819" s="18"/>
      <c r="G1819" s="8"/>
      <c r="H1819" s="8"/>
      <c r="I1819" s="8"/>
      <c r="J1819" s="8"/>
      <c r="K1819" s="10" t="str">
        <f aca="false">IF(A1819="","",IF(ABS(SUMIFS($E$9:$E$2008,$A$9:$A$2008,A1819)-SUMIFS($F$9:$F$2008,$A$9:$A$2008,A1819))&lt;0.5,"Yes","No"))</f>
        <v/>
      </c>
      <c r="L1819" s="10" t="str">
        <f aca="false">IF(A1819="","",IF(IF(K1819="No","Does not balance | ","")&amp;IF(I1819="","Not approved | ",IF(UPPER(TRIM(H1819))=UPPER(TRIM(I1819)),"Self-approved | ",""))&amp;IF(J1819="","No support | ","")&amp;IF(WEEKDAY(B1819,2)&gt;5,"Weekend posting | ","")&amp;IF(COUNTIF(Settings!$A$14:$A$43,B1819)&gt;0,"Holiday posting | ","")&amp;IF(B1819&gt;Settings!$C$8,"Posted after close | ","")&amp;IF(OR(B1819&lt;Settings!$C$6,B1819&gt;Settings!$C$7),"Outside period | ","")&amp;IF(COUNTIF(Settings!$E$14:$E$43,C1819&amp;"")&gt;0,"Sensitive account | ","")&amp;IF(AND(MAX(N(E1819),N(F1819))&gt;=Settings!$C$9,MOD(MAX(N(E1819),N(F1819)),Settings!$C$10)=0),"Round amount | ","")="","",LEFT(IF(K1819="No","Does not balance | ","")&amp;IF(I1819="","Not approved | ",IF(UPPER(TRIM(H1819))=UPPER(TRIM(I1819)),"Self-approved | ",""))&amp;IF(J1819="","No support | ","")&amp;IF(WEEKDAY(B1819,2)&gt;5,"Weekend posting | ","")&amp;IF(COUNTIF(Settings!$A$14:$A$43,B1819)&gt;0,"Holiday posting | ","")&amp;IF(B1819&gt;Settings!$C$8,"Posted after close | ","")&amp;IF(OR(B1819&lt;Settings!$C$6,B1819&gt;Settings!$C$7),"Outside period | ","")&amp;IF(COUNTIF(Settings!$E$14:$E$43,C1819&amp;"")&gt;0,"Sensitive account | ","")&amp;IF(AND(MAX(N(E1819),N(F1819))&gt;=Settings!$C$9,MOD(MAX(N(E1819),N(F1819)),Settings!$C$10)=0),"Round amount | ",""),LEN(IF(K1819="No","Does not balance | ","")&amp;IF(I1819="","Not approved | ",IF(UPPER(TRIM(H1819))=UPPER(TRIM(I1819)),"Self-approved | ",""))&amp;IF(J1819="","No support | ","")&amp;IF(WEEKDAY(B1819,2)&gt;5,"Weekend posting | ","")&amp;IF(COUNTIF(Settings!$A$14:$A$43,B1819)&gt;0,"Holiday posting | ","")&amp;IF(B1819&gt;Settings!$C$8,"Posted after close | ","")&amp;IF(OR(B1819&lt;Settings!$C$6,B1819&gt;Settings!$C$7),"Outside period | ","")&amp;IF(COUNTIF(Settings!$E$14:$E$43,C1819&amp;"")&gt;0,"Sensitive account | ","")&amp;IF(AND(MAX(N(E1819),N(F1819))&gt;=Settings!$C$9,MOD(MAX(N(E1819),N(F1819)),Settings!$C$10)=0),"Round amount | ",""))-3)))</f>
        <v/>
      </c>
      <c r="M1819" s="21" t="str">
        <f aca="false">IF(A1819="","",IF(COUNTIF($A$9:A1819,A1819)=1,MAX($M$8:M1818)+1,""))</f>
        <v/>
      </c>
    </row>
    <row r="1820" customFormat="false" ht="15" hidden="false" customHeight="false" outlineLevel="0" collapsed="false">
      <c r="A1820" s="8"/>
      <c r="B1820" s="17"/>
      <c r="C1820" s="19"/>
      <c r="D1820" s="8"/>
      <c r="E1820" s="18"/>
      <c r="F1820" s="18"/>
      <c r="G1820" s="8"/>
      <c r="H1820" s="8"/>
      <c r="I1820" s="8"/>
      <c r="J1820" s="8"/>
      <c r="K1820" s="10" t="str">
        <f aca="false">IF(A1820="","",IF(ABS(SUMIFS($E$9:$E$2008,$A$9:$A$2008,A1820)-SUMIFS($F$9:$F$2008,$A$9:$A$2008,A1820))&lt;0.5,"Yes","No"))</f>
        <v/>
      </c>
      <c r="L1820" s="10" t="str">
        <f aca="false">IF(A1820="","",IF(IF(K1820="No","Does not balance | ","")&amp;IF(I1820="","Not approved | ",IF(UPPER(TRIM(H1820))=UPPER(TRIM(I1820)),"Self-approved | ",""))&amp;IF(J1820="","No support | ","")&amp;IF(WEEKDAY(B1820,2)&gt;5,"Weekend posting | ","")&amp;IF(COUNTIF(Settings!$A$14:$A$43,B1820)&gt;0,"Holiday posting | ","")&amp;IF(B1820&gt;Settings!$C$8,"Posted after close | ","")&amp;IF(OR(B1820&lt;Settings!$C$6,B1820&gt;Settings!$C$7),"Outside period | ","")&amp;IF(COUNTIF(Settings!$E$14:$E$43,C1820&amp;"")&gt;0,"Sensitive account | ","")&amp;IF(AND(MAX(N(E1820),N(F1820))&gt;=Settings!$C$9,MOD(MAX(N(E1820),N(F1820)),Settings!$C$10)=0),"Round amount | ","")="","",LEFT(IF(K1820="No","Does not balance | ","")&amp;IF(I1820="","Not approved | ",IF(UPPER(TRIM(H1820))=UPPER(TRIM(I1820)),"Self-approved | ",""))&amp;IF(J1820="","No support | ","")&amp;IF(WEEKDAY(B1820,2)&gt;5,"Weekend posting | ","")&amp;IF(COUNTIF(Settings!$A$14:$A$43,B1820)&gt;0,"Holiday posting | ","")&amp;IF(B1820&gt;Settings!$C$8,"Posted after close | ","")&amp;IF(OR(B1820&lt;Settings!$C$6,B1820&gt;Settings!$C$7),"Outside period | ","")&amp;IF(COUNTIF(Settings!$E$14:$E$43,C1820&amp;"")&gt;0,"Sensitive account | ","")&amp;IF(AND(MAX(N(E1820),N(F1820))&gt;=Settings!$C$9,MOD(MAX(N(E1820),N(F1820)),Settings!$C$10)=0),"Round amount | ",""),LEN(IF(K1820="No","Does not balance | ","")&amp;IF(I1820="","Not approved | ",IF(UPPER(TRIM(H1820))=UPPER(TRIM(I1820)),"Self-approved | ",""))&amp;IF(J1820="","No support | ","")&amp;IF(WEEKDAY(B1820,2)&gt;5,"Weekend posting | ","")&amp;IF(COUNTIF(Settings!$A$14:$A$43,B1820)&gt;0,"Holiday posting | ","")&amp;IF(B1820&gt;Settings!$C$8,"Posted after close | ","")&amp;IF(OR(B1820&lt;Settings!$C$6,B1820&gt;Settings!$C$7),"Outside period | ","")&amp;IF(COUNTIF(Settings!$E$14:$E$43,C1820&amp;"")&gt;0,"Sensitive account | ","")&amp;IF(AND(MAX(N(E1820),N(F1820))&gt;=Settings!$C$9,MOD(MAX(N(E1820),N(F1820)),Settings!$C$10)=0),"Round amount | ",""))-3)))</f>
        <v/>
      </c>
      <c r="M1820" s="21" t="str">
        <f aca="false">IF(A1820="","",IF(COUNTIF($A$9:A1820,A1820)=1,MAX($M$8:M1819)+1,""))</f>
        <v/>
      </c>
    </row>
    <row r="1821" customFormat="false" ht="15" hidden="false" customHeight="false" outlineLevel="0" collapsed="false">
      <c r="A1821" s="8"/>
      <c r="B1821" s="17"/>
      <c r="C1821" s="19"/>
      <c r="D1821" s="8"/>
      <c r="E1821" s="18"/>
      <c r="F1821" s="18"/>
      <c r="G1821" s="8"/>
      <c r="H1821" s="8"/>
      <c r="I1821" s="8"/>
      <c r="J1821" s="8"/>
      <c r="K1821" s="10" t="str">
        <f aca="false">IF(A1821="","",IF(ABS(SUMIFS($E$9:$E$2008,$A$9:$A$2008,A1821)-SUMIFS($F$9:$F$2008,$A$9:$A$2008,A1821))&lt;0.5,"Yes","No"))</f>
        <v/>
      </c>
      <c r="L1821" s="10" t="str">
        <f aca="false">IF(A1821="","",IF(IF(K1821="No","Does not balance | ","")&amp;IF(I1821="","Not approved | ",IF(UPPER(TRIM(H1821))=UPPER(TRIM(I1821)),"Self-approved | ",""))&amp;IF(J1821="","No support | ","")&amp;IF(WEEKDAY(B1821,2)&gt;5,"Weekend posting | ","")&amp;IF(COUNTIF(Settings!$A$14:$A$43,B1821)&gt;0,"Holiday posting | ","")&amp;IF(B1821&gt;Settings!$C$8,"Posted after close | ","")&amp;IF(OR(B1821&lt;Settings!$C$6,B1821&gt;Settings!$C$7),"Outside period | ","")&amp;IF(COUNTIF(Settings!$E$14:$E$43,C1821&amp;"")&gt;0,"Sensitive account | ","")&amp;IF(AND(MAX(N(E1821),N(F1821))&gt;=Settings!$C$9,MOD(MAX(N(E1821),N(F1821)),Settings!$C$10)=0),"Round amount | ","")="","",LEFT(IF(K1821="No","Does not balance | ","")&amp;IF(I1821="","Not approved | ",IF(UPPER(TRIM(H1821))=UPPER(TRIM(I1821)),"Self-approved | ",""))&amp;IF(J1821="","No support | ","")&amp;IF(WEEKDAY(B1821,2)&gt;5,"Weekend posting | ","")&amp;IF(COUNTIF(Settings!$A$14:$A$43,B1821)&gt;0,"Holiday posting | ","")&amp;IF(B1821&gt;Settings!$C$8,"Posted after close | ","")&amp;IF(OR(B1821&lt;Settings!$C$6,B1821&gt;Settings!$C$7),"Outside period | ","")&amp;IF(COUNTIF(Settings!$E$14:$E$43,C1821&amp;"")&gt;0,"Sensitive account | ","")&amp;IF(AND(MAX(N(E1821),N(F1821))&gt;=Settings!$C$9,MOD(MAX(N(E1821),N(F1821)),Settings!$C$10)=0),"Round amount | ",""),LEN(IF(K1821="No","Does not balance | ","")&amp;IF(I1821="","Not approved | ",IF(UPPER(TRIM(H1821))=UPPER(TRIM(I1821)),"Self-approved | ",""))&amp;IF(J1821="","No support | ","")&amp;IF(WEEKDAY(B1821,2)&gt;5,"Weekend posting | ","")&amp;IF(COUNTIF(Settings!$A$14:$A$43,B1821)&gt;0,"Holiday posting | ","")&amp;IF(B1821&gt;Settings!$C$8,"Posted after close | ","")&amp;IF(OR(B1821&lt;Settings!$C$6,B1821&gt;Settings!$C$7),"Outside period | ","")&amp;IF(COUNTIF(Settings!$E$14:$E$43,C1821&amp;"")&gt;0,"Sensitive account | ","")&amp;IF(AND(MAX(N(E1821),N(F1821))&gt;=Settings!$C$9,MOD(MAX(N(E1821),N(F1821)),Settings!$C$10)=0),"Round amount | ",""))-3)))</f>
        <v/>
      </c>
      <c r="M1821" s="21" t="str">
        <f aca="false">IF(A1821="","",IF(COUNTIF($A$9:A1821,A1821)=1,MAX($M$8:M1820)+1,""))</f>
        <v/>
      </c>
    </row>
    <row r="1822" customFormat="false" ht="15" hidden="false" customHeight="false" outlineLevel="0" collapsed="false">
      <c r="A1822" s="8"/>
      <c r="B1822" s="17"/>
      <c r="C1822" s="19"/>
      <c r="D1822" s="8"/>
      <c r="E1822" s="18"/>
      <c r="F1822" s="18"/>
      <c r="G1822" s="8"/>
      <c r="H1822" s="8"/>
      <c r="I1822" s="8"/>
      <c r="J1822" s="8"/>
      <c r="K1822" s="10" t="str">
        <f aca="false">IF(A1822="","",IF(ABS(SUMIFS($E$9:$E$2008,$A$9:$A$2008,A1822)-SUMIFS($F$9:$F$2008,$A$9:$A$2008,A1822))&lt;0.5,"Yes","No"))</f>
        <v/>
      </c>
      <c r="L1822" s="10" t="str">
        <f aca="false">IF(A1822="","",IF(IF(K1822="No","Does not balance | ","")&amp;IF(I1822="","Not approved | ",IF(UPPER(TRIM(H1822))=UPPER(TRIM(I1822)),"Self-approved | ",""))&amp;IF(J1822="","No support | ","")&amp;IF(WEEKDAY(B1822,2)&gt;5,"Weekend posting | ","")&amp;IF(COUNTIF(Settings!$A$14:$A$43,B1822)&gt;0,"Holiday posting | ","")&amp;IF(B1822&gt;Settings!$C$8,"Posted after close | ","")&amp;IF(OR(B1822&lt;Settings!$C$6,B1822&gt;Settings!$C$7),"Outside period | ","")&amp;IF(COUNTIF(Settings!$E$14:$E$43,C1822&amp;"")&gt;0,"Sensitive account | ","")&amp;IF(AND(MAX(N(E1822),N(F1822))&gt;=Settings!$C$9,MOD(MAX(N(E1822),N(F1822)),Settings!$C$10)=0),"Round amount | ","")="","",LEFT(IF(K1822="No","Does not balance | ","")&amp;IF(I1822="","Not approved | ",IF(UPPER(TRIM(H1822))=UPPER(TRIM(I1822)),"Self-approved | ",""))&amp;IF(J1822="","No support | ","")&amp;IF(WEEKDAY(B1822,2)&gt;5,"Weekend posting | ","")&amp;IF(COUNTIF(Settings!$A$14:$A$43,B1822)&gt;0,"Holiday posting | ","")&amp;IF(B1822&gt;Settings!$C$8,"Posted after close | ","")&amp;IF(OR(B1822&lt;Settings!$C$6,B1822&gt;Settings!$C$7),"Outside period | ","")&amp;IF(COUNTIF(Settings!$E$14:$E$43,C1822&amp;"")&gt;0,"Sensitive account | ","")&amp;IF(AND(MAX(N(E1822),N(F1822))&gt;=Settings!$C$9,MOD(MAX(N(E1822),N(F1822)),Settings!$C$10)=0),"Round amount | ",""),LEN(IF(K1822="No","Does not balance | ","")&amp;IF(I1822="","Not approved | ",IF(UPPER(TRIM(H1822))=UPPER(TRIM(I1822)),"Self-approved | ",""))&amp;IF(J1822="","No support | ","")&amp;IF(WEEKDAY(B1822,2)&gt;5,"Weekend posting | ","")&amp;IF(COUNTIF(Settings!$A$14:$A$43,B1822)&gt;0,"Holiday posting | ","")&amp;IF(B1822&gt;Settings!$C$8,"Posted after close | ","")&amp;IF(OR(B1822&lt;Settings!$C$6,B1822&gt;Settings!$C$7),"Outside period | ","")&amp;IF(COUNTIF(Settings!$E$14:$E$43,C1822&amp;"")&gt;0,"Sensitive account | ","")&amp;IF(AND(MAX(N(E1822),N(F1822))&gt;=Settings!$C$9,MOD(MAX(N(E1822),N(F1822)),Settings!$C$10)=0),"Round amount | ",""))-3)))</f>
        <v/>
      </c>
      <c r="M1822" s="21" t="str">
        <f aca="false">IF(A1822="","",IF(COUNTIF($A$9:A1822,A1822)=1,MAX($M$8:M1821)+1,""))</f>
        <v/>
      </c>
    </row>
    <row r="1823" customFormat="false" ht="15" hidden="false" customHeight="false" outlineLevel="0" collapsed="false">
      <c r="A1823" s="8"/>
      <c r="B1823" s="17"/>
      <c r="C1823" s="19"/>
      <c r="D1823" s="8"/>
      <c r="E1823" s="18"/>
      <c r="F1823" s="18"/>
      <c r="G1823" s="8"/>
      <c r="H1823" s="8"/>
      <c r="I1823" s="8"/>
      <c r="J1823" s="8"/>
      <c r="K1823" s="10" t="str">
        <f aca="false">IF(A1823="","",IF(ABS(SUMIFS($E$9:$E$2008,$A$9:$A$2008,A1823)-SUMIFS($F$9:$F$2008,$A$9:$A$2008,A1823))&lt;0.5,"Yes","No"))</f>
        <v/>
      </c>
      <c r="L1823" s="10" t="str">
        <f aca="false">IF(A1823="","",IF(IF(K1823="No","Does not balance | ","")&amp;IF(I1823="","Not approved | ",IF(UPPER(TRIM(H1823))=UPPER(TRIM(I1823)),"Self-approved | ",""))&amp;IF(J1823="","No support | ","")&amp;IF(WEEKDAY(B1823,2)&gt;5,"Weekend posting | ","")&amp;IF(COUNTIF(Settings!$A$14:$A$43,B1823)&gt;0,"Holiday posting | ","")&amp;IF(B1823&gt;Settings!$C$8,"Posted after close | ","")&amp;IF(OR(B1823&lt;Settings!$C$6,B1823&gt;Settings!$C$7),"Outside period | ","")&amp;IF(COUNTIF(Settings!$E$14:$E$43,C1823&amp;"")&gt;0,"Sensitive account | ","")&amp;IF(AND(MAX(N(E1823),N(F1823))&gt;=Settings!$C$9,MOD(MAX(N(E1823),N(F1823)),Settings!$C$10)=0),"Round amount | ","")="","",LEFT(IF(K1823="No","Does not balance | ","")&amp;IF(I1823="","Not approved | ",IF(UPPER(TRIM(H1823))=UPPER(TRIM(I1823)),"Self-approved | ",""))&amp;IF(J1823="","No support | ","")&amp;IF(WEEKDAY(B1823,2)&gt;5,"Weekend posting | ","")&amp;IF(COUNTIF(Settings!$A$14:$A$43,B1823)&gt;0,"Holiday posting | ","")&amp;IF(B1823&gt;Settings!$C$8,"Posted after close | ","")&amp;IF(OR(B1823&lt;Settings!$C$6,B1823&gt;Settings!$C$7),"Outside period | ","")&amp;IF(COUNTIF(Settings!$E$14:$E$43,C1823&amp;"")&gt;0,"Sensitive account | ","")&amp;IF(AND(MAX(N(E1823),N(F1823))&gt;=Settings!$C$9,MOD(MAX(N(E1823),N(F1823)),Settings!$C$10)=0),"Round amount | ",""),LEN(IF(K1823="No","Does not balance | ","")&amp;IF(I1823="","Not approved | ",IF(UPPER(TRIM(H1823))=UPPER(TRIM(I1823)),"Self-approved | ",""))&amp;IF(J1823="","No support | ","")&amp;IF(WEEKDAY(B1823,2)&gt;5,"Weekend posting | ","")&amp;IF(COUNTIF(Settings!$A$14:$A$43,B1823)&gt;0,"Holiday posting | ","")&amp;IF(B1823&gt;Settings!$C$8,"Posted after close | ","")&amp;IF(OR(B1823&lt;Settings!$C$6,B1823&gt;Settings!$C$7),"Outside period | ","")&amp;IF(COUNTIF(Settings!$E$14:$E$43,C1823&amp;"")&gt;0,"Sensitive account | ","")&amp;IF(AND(MAX(N(E1823),N(F1823))&gt;=Settings!$C$9,MOD(MAX(N(E1823),N(F1823)),Settings!$C$10)=0),"Round amount | ",""))-3)))</f>
        <v/>
      </c>
      <c r="M1823" s="21" t="str">
        <f aca="false">IF(A1823="","",IF(COUNTIF($A$9:A1823,A1823)=1,MAX($M$8:M1822)+1,""))</f>
        <v/>
      </c>
    </row>
    <row r="1824" customFormat="false" ht="15" hidden="false" customHeight="false" outlineLevel="0" collapsed="false">
      <c r="A1824" s="8"/>
      <c r="B1824" s="17"/>
      <c r="C1824" s="19"/>
      <c r="D1824" s="8"/>
      <c r="E1824" s="18"/>
      <c r="F1824" s="18"/>
      <c r="G1824" s="8"/>
      <c r="H1824" s="8"/>
      <c r="I1824" s="8"/>
      <c r="J1824" s="8"/>
      <c r="K1824" s="10" t="str">
        <f aca="false">IF(A1824="","",IF(ABS(SUMIFS($E$9:$E$2008,$A$9:$A$2008,A1824)-SUMIFS($F$9:$F$2008,$A$9:$A$2008,A1824))&lt;0.5,"Yes","No"))</f>
        <v/>
      </c>
      <c r="L1824" s="10" t="str">
        <f aca="false">IF(A1824="","",IF(IF(K1824="No","Does not balance | ","")&amp;IF(I1824="","Not approved | ",IF(UPPER(TRIM(H1824))=UPPER(TRIM(I1824)),"Self-approved | ",""))&amp;IF(J1824="","No support | ","")&amp;IF(WEEKDAY(B1824,2)&gt;5,"Weekend posting | ","")&amp;IF(COUNTIF(Settings!$A$14:$A$43,B1824)&gt;0,"Holiday posting | ","")&amp;IF(B1824&gt;Settings!$C$8,"Posted after close | ","")&amp;IF(OR(B1824&lt;Settings!$C$6,B1824&gt;Settings!$C$7),"Outside period | ","")&amp;IF(COUNTIF(Settings!$E$14:$E$43,C1824&amp;"")&gt;0,"Sensitive account | ","")&amp;IF(AND(MAX(N(E1824),N(F1824))&gt;=Settings!$C$9,MOD(MAX(N(E1824),N(F1824)),Settings!$C$10)=0),"Round amount | ","")="","",LEFT(IF(K1824="No","Does not balance | ","")&amp;IF(I1824="","Not approved | ",IF(UPPER(TRIM(H1824))=UPPER(TRIM(I1824)),"Self-approved | ",""))&amp;IF(J1824="","No support | ","")&amp;IF(WEEKDAY(B1824,2)&gt;5,"Weekend posting | ","")&amp;IF(COUNTIF(Settings!$A$14:$A$43,B1824)&gt;0,"Holiday posting | ","")&amp;IF(B1824&gt;Settings!$C$8,"Posted after close | ","")&amp;IF(OR(B1824&lt;Settings!$C$6,B1824&gt;Settings!$C$7),"Outside period | ","")&amp;IF(COUNTIF(Settings!$E$14:$E$43,C1824&amp;"")&gt;0,"Sensitive account | ","")&amp;IF(AND(MAX(N(E1824),N(F1824))&gt;=Settings!$C$9,MOD(MAX(N(E1824),N(F1824)),Settings!$C$10)=0),"Round amount | ",""),LEN(IF(K1824="No","Does not balance | ","")&amp;IF(I1824="","Not approved | ",IF(UPPER(TRIM(H1824))=UPPER(TRIM(I1824)),"Self-approved | ",""))&amp;IF(J1824="","No support | ","")&amp;IF(WEEKDAY(B1824,2)&gt;5,"Weekend posting | ","")&amp;IF(COUNTIF(Settings!$A$14:$A$43,B1824)&gt;0,"Holiday posting | ","")&amp;IF(B1824&gt;Settings!$C$8,"Posted after close | ","")&amp;IF(OR(B1824&lt;Settings!$C$6,B1824&gt;Settings!$C$7),"Outside period | ","")&amp;IF(COUNTIF(Settings!$E$14:$E$43,C1824&amp;"")&gt;0,"Sensitive account | ","")&amp;IF(AND(MAX(N(E1824),N(F1824))&gt;=Settings!$C$9,MOD(MAX(N(E1824),N(F1824)),Settings!$C$10)=0),"Round amount | ",""))-3)))</f>
        <v/>
      </c>
      <c r="M1824" s="21" t="str">
        <f aca="false">IF(A1824="","",IF(COUNTIF($A$9:A1824,A1824)=1,MAX($M$8:M1823)+1,""))</f>
        <v/>
      </c>
    </row>
    <row r="1825" customFormat="false" ht="15" hidden="false" customHeight="false" outlineLevel="0" collapsed="false">
      <c r="A1825" s="8"/>
      <c r="B1825" s="17"/>
      <c r="C1825" s="19"/>
      <c r="D1825" s="8"/>
      <c r="E1825" s="18"/>
      <c r="F1825" s="18"/>
      <c r="G1825" s="8"/>
      <c r="H1825" s="8"/>
      <c r="I1825" s="8"/>
      <c r="J1825" s="8"/>
      <c r="K1825" s="10" t="str">
        <f aca="false">IF(A1825="","",IF(ABS(SUMIFS($E$9:$E$2008,$A$9:$A$2008,A1825)-SUMIFS($F$9:$F$2008,$A$9:$A$2008,A1825))&lt;0.5,"Yes","No"))</f>
        <v/>
      </c>
      <c r="L1825" s="10" t="str">
        <f aca="false">IF(A1825="","",IF(IF(K1825="No","Does not balance | ","")&amp;IF(I1825="","Not approved | ",IF(UPPER(TRIM(H1825))=UPPER(TRIM(I1825)),"Self-approved | ",""))&amp;IF(J1825="","No support | ","")&amp;IF(WEEKDAY(B1825,2)&gt;5,"Weekend posting | ","")&amp;IF(COUNTIF(Settings!$A$14:$A$43,B1825)&gt;0,"Holiday posting | ","")&amp;IF(B1825&gt;Settings!$C$8,"Posted after close | ","")&amp;IF(OR(B1825&lt;Settings!$C$6,B1825&gt;Settings!$C$7),"Outside period | ","")&amp;IF(COUNTIF(Settings!$E$14:$E$43,C1825&amp;"")&gt;0,"Sensitive account | ","")&amp;IF(AND(MAX(N(E1825),N(F1825))&gt;=Settings!$C$9,MOD(MAX(N(E1825),N(F1825)),Settings!$C$10)=0),"Round amount | ","")="","",LEFT(IF(K1825="No","Does not balance | ","")&amp;IF(I1825="","Not approved | ",IF(UPPER(TRIM(H1825))=UPPER(TRIM(I1825)),"Self-approved | ",""))&amp;IF(J1825="","No support | ","")&amp;IF(WEEKDAY(B1825,2)&gt;5,"Weekend posting | ","")&amp;IF(COUNTIF(Settings!$A$14:$A$43,B1825)&gt;0,"Holiday posting | ","")&amp;IF(B1825&gt;Settings!$C$8,"Posted after close | ","")&amp;IF(OR(B1825&lt;Settings!$C$6,B1825&gt;Settings!$C$7),"Outside period | ","")&amp;IF(COUNTIF(Settings!$E$14:$E$43,C1825&amp;"")&gt;0,"Sensitive account | ","")&amp;IF(AND(MAX(N(E1825),N(F1825))&gt;=Settings!$C$9,MOD(MAX(N(E1825),N(F1825)),Settings!$C$10)=0),"Round amount | ",""),LEN(IF(K1825="No","Does not balance | ","")&amp;IF(I1825="","Not approved | ",IF(UPPER(TRIM(H1825))=UPPER(TRIM(I1825)),"Self-approved | ",""))&amp;IF(J1825="","No support | ","")&amp;IF(WEEKDAY(B1825,2)&gt;5,"Weekend posting | ","")&amp;IF(COUNTIF(Settings!$A$14:$A$43,B1825)&gt;0,"Holiday posting | ","")&amp;IF(B1825&gt;Settings!$C$8,"Posted after close | ","")&amp;IF(OR(B1825&lt;Settings!$C$6,B1825&gt;Settings!$C$7),"Outside period | ","")&amp;IF(COUNTIF(Settings!$E$14:$E$43,C1825&amp;"")&gt;0,"Sensitive account | ","")&amp;IF(AND(MAX(N(E1825),N(F1825))&gt;=Settings!$C$9,MOD(MAX(N(E1825),N(F1825)),Settings!$C$10)=0),"Round amount | ",""))-3)))</f>
        <v/>
      </c>
      <c r="M1825" s="21" t="str">
        <f aca="false">IF(A1825="","",IF(COUNTIF($A$9:A1825,A1825)=1,MAX($M$8:M1824)+1,""))</f>
        <v/>
      </c>
    </row>
    <row r="1826" customFormat="false" ht="15" hidden="false" customHeight="false" outlineLevel="0" collapsed="false">
      <c r="A1826" s="8"/>
      <c r="B1826" s="17"/>
      <c r="C1826" s="19"/>
      <c r="D1826" s="8"/>
      <c r="E1826" s="18"/>
      <c r="F1826" s="18"/>
      <c r="G1826" s="8"/>
      <c r="H1826" s="8"/>
      <c r="I1826" s="8"/>
      <c r="J1826" s="8"/>
      <c r="K1826" s="10" t="str">
        <f aca="false">IF(A1826="","",IF(ABS(SUMIFS($E$9:$E$2008,$A$9:$A$2008,A1826)-SUMIFS($F$9:$F$2008,$A$9:$A$2008,A1826))&lt;0.5,"Yes","No"))</f>
        <v/>
      </c>
      <c r="L1826" s="10" t="str">
        <f aca="false">IF(A1826="","",IF(IF(K1826="No","Does not balance | ","")&amp;IF(I1826="","Not approved | ",IF(UPPER(TRIM(H1826))=UPPER(TRIM(I1826)),"Self-approved | ",""))&amp;IF(J1826="","No support | ","")&amp;IF(WEEKDAY(B1826,2)&gt;5,"Weekend posting | ","")&amp;IF(COUNTIF(Settings!$A$14:$A$43,B1826)&gt;0,"Holiday posting | ","")&amp;IF(B1826&gt;Settings!$C$8,"Posted after close | ","")&amp;IF(OR(B1826&lt;Settings!$C$6,B1826&gt;Settings!$C$7),"Outside period | ","")&amp;IF(COUNTIF(Settings!$E$14:$E$43,C1826&amp;"")&gt;0,"Sensitive account | ","")&amp;IF(AND(MAX(N(E1826),N(F1826))&gt;=Settings!$C$9,MOD(MAX(N(E1826),N(F1826)),Settings!$C$10)=0),"Round amount | ","")="","",LEFT(IF(K1826="No","Does not balance | ","")&amp;IF(I1826="","Not approved | ",IF(UPPER(TRIM(H1826))=UPPER(TRIM(I1826)),"Self-approved | ",""))&amp;IF(J1826="","No support | ","")&amp;IF(WEEKDAY(B1826,2)&gt;5,"Weekend posting | ","")&amp;IF(COUNTIF(Settings!$A$14:$A$43,B1826)&gt;0,"Holiday posting | ","")&amp;IF(B1826&gt;Settings!$C$8,"Posted after close | ","")&amp;IF(OR(B1826&lt;Settings!$C$6,B1826&gt;Settings!$C$7),"Outside period | ","")&amp;IF(COUNTIF(Settings!$E$14:$E$43,C1826&amp;"")&gt;0,"Sensitive account | ","")&amp;IF(AND(MAX(N(E1826),N(F1826))&gt;=Settings!$C$9,MOD(MAX(N(E1826),N(F1826)),Settings!$C$10)=0),"Round amount | ",""),LEN(IF(K1826="No","Does not balance | ","")&amp;IF(I1826="","Not approved | ",IF(UPPER(TRIM(H1826))=UPPER(TRIM(I1826)),"Self-approved | ",""))&amp;IF(J1826="","No support | ","")&amp;IF(WEEKDAY(B1826,2)&gt;5,"Weekend posting | ","")&amp;IF(COUNTIF(Settings!$A$14:$A$43,B1826)&gt;0,"Holiday posting | ","")&amp;IF(B1826&gt;Settings!$C$8,"Posted after close | ","")&amp;IF(OR(B1826&lt;Settings!$C$6,B1826&gt;Settings!$C$7),"Outside period | ","")&amp;IF(COUNTIF(Settings!$E$14:$E$43,C1826&amp;"")&gt;0,"Sensitive account | ","")&amp;IF(AND(MAX(N(E1826),N(F1826))&gt;=Settings!$C$9,MOD(MAX(N(E1826),N(F1826)),Settings!$C$10)=0),"Round amount | ",""))-3)))</f>
        <v/>
      </c>
      <c r="M1826" s="21" t="str">
        <f aca="false">IF(A1826="","",IF(COUNTIF($A$9:A1826,A1826)=1,MAX($M$8:M1825)+1,""))</f>
        <v/>
      </c>
    </row>
    <row r="1827" customFormat="false" ht="15" hidden="false" customHeight="false" outlineLevel="0" collapsed="false">
      <c r="A1827" s="8"/>
      <c r="B1827" s="17"/>
      <c r="C1827" s="19"/>
      <c r="D1827" s="8"/>
      <c r="E1827" s="18"/>
      <c r="F1827" s="18"/>
      <c r="G1827" s="8"/>
      <c r="H1827" s="8"/>
      <c r="I1827" s="8"/>
      <c r="J1827" s="8"/>
      <c r="K1827" s="10" t="str">
        <f aca="false">IF(A1827="","",IF(ABS(SUMIFS($E$9:$E$2008,$A$9:$A$2008,A1827)-SUMIFS($F$9:$F$2008,$A$9:$A$2008,A1827))&lt;0.5,"Yes","No"))</f>
        <v/>
      </c>
      <c r="L1827" s="10" t="str">
        <f aca="false">IF(A1827="","",IF(IF(K1827="No","Does not balance | ","")&amp;IF(I1827="","Not approved | ",IF(UPPER(TRIM(H1827))=UPPER(TRIM(I1827)),"Self-approved | ",""))&amp;IF(J1827="","No support | ","")&amp;IF(WEEKDAY(B1827,2)&gt;5,"Weekend posting | ","")&amp;IF(COUNTIF(Settings!$A$14:$A$43,B1827)&gt;0,"Holiday posting | ","")&amp;IF(B1827&gt;Settings!$C$8,"Posted after close | ","")&amp;IF(OR(B1827&lt;Settings!$C$6,B1827&gt;Settings!$C$7),"Outside period | ","")&amp;IF(COUNTIF(Settings!$E$14:$E$43,C1827&amp;"")&gt;0,"Sensitive account | ","")&amp;IF(AND(MAX(N(E1827),N(F1827))&gt;=Settings!$C$9,MOD(MAX(N(E1827),N(F1827)),Settings!$C$10)=0),"Round amount | ","")="","",LEFT(IF(K1827="No","Does not balance | ","")&amp;IF(I1827="","Not approved | ",IF(UPPER(TRIM(H1827))=UPPER(TRIM(I1827)),"Self-approved | ",""))&amp;IF(J1827="","No support | ","")&amp;IF(WEEKDAY(B1827,2)&gt;5,"Weekend posting | ","")&amp;IF(COUNTIF(Settings!$A$14:$A$43,B1827)&gt;0,"Holiday posting | ","")&amp;IF(B1827&gt;Settings!$C$8,"Posted after close | ","")&amp;IF(OR(B1827&lt;Settings!$C$6,B1827&gt;Settings!$C$7),"Outside period | ","")&amp;IF(COUNTIF(Settings!$E$14:$E$43,C1827&amp;"")&gt;0,"Sensitive account | ","")&amp;IF(AND(MAX(N(E1827),N(F1827))&gt;=Settings!$C$9,MOD(MAX(N(E1827),N(F1827)),Settings!$C$10)=0),"Round amount | ",""),LEN(IF(K1827="No","Does not balance | ","")&amp;IF(I1827="","Not approved | ",IF(UPPER(TRIM(H1827))=UPPER(TRIM(I1827)),"Self-approved | ",""))&amp;IF(J1827="","No support | ","")&amp;IF(WEEKDAY(B1827,2)&gt;5,"Weekend posting | ","")&amp;IF(COUNTIF(Settings!$A$14:$A$43,B1827)&gt;0,"Holiday posting | ","")&amp;IF(B1827&gt;Settings!$C$8,"Posted after close | ","")&amp;IF(OR(B1827&lt;Settings!$C$6,B1827&gt;Settings!$C$7),"Outside period | ","")&amp;IF(COUNTIF(Settings!$E$14:$E$43,C1827&amp;"")&gt;0,"Sensitive account | ","")&amp;IF(AND(MAX(N(E1827),N(F1827))&gt;=Settings!$C$9,MOD(MAX(N(E1827),N(F1827)),Settings!$C$10)=0),"Round amount | ",""))-3)))</f>
        <v/>
      </c>
      <c r="M1827" s="21" t="str">
        <f aca="false">IF(A1827="","",IF(COUNTIF($A$9:A1827,A1827)=1,MAX($M$8:M1826)+1,""))</f>
        <v/>
      </c>
    </row>
    <row r="1828" customFormat="false" ht="15" hidden="false" customHeight="false" outlineLevel="0" collapsed="false">
      <c r="A1828" s="8"/>
      <c r="B1828" s="17"/>
      <c r="C1828" s="19"/>
      <c r="D1828" s="8"/>
      <c r="E1828" s="18"/>
      <c r="F1828" s="18"/>
      <c r="G1828" s="8"/>
      <c r="H1828" s="8"/>
      <c r="I1828" s="8"/>
      <c r="J1828" s="8"/>
      <c r="K1828" s="10" t="str">
        <f aca="false">IF(A1828="","",IF(ABS(SUMIFS($E$9:$E$2008,$A$9:$A$2008,A1828)-SUMIFS($F$9:$F$2008,$A$9:$A$2008,A1828))&lt;0.5,"Yes","No"))</f>
        <v/>
      </c>
      <c r="L1828" s="10" t="str">
        <f aca="false">IF(A1828="","",IF(IF(K1828="No","Does not balance | ","")&amp;IF(I1828="","Not approved | ",IF(UPPER(TRIM(H1828))=UPPER(TRIM(I1828)),"Self-approved | ",""))&amp;IF(J1828="","No support | ","")&amp;IF(WEEKDAY(B1828,2)&gt;5,"Weekend posting | ","")&amp;IF(COUNTIF(Settings!$A$14:$A$43,B1828)&gt;0,"Holiday posting | ","")&amp;IF(B1828&gt;Settings!$C$8,"Posted after close | ","")&amp;IF(OR(B1828&lt;Settings!$C$6,B1828&gt;Settings!$C$7),"Outside period | ","")&amp;IF(COUNTIF(Settings!$E$14:$E$43,C1828&amp;"")&gt;0,"Sensitive account | ","")&amp;IF(AND(MAX(N(E1828),N(F1828))&gt;=Settings!$C$9,MOD(MAX(N(E1828),N(F1828)),Settings!$C$10)=0),"Round amount | ","")="","",LEFT(IF(K1828="No","Does not balance | ","")&amp;IF(I1828="","Not approved | ",IF(UPPER(TRIM(H1828))=UPPER(TRIM(I1828)),"Self-approved | ",""))&amp;IF(J1828="","No support | ","")&amp;IF(WEEKDAY(B1828,2)&gt;5,"Weekend posting | ","")&amp;IF(COUNTIF(Settings!$A$14:$A$43,B1828)&gt;0,"Holiday posting | ","")&amp;IF(B1828&gt;Settings!$C$8,"Posted after close | ","")&amp;IF(OR(B1828&lt;Settings!$C$6,B1828&gt;Settings!$C$7),"Outside period | ","")&amp;IF(COUNTIF(Settings!$E$14:$E$43,C1828&amp;"")&gt;0,"Sensitive account | ","")&amp;IF(AND(MAX(N(E1828),N(F1828))&gt;=Settings!$C$9,MOD(MAX(N(E1828),N(F1828)),Settings!$C$10)=0),"Round amount | ",""),LEN(IF(K1828="No","Does not balance | ","")&amp;IF(I1828="","Not approved | ",IF(UPPER(TRIM(H1828))=UPPER(TRIM(I1828)),"Self-approved | ",""))&amp;IF(J1828="","No support | ","")&amp;IF(WEEKDAY(B1828,2)&gt;5,"Weekend posting | ","")&amp;IF(COUNTIF(Settings!$A$14:$A$43,B1828)&gt;0,"Holiday posting | ","")&amp;IF(B1828&gt;Settings!$C$8,"Posted after close | ","")&amp;IF(OR(B1828&lt;Settings!$C$6,B1828&gt;Settings!$C$7),"Outside period | ","")&amp;IF(COUNTIF(Settings!$E$14:$E$43,C1828&amp;"")&gt;0,"Sensitive account | ","")&amp;IF(AND(MAX(N(E1828),N(F1828))&gt;=Settings!$C$9,MOD(MAX(N(E1828),N(F1828)),Settings!$C$10)=0),"Round amount | ",""))-3)))</f>
        <v/>
      </c>
      <c r="M1828" s="21" t="str">
        <f aca="false">IF(A1828="","",IF(COUNTIF($A$9:A1828,A1828)=1,MAX($M$8:M1827)+1,""))</f>
        <v/>
      </c>
    </row>
    <row r="1829" customFormat="false" ht="15" hidden="false" customHeight="false" outlineLevel="0" collapsed="false">
      <c r="A1829" s="8"/>
      <c r="B1829" s="17"/>
      <c r="C1829" s="19"/>
      <c r="D1829" s="8"/>
      <c r="E1829" s="18"/>
      <c r="F1829" s="18"/>
      <c r="G1829" s="8"/>
      <c r="H1829" s="8"/>
      <c r="I1829" s="8"/>
      <c r="J1829" s="8"/>
      <c r="K1829" s="10" t="str">
        <f aca="false">IF(A1829="","",IF(ABS(SUMIFS($E$9:$E$2008,$A$9:$A$2008,A1829)-SUMIFS($F$9:$F$2008,$A$9:$A$2008,A1829))&lt;0.5,"Yes","No"))</f>
        <v/>
      </c>
      <c r="L1829" s="10" t="str">
        <f aca="false">IF(A1829="","",IF(IF(K1829="No","Does not balance | ","")&amp;IF(I1829="","Not approved | ",IF(UPPER(TRIM(H1829))=UPPER(TRIM(I1829)),"Self-approved | ",""))&amp;IF(J1829="","No support | ","")&amp;IF(WEEKDAY(B1829,2)&gt;5,"Weekend posting | ","")&amp;IF(COUNTIF(Settings!$A$14:$A$43,B1829)&gt;0,"Holiday posting | ","")&amp;IF(B1829&gt;Settings!$C$8,"Posted after close | ","")&amp;IF(OR(B1829&lt;Settings!$C$6,B1829&gt;Settings!$C$7),"Outside period | ","")&amp;IF(COUNTIF(Settings!$E$14:$E$43,C1829&amp;"")&gt;0,"Sensitive account | ","")&amp;IF(AND(MAX(N(E1829),N(F1829))&gt;=Settings!$C$9,MOD(MAX(N(E1829),N(F1829)),Settings!$C$10)=0),"Round amount | ","")="","",LEFT(IF(K1829="No","Does not balance | ","")&amp;IF(I1829="","Not approved | ",IF(UPPER(TRIM(H1829))=UPPER(TRIM(I1829)),"Self-approved | ",""))&amp;IF(J1829="","No support | ","")&amp;IF(WEEKDAY(B1829,2)&gt;5,"Weekend posting | ","")&amp;IF(COUNTIF(Settings!$A$14:$A$43,B1829)&gt;0,"Holiday posting | ","")&amp;IF(B1829&gt;Settings!$C$8,"Posted after close | ","")&amp;IF(OR(B1829&lt;Settings!$C$6,B1829&gt;Settings!$C$7),"Outside period | ","")&amp;IF(COUNTIF(Settings!$E$14:$E$43,C1829&amp;"")&gt;0,"Sensitive account | ","")&amp;IF(AND(MAX(N(E1829),N(F1829))&gt;=Settings!$C$9,MOD(MAX(N(E1829),N(F1829)),Settings!$C$10)=0),"Round amount | ",""),LEN(IF(K1829="No","Does not balance | ","")&amp;IF(I1829="","Not approved | ",IF(UPPER(TRIM(H1829))=UPPER(TRIM(I1829)),"Self-approved | ",""))&amp;IF(J1829="","No support | ","")&amp;IF(WEEKDAY(B1829,2)&gt;5,"Weekend posting | ","")&amp;IF(COUNTIF(Settings!$A$14:$A$43,B1829)&gt;0,"Holiday posting | ","")&amp;IF(B1829&gt;Settings!$C$8,"Posted after close | ","")&amp;IF(OR(B1829&lt;Settings!$C$6,B1829&gt;Settings!$C$7),"Outside period | ","")&amp;IF(COUNTIF(Settings!$E$14:$E$43,C1829&amp;"")&gt;0,"Sensitive account | ","")&amp;IF(AND(MAX(N(E1829),N(F1829))&gt;=Settings!$C$9,MOD(MAX(N(E1829),N(F1829)),Settings!$C$10)=0),"Round amount | ",""))-3)))</f>
        <v/>
      </c>
      <c r="M1829" s="21" t="str">
        <f aca="false">IF(A1829="","",IF(COUNTIF($A$9:A1829,A1829)=1,MAX($M$8:M1828)+1,""))</f>
        <v/>
      </c>
    </row>
    <row r="1830" customFormat="false" ht="15" hidden="false" customHeight="false" outlineLevel="0" collapsed="false">
      <c r="A1830" s="8"/>
      <c r="B1830" s="17"/>
      <c r="C1830" s="19"/>
      <c r="D1830" s="8"/>
      <c r="E1830" s="18"/>
      <c r="F1830" s="18"/>
      <c r="G1830" s="8"/>
      <c r="H1830" s="8"/>
      <c r="I1830" s="8"/>
      <c r="J1830" s="8"/>
      <c r="K1830" s="10" t="str">
        <f aca="false">IF(A1830="","",IF(ABS(SUMIFS($E$9:$E$2008,$A$9:$A$2008,A1830)-SUMIFS($F$9:$F$2008,$A$9:$A$2008,A1830))&lt;0.5,"Yes","No"))</f>
        <v/>
      </c>
      <c r="L1830" s="10" t="str">
        <f aca="false">IF(A1830="","",IF(IF(K1830="No","Does not balance | ","")&amp;IF(I1830="","Not approved | ",IF(UPPER(TRIM(H1830))=UPPER(TRIM(I1830)),"Self-approved | ",""))&amp;IF(J1830="","No support | ","")&amp;IF(WEEKDAY(B1830,2)&gt;5,"Weekend posting | ","")&amp;IF(COUNTIF(Settings!$A$14:$A$43,B1830)&gt;0,"Holiday posting | ","")&amp;IF(B1830&gt;Settings!$C$8,"Posted after close | ","")&amp;IF(OR(B1830&lt;Settings!$C$6,B1830&gt;Settings!$C$7),"Outside period | ","")&amp;IF(COUNTIF(Settings!$E$14:$E$43,C1830&amp;"")&gt;0,"Sensitive account | ","")&amp;IF(AND(MAX(N(E1830),N(F1830))&gt;=Settings!$C$9,MOD(MAX(N(E1830),N(F1830)),Settings!$C$10)=0),"Round amount | ","")="","",LEFT(IF(K1830="No","Does not balance | ","")&amp;IF(I1830="","Not approved | ",IF(UPPER(TRIM(H1830))=UPPER(TRIM(I1830)),"Self-approved | ",""))&amp;IF(J1830="","No support | ","")&amp;IF(WEEKDAY(B1830,2)&gt;5,"Weekend posting | ","")&amp;IF(COUNTIF(Settings!$A$14:$A$43,B1830)&gt;0,"Holiday posting | ","")&amp;IF(B1830&gt;Settings!$C$8,"Posted after close | ","")&amp;IF(OR(B1830&lt;Settings!$C$6,B1830&gt;Settings!$C$7),"Outside period | ","")&amp;IF(COUNTIF(Settings!$E$14:$E$43,C1830&amp;"")&gt;0,"Sensitive account | ","")&amp;IF(AND(MAX(N(E1830),N(F1830))&gt;=Settings!$C$9,MOD(MAX(N(E1830),N(F1830)),Settings!$C$10)=0),"Round amount | ",""),LEN(IF(K1830="No","Does not balance | ","")&amp;IF(I1830="","Not approved | ",IF(UPPER(TRIM(H1830))=UPPER(TRIM(I1830)),"Self-approved | ",""))&amp;IF(J1830="","No support | ","")&amp;IF(WEEKDAY(B1830,2)&gt;5,"Weekend posting | ","")&amp;IF(COUNTIF(Settings!$A$14:$A$43,B1830)&gt;0,"Holiday posting | ","")&amp;IF(B1830&gt;Settings!$C$8,"Posted after close | ","")&amp;IF(OR(B1830&lt;Settings!$C$6,B1830&gt;Settings!$C$7),"Outside period | ","")&amp;IF(COUNTIF(Settings!$E$14:$E$43,C1830&amp;"")&gt;0,"Sensitive account | ","")&amp;IF(AND(MAX(N(E1830),N(F1830))&gt;=Settings!$C$9,MOD(MAX(N(E1830),N(F1830)),Settings!$C$10)=0),"Round amount | ",""))-3)))</f>
        <v/>
      </c>
      <c r="M1830" s="21" t="str">
        <f aca="false">IF(A1830="","",IF(COUNTIF($A$9:A1830,A1830)=1,MAX($M$8:M1829)+1,""))</f>
        <v/>
      </c>
    </row>
    <row r="1831" customFormat="false" ht="15" hidden="false" customHeight="false" outlineLevel="0" collapsed="false">
      <c r="A1831" s="8"/>
      <c r="B1831" s="17"/>
      <c r="C1831" s="19"/>
      <c r="D1831" s="8"/>
      <c r="E1831" s="18"/>
      <c r="F1831" s="18"/>
      <c r="G1831" s="8"/>
      <c r="H1831" s="8"/>
      <c r="I1831" s="8"/>
      <c r="J1831" s="8"/>
      <c r="K1831" s="10" t="str">
        <f aca="false">IF(A1831="","",IF(ABS(SUMIFS($E$9:$E$2008,$A$9:$A$2008,A1831)-SUMIFS($F$9:$F$2008,$A$9:$A$2008,A1831))&lt;0.5,"Yes","No"))</f>
        <v/>
      </c>
      <c r="L1831" s="10" t="str">
        <f aca="false">IF(A1831="","",IF(IF(K1831="No","Does not balance | ","")&amp;IF(I1831="","Not approved | ",IF(UPPER(TRIM(H1831))=UPPER(TRIM(I1831)),"Self-approved | ",""))&amp;IF(J1831="","No support | ","")&amp;IF(WEEKDAY(B1831,2)&gt;5,"Weekend posting | ","")&amp;IF(COUNTIF(Settings!$A$14:$A$43,B1831)&gt;0,"Holiday posting | ","")&amp;IF(B1831&gt;Settings!$C$8,"Posted after close | ","")&amp;IF(OR(B1831&lt;Settings!$C$6,B1831&gt;Settings!$C$7),"Outside period | ","")&amp;IF(COUNTIF(Settings!$E$14:$E$43,C1831&amp;"")&gt;0,"Sensitive account | ","")&amp;IF(AND(MAX(N(E1831),N(F1831))&gt;=Settings!$C$9,MOD(MAX(N(E1831),N(F1831)),Settings!$C$10)=0),"Round amount | ","")="","",LEFT(IF(K1831="No","Does not balance | ","")&amp;IF(I1831="","Not approved | ",IF(UPPER(TRIM(H1831))=UPPER(TRIM(I1831)),"Self-approved | ",""))&amp;IF(J1831="","No support | ","")&amp;IF(WEEKDAY(B1831,2)&gt;5,"Weekend posting | ","")&amp;IF(COUNTIF(Settings!$A$14:$A$43,B1831)&gt;0,"Holiday posting | ","")&amp;IF(B1831&gt;Settings!$C$8,"Posted after close | ","")&amp;IF(OR(B1831&lt;Settings!$C$6,B1831&gt;Settings!$C$7),"Outside period | ","")&amp;IF(COUNTIF(Settings!$E$14:$E$43,C1831&amp;"")&gt;0,"Sensitive account | ","")&amp;IF(AND(MAX(N(E1831),N(F1831))&gt;=Settings!$C$9,MOD(MAX(N(E1831),N(F1831)),Settings!$C$10)=0),"Round amount | ",""),LEN(IF(K1831="No","Does not balance | ","")&amp;IF(I1831="","Not approved | ",IF(UPPER(TRIM(H1831))=UPPER(TRIM(I1831)),"Self-approved | ",""))&amp;IF(J1831="","No support | ","")&amp;IF(WEEKDAY(B1831,2)&gt;5,"Weekend posting | ","")&amp;IF(COUNTIF(Settings!$A$14:$A$43,B1831)&gt;0,"Holiday posting | ","")&amp;IF(B1831&gt;Settings!$C$8,"Posted after close | ","")&amp;IF(OR(B1831&lt;Settings!$C$6,B1831&gt;Settings!$C$7),"Outside period | ","")&amp;IF(COUNTIF(Settings!$E$14:$E$43,C1831&amp;"")&gt;0,"Sensitive account | ","")&amp;IF(AND(MAX(N(E1831),N(F1831))&gt;=Settings!$C$9,MOD(MAX(N(E1831),N(F1831)),Settings!$C$10)=0),"Round amount | ",""))-3)))</f>
        <v/>
      </c>
      <c r="M1831" s="21" t="str">
        <f aca="false">IF(A1831="","",IF(COUNTIF($A$9:A1831,A1831)=1,MAX($M$8:M1830)+1,""))</f>
        <v/>
      </c>
    </row>
    <row r="1832" customFormat="false" ht="15" hidden="false" customHeight="false" outlineLevel="0" collapsed="false">
      <c r="A1832" s="8"/>
      <c r="B1832" s="17"/>
      <c r="C1832" s="19"/>
      <c r="D1832" s="8"/>
      <c r="E1832" s="18"/>
      <c r="F1832" s="18"/>
      <c r="G1832" s="8"/>
      <c r="H1832" s="8"/>
      <c r="I1832" s="8"/>
      <c r="J1832" s="8"/>
      <c r="K1832" s="10" t="str">
        <f aca="false">IF(A1832="","",IF(ABS(SUMIFS($E$9:$E$2008,$A$9:$A$2008,A1832)-SUMIFS($F$9:$F$2008,$A$9:$A$2008,A1832))&lt;0.5,"Yes","No"))</f>
        <v/>
      </c>
      <c r="L1832" s="10" t="str">
        <f aca="false">IF(A1832="","",IF(IF(K1832="No","Does not balance | ","")&amp;IF(I1832="","Not approved | ",IF(UPPER(TRIM(H1832))=UPPER(TRIM(I1832)),"Self-approved | ",""))&amp;IF(J1832="","No support | ","")&amp;IF(WEEKDAY(B1832,2)&gt;5,"Weekend posting | ","")&amp;IF(COUNTIF(Settings!$A$14:$A$43,B1832)&gt;0,"Holiday posting | ","")&amp;IF(B1832&gt;Settings!$C$8,"Posted after close | ","")&amp;IF(OR(B1832&lt;Settings!$C$6,B1832&gt;Settings!$C$7),"Outside period | ","")&amp;IF(COUNTIF(Settings!$E$14:$E$43,C1832&amp;"")&gt;0,"Sensitive account | ","")&amp;IF(AND(MAX(N(E1832),N(F1832))&gt;=Settings!$C$9,MOD(MAX(N(E1832),N(F1832)),Settings!$C$10)=0),"Round amount | ","")="","",LEFT(IF(K1832="No","Does not balance | ","")&amp;IF(I1832="","Not approved | ",IF(UPPER(TRIM(H1832))=UPPER(TRIM(I1832)),"Self-approved | ",""))&amp;IF(J1832="","No support | ","")&amp;IF(WEEKDAY(B1832,2)&gt;5,"Weekend posting | ","")&amp;IF(COUNTIF(Settings!$A$14:$A$43,B1832)&gt;0,"Holiday posting | ","")&amp;IF(B1832&gt;Settings!$C$8,"Posted after close | ","")&amp;IF(OR(B1832&lt;Settings!$C$6,B1832&gt;Settings!$C$7),"Outside period | ","")&amp;IF(COUNTIF(Settings!$E$14:$E$43,C1832&amp;"")&gt;0,"Sensitive account | ","")&amp;IF(AND(MAX(N(E1832),N(F1832))&gt;=Settings!$C$9,MOD(MAX(N(E1832),N(F1832)),Settings!$C$10)=0),"Round amount | ",""),LEN(IF(K1832="No","Does not balance | ","")&amp;IF(I1832="","Not approved | ",IF(UPPER(TRIM(H1832))=UPPER(TRIM(I1832)),"Self-approved | ",""))&amp;IF(J1832="","No support | ","")&amp;IF(WEEKDAY(B1832,2)&gt;5,"Weekend posting | ","")&amp;IF(COUNTIF(Settings!$A$14:$A$43,B1832)&gt;0,"Holiday posting | ","")&amp;IF(B1832&gt;Settings!$C$8,"Posted after close | ","")&amp;IF(OR(B1832&lt;Settings!$C$6,B1832&gt;Settings!$C$7),"Outside period | ","")&amp;IF(COUNTIF(Settings!$E$14:$E$43,C1832&amp;"")&gt;0,"Sensitive account | ","")&amp;IF(AND(MAX(N(E1832),N(F1832))&gt;=Settings!$C$9,MOD(MAX(N(E1832),N(F1832)),Settings!$C$10)=0),"Round amount | ",""))-3)))</f>
        <v/>
      </c>
      <c r="M1832" s="21" t="str">
        <f aca="false">IF(A1832="","",IF(COUNTIF($A$9:A1832,A1832)=1,MAX($M$8:M1831)+1,""))</f>
        <v/>
      </c>
    </row>
    <row r="1833" customFormat="false" ht="15" hidden="false" customHeight="false" outlineLevel="0" collapsed="false">
      <c r="A1833" s="8"/>
      <c r="B1833" s="17"/>
      <c r="C1833" s="19"/>
      <c r="D1833" s="8"/>
      <c r="E1833" s="18"/>
      <c r="F1833" s="18"/>
      <c r="G1833" s="8"/>
      <c r="H1833" s="8"/>
      <c r="I1833" s="8"/>
      <c r="J1833" s="8"/>
      <c r="K1833" s="10" t="str">
        <f aca="false">IF(A1833="","",IF(ABS(SUMIFS($E$9:$E$2008,$A$9:$A$2008,A1833)-SUMIFS($F$9:$F$2008,$A$9:$A$2008,A1833))&lt;0.5,"Yes","No"))</f>
        <v/>
      </c>
      <c r="L1833" s="10" t="str">
        <f aca="false">IF(A1833="","",IF(IF(K1833="No","Does not balance | ","")&amp;IF(I1833="","Not approved | ",IF(UPPER(TRIM(H1833))=UPPER(TRIM(I1833)),"Self-approved | ",""))&amp;IF(J1833="","No support | ","")&amp;IF(WEEKDAY(B1833,2)&gt;5,"Weekend posting | ","")&amp;IF(COUNTIF(Settings!$A$14:$A$43,B1833)&gt;0,"Holiday posting | ","")&amp;IF(B1833&gt;Settings!$C$8,"Posted after close | ","")&amp;IF(OR(B1833&lt;Settings!$C$6,B1833&gt;Settings!$C$7),"Outside period | ","")&amp;IF(COUNTIF(Settings!$E$14:$E$43,C1833&amp;"")&gt;0,"Sensitive account | ","")&amp;IF(AND(MAX(N(E1833),N(F1833))&gt;=Settings!$C$9,MOD(MAX(N(E1833),N(F1833)),Settings!$C$10)=0),"Round amount | ","")="","",LEFT(IF(K1833="No","Does not balance | ","")&amp;IF(I1833="","Not approved | ",IF(UPPER(TRIM(H1833))=UPPER(TRIM(I1833)),"Self-approved | ",""))&amp;IF(J1833="","No support | ","")&amp;IF(WEEKDAY(B1833,2)&gt;5,"Weekend posting | ","")&amp;IF(COUNTIF(Settings!$A$14:$A$43,B1833)&gt;0,"Holiday posting | ","")&amp;IF(B1833&gt;Settings!$C$8,"Posted after close | ","")&amp;IF(OR(B1833&lt;Settings!$C$6,B1833&gt;Settings!$C$7),"Outside period | ","")&amp;IF(COUNTIF(Settings!$E$14:$E$43,C1833&amp;"")&gt;0,"Sensitive account | ","")&amp;IF(AND(MAX(N(E1833),N(F1833))&gt;=Settings!$C$9,MOD(MAX(N(E1833),N(F1833)),Settings!$C$10)=0),"Round amount | ",""),LEN(IF(K1833="No","Does not balance | ","")&amp;IF(I1833="","Not approved | ",IF(UPPER(TRIM(H1833))=UPPER(TRIM(I1833)),"Self-approved | ",""))&amp;IF(J1833="","No support | ","")&amp;IF(WEEKDAY(B1833,2)&gt;5,"Weekend posting | ","")&amp;IF(COUNTIF(Settings!$A$14:$A$43,B1833)&gt;0,"Holiday posting | ","")&amp;IF(B1833&gt;Settings!$C$8,"Posted after close | ","")&amp;IF(OR(B1833&lt;Settings!$C$6,B1833&gt;Settings!$C$7),"Outside period | ","")&amp;IF(COUNTIF(Settings!$E$14:$E$43,C1833&amp;"")&gt;0,"Sensitive account | ","")&amp;IF(AND(MAX(N(E1833),N(F1833))&gt;=Settings!$C$9,MOD(MAX(N(E1833),N(F1833)),Settings!$C$10)=0),"Round amount | ",""))-3)))</f>
        <v/>
      </c>
      <c r="M1833" s="21" t="str">
        <f aca="false">IF(A1833="","",IF(COUNTIF($A$9:A1833,A1833)=1,MAX($M$8:M1832)+1,""))</f>
        <v/>
      </c>
    </row>
    <row r="1834" customFormat="false" ht="15" hidden="false" customHeight="false" outlineLevel="0" collapsed="false">
      <c r="A1834" s="8"/>
      <c r="B1834" s="17"/>
      <c r="C1834" s="19"/>
      <c r="D1834" s="8"/>
      <c r="E1834" s="18"/>
      <c r="F1834" s="18"/>
      <c r="G1834" s="8"/>
      <c r="H1834" s="8"/>
      <c r="I1834" s="8"/>
      <c r="J1834" s="8"/>
      <c r="K1834" s="10" t="str">
        <f aca="false">IF(A1834="","",IF(ABS(SUMIFS($E$9:$E$2008,$A$9:$A$2008,A1834)-SUMIFS($F$9:$F$2008,$A$9:$A$2008,A1834))&lt;0.5,"Yes","No"))</f>
        <v/>
      </c>
      <c r="L1834" s="10" t="str">
        <f aca="false">IF(A1834="","",IF(IF(K1834="No","Does not balance | ","")&amp;IF(I1834="","Not approved | ",IF(UPPER(TRIM(H1834))=UPPER(TRIM(I1834)),"Self-approved | ",""))&amp;IF(J1834="","No support | ","")&amp;IF(WEEKDAY(B1834,2)&gt;5,"Weekend posting | ","")&amp;IF(COUNTIF(Settings!$A$14:$A$43,B1834)&gt;0,"Holiday posting | ","")&amp;IF(B1834&gt;Settings!$C$8,"Posted after close | ","")&amp;IF(OR(B1834&lt;Settings!$C$6,B1834&gt;Settings!$C$7),"Outside period | ","")&amp;IF(COUNTIF(Settings!$E$14:$E$43,C1834&amp;"")&gt;0,"Sensitive account | ","")&amp;IF(AND(MAX(N(E1834),N(F1834))&gt;=Settings!$C$9,MOD(MAX(N(E1834),N(F1834)),Settings!$C$10)=0),"Round amount | ","")="","",LEFT(IF(K1834="No","Does not balance | ","")&amp;IF(I1834="","Not approved | ",IF(UPPER(TRIM(H1834))=UPPER(TRIM(I1834)),"Self-approved | ",""))&amp;IF(J1834="","No support | ","")&amp;IF(WEEKDAY(B1834,2)&gt;5,"Weekend posting | ","")&amp;IF(COUNTIF(Settings!$A$14:$A$43,B1834)&gt;0,"Holiday posting | ","")&amp;IF(B1834&gt;Settings!$C$8,"Posted after close | ","")&amp;IF(OR(B1834&lt;Settings!$C$6,B1834&gt;Settings!$C$7),"Outside period | ","")&amp;IF(COUNTIF(Settings!$E$14:$E$43,C1834&amp;"")&gt;0,"Sensitive account | ","")&amp;IF(AND(MAX(N(E1834),N(F1834))&gt;=Settings!$C$9,MOD(MAX(N(E1834),N(F1834)),Settings!$C$10)=0),"Round amount | ",""),LEN(IF(K1834="No","Does not balance | ","")&amp;IF(I1834="","Not approved | ",IF(UPPER(TRIM(H1834))=UPPER(TRIM(I1834)),"Self-approved | ",""))&amp;IF(J1834="","No support | ","")&amp;IF(WEEKDAY(B1834,2)&gt;5,"Weekend posting | ","")&amp;IF(COUNTIF(Settings!$A$14:$A$43,B1834)&gt;0,"Holiday posting | ","")&amp;IF(B1834&gt;Settings!$C$8,"Posted after close | ","")&amp;IF(OR(B1834&lt;Settings!$C$6,B1834&gt;Settings!$C$7),"Outside period | ","")&amp;IF(COUNTIF(Settings!$E$14:$E$43,C1834&amp;"")&gt;0,"Sensitive account | ","")&amp;IF(AND(MAX(N(E1834),N(F1834))&gt;=Settings!$C$9,MOD(MAX(N(E1834),N(F1834)),Settings!$C$10)=0),"Round amount | ",""))-3)))</f>
        <v/>
      </c>
      <c r="M1834" s="21" t="str">
        <f aca="false">IF(A1834="","",IF(COUNTIF($A$9:A1834,A1834)=1,MAX($M$8:M1833)+1,""))</f>
        <v/>
      </c>
    </row>
    <row r="1835" customFormat="false" ht="15" hidden="false" customHeight="false" outlineLevel="0" collapsed="false">
      <c r="A1835" s="8"/>
      <c r="B1835" s="17"/>
      <c r="C1835" s="19"/>
      <c r="D1835" s="8"/>
      <c r="E1835" s="18"/>
      <c r="F1835" s="18"/>
      <c r="G1835" s="8"/>
      <c r="H1835" s="8"/>
      <c r="I1835" s="8"/>
      <c r="J1835" s="8"/>
      <c r="K1835" s="10" t="str">
        <f aca="false">IF(A1835="","",IF(ABS(SUMIFS($E$9:$E$2008,$A$9:$A$2008,A1835)-SUMIFS($F$9:$F$2008,$A$9:$A$2008,A1835))&lt;0.5,"Yes","No"))</f>
        <v/>
      </c>
      <c r="L1835" s="10" t="str">
        <f aca="false">IF(A1835="","",IF(IF(K1835="No","Does not balance | ","")&amp;IF(I1835="","Not approved | ",IF(UPPER(TRIM(H1835))=UPPER(TRIM(I1835)),"Self-approved | ",""))&amp;IF(J1835="","No support | ","")&amp;IF(WEEKDAY(B1835,2)&gt;5,"Weekend posting | ","")&amp;IF(COUNTIF(Settings!$A$14:$A$43,B1835)&gt;0,"Holiday posting | ","")&amp;IF(B1835&gt;Settings!$C$8,"Posted after close | ","")&amp;IF(OR(B1835&lt;Settings!$C$6,B1835&gt;Settings!$C$7),"Outside period | ","")&amp;IF(COUNTIF(Settings!$E$14:$E$43,C1835&amp;"")&gt;0,"Sensitive account | ","")&amp;IF(AND(MAX(N(E1835),N(F1835))&gt;=Settings!$C$9,MOD(MAX(N(E1835),N(F1835)),Settings!$C$10)=0),"Round amount | ","")="","",LEFT(IF(K1835="No","Does not balance | ","")&amp;IF(I1835="","Not approved | ",IF(UPPER(TRIM(H1835))=UPPER(TRIM(I1835)),"Self-approved | ",""))&amp;IF(J1835="","No support | ","")&amp;IF(WEEKDAY(B1835,2)&gt;5,"Weekend posting | ","")&amp;IF(COUNTIF(Settings!$A$14:$A$43,B1835)&gt;0,"Holiday posting | ","")&amp;IF(B1835&gt;Settings!$C$8,"Posted after close | ","")&amp;IF(OR(B1835&lt;Settings!$C$6,B1835&gt;Settings!$C$7),"Outside period | ","")&amp;IF(COUNTIF(Settings!$E$14:$E$43,C1835&amp;"")&gt;0,"Sensitive account | ","")&amp;IF(AND(MAX(N(E1835),N(F1835))&gt;=Settings!$C$9,MOD(MAX(N(E1835),N(F1835)),Settings!$C$10)=0),"Round amount | ",""),LEN(IF(K1835="No","Does not balance | ","")&amp;IF(I1835="","Not approved | ",IF(UPPER(TRIM(H1835))=UPPER(TRIM(I1835)),"Self-approved | ",""))&amp;IF(J1835="","No support | ","")&amp;IF(WEEKDAY(B1835,2)&gt;5,"Weekend posting | ","")&amp;IF(COUNTIF(Settings!$A$14:$A$43,B1835)&gt;0,"Holiday posting | ","")&amp;IF(B1835&gt;Settings!$C$8,"Posted after close | ","")&amp;IF(OR(B1835&lt;Settings!$C$6,B1835&gt;Settings!$C$7),"Outside period | ","")&amp;IF(COUNTIF(Settings!$E$14:$E$43,C1835&amp;"")&gt;0,"Sensitive account | ","")&amp;IF(AND(MAX(N(E1835),N(F1835))&gt;=Settings!$C$9,MOD(MAX(N(E1835),N(F1835)),Settings!$C$10)=0),"Round amount | ",""))-3)))</f>
        <v/>
      </c>
      <c r="M1835" s="21" t="str">
        <f aca="false">IF(A1835="","",IF(COUNTIF($A$9:A1835,A1835)=1,MAX($M$8:M1834)+1,""))</f>
        <v/>
      </c>
    </row>
    <row r="1836" customFormat="false" ht="15" hidden="false" customHeight="false" outlineLevel="0" collapsed="false">
      <c r="A1836" s="8"/>
      <c r="B1836" s="17"/>
      <c r="C1836" s="19"/>
      <c r="D1836" s="8"/>
      <c r="E1836" s="18"/>
      <c r="F1836" s="18"/>
      <c r="G1836" s="8"/>
      <c r="H1836" s="8"/>
      <c r="I1836" s="8"/>
      <c r="J1836" s="8"/>
      <c r="K1836" s="10" t="str">
        <f aca="false">IF(A1836="","",IF(ABS(SUMIFS($E$9:$E$2008,$A$9:$A$2008,A1836)-SUMIFS($F$9:$F$2008,$A$9:$A$2008,A1836))&lt;0.5,"Yes","No"))</f>
        <v/>
      </c>
      <c r="L1836" s="10" t="str">
        <f aca="false">IF(A1836="","",IF(IF(K1836="No","Does not balance | ","")&amp;IF(I1836="","Not approved | ",IF(UPPER(TRIM(H1836))=UPPER(TRIM(I1836)),"Self-approved | ",""))&amp;IF(J1836="","No support | ","")&amp;IF(WEEKDAY(B1836,2)&gt;5,"Weekend posting | ","")&amp;IF(COUNTIF(Settings!$A$14:$A$43,B1836)&gt;0,"Holiday posting | ","")&amp;IF(B1836&gt;Settings!$C$8,"Posted after close | ","")&amp;IF(OR(B1836&lt;Settings!$C$6,B1836&gt;Settings!$C$7),"Outside period | ","")&amp;IF(COUNTIF(Settings!$E$14:$E$43,C1836&amp;"")&gt;0,"Sensitive account | ","")&amp;IF(AND(MAX(N(E1836),N(F1836))&gt;=Settings!$C$9,MOD(MAX(N(E1836),N(F1836)),Settings!$C$10)=0),"Round amount | ","")="","",LEFT(IF(K1836="No","Does not balance | ","")&amp;IF(I1836="","Not approved | ",IF(UPPER(TRIM(H1836))=UPPER(TRIM(I1836)),"Self-approved | ",""))&amp;IF(J1836="","No support | ","")&amp;IF(WEEKDAY(B1836,2)&gt;5,"Weekend posting | ","")&amp;IF(COUNTIF(Settings!$A$14:$A$43,B1836)&gt;0,"Holiday posting | ","")&amp;IF(B1836&gt;Settings!$C$8,"Posted after close | ","")&amp;IF(OR(B1836&lt;Settings!$C$6,B1836&gt;Settings!$C$7),"Outside period | ","")&amp;IF(COUNTIF(Settings!$E$14:$E$43,C1836&amp;"")&gt;0,"Sensitive account | ","")&amp;IF(AND(MAX(N(E1836),N(F1836))&gt;=Settings!$C$9,MOD(MAX(N(E1836),N(F1836)),Settings!$C$10)=0),"Round amount | ",""),LEN(IF(K1836="No","Does not balance | ","")&amp;IF(I1836="","Not approved | ",IF(UPPER(TRIM(H1836))=UPPER(TRIM(I1836)),"Self-approved | ",""))&amp;IF(J1836="","No support | ","")&amp;IF(WEEKDAY(B1836,2)&gt;5,"Weekend posting | ","")&amp;IF(COUNTIF(Settings!$A$14:$A$43,B1836)&gt;0,"Holiday posting | ","")&amp;IF(B1836&gt;Settings!$C$8,"Posted after close | ","")&amp;IF(OR(B1836&lt;Settings!$C$6,B1836&gt;Settings!$C$7),"Outside period | ","")&amp;IF(COUNTIF(Settings!$E$14:$E$43,C1836&amp;"")&gt;0,"Sensitive account | ","")&amp;IF(AND(MAX(N(E1836),N(F1836))&gt;=Settings!$C$9,MOD(MAX(N(E1836),N(F1836)),Settings!$C$10)=0),"Round amount | ",""))-3)))</f>
        <v/>
      </c>
      <c r="M1836" s="21" t="str">
        <f aca="false">IF(A1836="","",IF(COUNTIF($A$9:A1836,A1836)=1,MAX($M$8:M1835)+1,""))</f>
        <v/>
      </c>
    </row>
    <row r="1837" customFormat="false" ht="15" hidden="false" customHeight="false" outlineLevel="0" collapsed="false">
      <c r="A1837" s="8"/>
      <c r="B1837" s="17"/>
      <c r="C1837" s="19"/>
      <c r="D1837" s="8"/>
      <c r="E1837" s="18"/>
      <c r="F1837" s="18"/>
      <c r="G1837" s="8"/>
      <c r="H1837" s="8"/>
      <c r="I1837" s="8"/>
      <c r="J1837" s="8"/>
      <c r="K1837" s="10" t="str">
        <f aca="false">IF(A1837="","",IF(ABS(SUMIFS($E$9:$E$2008,$A$9:$A$2008,A1837)-SUMIFS($F$9:$F$2008,$A$9:$A$2008,A1837))&lt;0.5,"Yes","No"))</f>
        <v/>
      </c>
      <c r="L1837" s="10" t="str">
        <f aca="false">IF(A1837="","",IF(IF(K1837="No","Does not balance | ","")&amp;IF(I1837="","Not approved | ",IF(UPPER(TRIM(H1837))=UPPER(TRIM(I1837)),"Self-approved | ",""))&amp;IF(J1837="","No support | ","")&amp;IF(WEEKDAY(B1837,2)&gt;5,"Weekend posting | ","")&amp;IF(COUNTIF(Settings!$A$14:$A$43,B1837)&gt;0,"Holiday posting | ","")&amp;IF(B1837&gt;Settings!$C$8,"Posted after close | ","")&amp;IF(OR(B1837&lt;Settings!$C$6,B1837&gt;Settings!$C$7),"Outside period | ","")&amp;IF(COUNTIF(Settings!$E$14:$E$43,C1837&amp;"")&gt;0,"Sensitive account | ","")&amp;IF(AND(MAX(N(E1837),N(F1837))&gt;=Settings!$C$9,MOD(MAX(N(E1837),N(F1837)),Settings!$C$10)=0),"Round amount | ","")="","",LEFT(IF(K1837="No","Does not balance | ","")&amp;IF(I1837="","Not approved | ",IF(UPPER(TRIM(H1837))=UPPER(TRIM(I1837)),"Self-approved | ",""))&amp;IF(J1837="","No support | ","")&amp;IF(WEEKDAY(B1837,2)&gt;5,"Weekend posting | ","")&amp;IF(COUNTIF(Settings!$A$14:$A$43,B1837)&gt;0,"Holiday posting | ","")&amp;IF(B1837&gt;Settings!$C$8,"Posted after close | ","")&amp;IF(OR(B1837&lt;Settings!$C$6,B1837&gt;Settings!$C$7),"Outside period | ","")&amp;IF(COUNTIF(Settings!$E$14:$E$43,C1837&amp;"")&gt;0,"Sensitive account | ","")&amp;IF(AND(MAX(N(E1837),N(F1837))&gt;=Settings!$C$9,MOD(MAX(N(E1837),N(F1837)),Settings!$C$10)=0),"Round amount | ",""),LEN(IF(K1837="No","Does not balance | ","")&amp;IF(I1837="","Not approved | ",IF(UPPER(TRIM(H1837))=UPPER(TRIM(I1837)),"Self-approved | ",""))&amp;IF(J1837="","No support | ","")&amp;IF(WEEKDAY(B1837,2)&gt;5,"Weekend posting | ","")&amp;IF(COUNTIF(Settings!$A$14:$A$43,B1837)&gt;0,"Holiday posting | ","")&amp;IF(B1837&gt;Settings!$C$8,"Posted after close | ","")&amp;IF(OR(B1837&lt;Settings!$C$6,B1837&gt;Settings!$C$7),"Outside period | ","")&amp;IF(COUNTIF(Settings!$E$14:$E$43,C1837&amp;"")&gt;0,"Sensitive account | ","")&amp;IF(AND(MAX(N(E1837),N(F1837))&gt;=Settings!$C$9,MOD(MAX(N(E1837),N(F1837)),Settings!$C$10)=0),"Round amount | ",""))-3)))</f>
        <v/>
      </c>
      <c r="M1837" s="21" t="str">
        <f aca="false">IF(A1837="","",IF(COUNTIF($A$9:A1837,A1837)=1,MAX($M$8:M1836)+1,""))</f>
        <v/>
      </c>
    </row>
    <row r="1838" customFormat="false" ht="15" hidden="false" customHeight="false" outlineLevel="0" collapsed="false">
      <c r="A1838" s="8"/>
      <c r="B1838" s="17"/>
      <c r="C1838" s="19"/>
      <c r="D1838" s="8"/>
      <c r="E1838" s="18"/>
      <c r="F1838" s="18"/>
      <c r="G1838" s="8"/>
      <c r="H1838" s="8"/>
      <c r="I1838" s="8"/>
      <c r="J1838" s="8"/>
      <c r="K1838" s="10" t="str">
        <f aca="false">IF(A1838="","",IF(ABS(SUMIFS($E$9:$E$2008,$A$9:$A$2008,A1838)-SUMIFS($F$9:$F$2008,$A$9:$A$2008,A1838))&lt;0.5,"Yes","No"))</f>
        <v/>
      </c>
      <c r="L1838" s="10" t="str">
        <f aca="false">IF(A1838="","",IF(IF(K1838="No","Does not balance | ","")&amp;IF(I1838="","Not approved | ",IF(UPPER(TRIM(H1838))=UPPER(TRIM(I1838)),"Self-approved | ",""))&amp;IF(J1838="","No support | ","")&amp;IF(WEEKDAY(B1838,2)&gt;5,"Weekend posting | ","")&amp;IF(COUNTIF(Settings!$A$14:$A$43,B1838)&gt;0,"Holiday posting | ","")&amp;IF(B1838&gt;Settings!$C$8,"Posted after close | ","")&amp;IF(OR(B1838&lt;Settings!$C$6,B1838&gt;Settings!$C$7),"Outside period | ","")&amp;IF(COUNTIF(Settings!$E$14:$E$43,C1838&amp;"")&gt;0,"Sensitive account | ","")&amp;IF(AND(MAX(N(E1838),N(F1838))&gt;=Settings!$C$9,MOD(MAX(N(E1838),N(F1838)),Settings!$C$10)=0),"Round amount | ","")="","",LEFT(IF(K1838="No","Does not balance | ","")&amp;IF(I1838="","Not approved | ",IF(UPPER(TRIM(H1838))=UPPER(TRIM(I1838)),"Self-approved | ",""))&amp;IF(J1838="","No support | ","")&amp;IF(WEEKDAY(B1838,2)&gt;5,"Weekend posting | ","")&amp;IF(COUNTIF(Settings!$A$14:$A$43,B1838)&gt;0,"Holiday posting | ","")&amp;IF(B1838&gt;Settings!$C$8,"Posted after close | ","")&amp;IF(OR(B1838&lt;Settings!$C$6,B1838&gt;Settings!$C$7),"Outside period | ","")&amp;IF(COUNTIF(Settings!$E$14:$E$43,C1838&amp;"")&gt;0,"Sensitive account | ","")&amp;IF(AND(MAX(N(E1838),N(F1838))&gt;=Settings!$C$9,MOD(MAX(N(E1838),N(F1838)),Settings!$C$10)=0),"Round amount | ",""),LEN(IF(K1838="No","Does not balance | ","")&amp;IF(I1838="","Not approved | ",IF(UPPER(TRIM(H1838))=UPPER(TRIM(I1838)),"Self-approved | ",""))&amp;IF(J1838="","No support | ","")&amp;IF(WEEKDAY(B1838,2)&gt;5,"Weekend posting | ","")&amp;IF(COUNTIF(Settings!$A$14:$A$43,B1838)&gt;0,"Holiday posting | ","")&amp;IF(B1838&gt;Settings!$C$8,"Posted after close | ","")&amp;IF(OR(B1838&lt;Settings!$C$6,B1838&gt;Settings!$C$7),"Outside period | ","")&amp;IF(COUNTIF(Settings!$E$14:$E$43,C1838&amp;"")&gt;0,"Sensitive account | ","")&amp;IF(AND(MAX(N(E1838),N(F1838))&gt;=Settings!$C$9,MOD(MAX(N(E1838),N(F1838)),Settings!$C$10)=0),"Round amount | ",""))-3)))</f>
        <v/>
      </c>
      <c r="M1838" s="21" t="str">
        <f aca="false">IF(A1838="","",IF(COUNTIF($A$9:A1838,A1838)=1,MAX($M$8:M1837)+1,""))</f>
        <v/>
      </c>
    </row>
    <row r="1839" customFormat="false" ht="15" hidden="false" customHeight="false" outlineLevel="0" collapsed="false">
      <c r="A1839" s="8"/>
      <c r="B1839" s="17"/>
      <c r="C1839" s="19"/>
      <c r="D1839" s="8"/>
      <c r="E1839" s="18"/>
      <c r="F1839" s="18"/>
      <c r="G1839" s="8"/>
      <c r="H1839" s="8"/>
      <c r="I1839" s="8"/>
      <c r="J1839" s="8"/>
      <c r="K1839" s="10" t="str">
        <f aca="false">IF(A1839="","",IF(ABS(SUMIFS($E$9:$E$2008,$A$9:$A$2008,A1839)-SUMIFS($F$9:$F$2008,$A$9:$A$2008,A1839))&lt;0.5,"Yes","No"))</f>
        <v/>
      </c>
      <c r="L1839" s="10" t="str">
        <f aca="false">IF(A1839="","",IF(IF(K1839="No","Does not balance | ","")&amp;IF(I1839="","Not approved | ",IF(UPPER(TRIM(H1839))=UPPER(TRIM(I1839)),"Self-approved | ",""))&amp;IF(J1839="","No support | ","")&amp;IF(WEEKDAY(B1839,2)&gt;5,"Weekend posting | ","")&amp;IF(COUNTIF(Settings!$A$14:$A$43,B1839)&gt;0,"Holiday posting | ","")&amp;IF(B1839&gt;Settings!$C$8,"Posted after close | ","")&amp;IF(OR(B1839&lt;Settings!$C$6,B1839&gt;Settings!$C$7),"Outside period | ","")&amp;IF(COUNTIF(Settings!$E$14:$E$43,C1839&amp;"")&gt;0,"Sensitive account | ","")&amp;IF(AND(MAX(N(E1839),N(F1839))&gt;=Settings!$C$9,MOD(MAX(N(E1839),N(F1839)),Settings!$C$10)=0),"Round amount | ","")="","",LEFT(IF(K1839="No","Does not balance | ","")&amp;IF(I1839="","Not approved | ",IF(UPPER(TRIM(H1839))=UPPER(TRIM(I1839)),"Self-approved | ",""))&amp;IF(J1839="","No support | ","")&amp;IF(WEEKDAY(B1839,2)&gt;5,"Weekend posting | ","")&amp;IF(COUNTIF(Settings!$A$14:$A$43,B1839)&gt;0,"Holiday posting | ","")&amp;IF(B1839&gt;Settings!$C$8,"Posted after close | ","")&amp;IF(OR(B1839&lt;Settings!$C$6,B1839&gt;Settings!$C$7),"Outside period | ","")&amp;IF(COUNTIF(Settings!$E$14:$E$43,C1839&amp;"")&gt;0,"Sensitive account | ","")&amp;IF(AND(MAX(N(E1839),N(F1839))&gt;=Settings!$C$9,MOD(MAX(N(E1839),N(F1839)),Settings!$C$10)=0),"Round amount | ",""),LEN(IF(K1839="No","Does not balance | ","")&amp;IF(I1839="","Not approved | ",IF(UPPER(TRIM(H1839))=UPPER(TRIM(I1839)),"Self-approved | ",""))&amp;IF(J1839="","No support | ","")&amp;IF(WEEKDAY(B1839,2)&gt;5,"Weekend posting | ","")&amp;IF(COUNTIF(Settings!$A$14:$A$43,B1839)&gt;0,"Holiday posting | ","")&amp;IF(B1839&gt;Settings!$C$8,"Posted after close | ","")&amp;IF(OR(B1839&lt;Settings!$C$6,B1839&gt;Settings!$C$7),"Outside period | ","")&amp;IF(COUNTIF(Settings!$E$14:$E$43,C1839&amp;"")&gt;0,"Sensitive account | ","")&amp;IF(AND(MAX(N(E1839),N(F1839))&gt;=Settings!$C$9,MOD(MAX(N(E1839),N(F1839)),Settings!$C$10)=0),"Round amount | ",""))-3)))</f>
        <v/>
      </c>
      <c r="M1839" s="21" t="str">
        <f aca="false">IF(A1839="","",IF(COUNTIF($A$9:A1839,A1839)=1,MAX($M$8:M1838)+1,""))</f>
        <v/>
      </c>
    </row>
    <row r="1840" customFormat="false" ht="15" hidden="false" customHeight="false" outlineLevel="0" collapsed="false">
      <c r="A1840" s="8"/>
      <c r="B1840" s="17"/>
      <c r="C1840" s="19"/>
      <c r="D1840" s="8"/>
      <c r="E1840" s="18"/>
      <c r="F1840" s="18"/>
      <c r="G1840" s="8"/>
      <c r="H1840" s="8"/>
      <c r="I1840" s="8"/>
      <c r="J1840" s="8"/>
      <c r="K1840" s="10" t="str">
        <f aca="false">IF(A1840="","",IF(ABS(SUMIFS($E$9:$E$2008,$A$9:$A$2008,A1840)-SUMIFS($F$9:$F$2008,$A$9:$A$2008,A1840))&lt;0.5,"Yes","No"))</f>
        <v/>
      </c>
      <c r="L1840" s="10" t="str">
        <f aca="false">IF(A1840="","",IF(IF(K1840="No","Does not balance | ","")&amp;IF(I1840="","Not approved | ",IF(UPPER(TRIM(H1840))=UPPER(TRIM(I1840)),"Self-approved | ",""))&amp;IF(J1840="","No support | ","")&amp;IF(WEEKDAY(B1840,2)&gt;5,"Weekend posting | ","")&amp;IF(COUNTIF(Settings!$A$14:$A$43,B1840)&gt;0,"Holiday posting | ","")&amp;IF(B1840&gt;Settings!$C$8,"Posted after close | ","")&amp;IF(OR(B1840&lt;Settings!$C$6,B1840&gt;Settings!$C$7),"Outside period | ","")&amp;IF(COUNTIF(Settings!$E$14:$E$43,C1840&amp;"")&gt;0,"Sensitive account | ","")&amp;IF(AND(MAX(N(E1840),N(F1840))&gt;=Settings!$C$9,MOD(MAX(N(E1840),N(F1840)),Settings!$C$10)=0),"Round amount | ","")="","",LEFT(IF(K1840="No","Does not balance | ","")&amp;IF(I1840="","Not approved | ",IF(UPPER(TRIM(H1840))=UPPER(TRIM(I1840)),"Self-approved | ",""))&amp;IF(J1840="","No support | ","")&amp;IF(WEEKDAY(B1840,2)&gt;5,"Weekend posting | ","")&amp;IF(COUNTIF(Settings!$A$14:$A$43,B1840)&gt;0,"Holiday posting | ","")&amp;IF(B1840&gt;Settings!$C$8,"Posted after close | ","")&amp;IF(OR(B1840&lt;Settings!$C$6,B1840&gt;Settings!$C$7),"Outside period | ","")&amp;IF(COUNTIF(Settings!$E$14:$E$43,C1840&amp;"")&gt;0,"Sensitive account | ","")&amp;IF(AND(MAX(N(E1840),N(F1840))&gt;=Settings!$C$9,MOD(MAX(N(E1840),N(F1840)),Settings!$C$10)=0),"Round amount | ",""),LEN(IF(K1840="No","Does not balance | ","")&amp;IF(I1840="","Not approved | ",IF(UPPER(TRIM(H1840))=UPPER(TRIM(I1840)),"Self-approved | ",""))&amp;IF(J1840="","No support | ","")&amp;IF(WEEKDAY(B1840,2)&gt;5,"Weekend posting | ","")&amp;IF(COUNTIF(Settings!$A$14:$A$43,B1840)&gt;0,"Holiday posting | ","")&amp;IF(B1840&gt;Settings!$C$8,"Posted after close | ","")&amp;IF(OR(B1840&lt;Settings!$C$6,B1840&gt;Settings!$C$7),"Outside period | ","")&amp;IF(COUNTIF(Settings!$E$14:$E$43,C1840&amp;"")&gt;0,"Sensitive account | ","")&amp;IF(AND(MAX(N(E1840),N(F1840))&gt;=Settings!$C$9,MOD(MAX(N(E1840),N(F1840)),Settings!$C$10)=0),"Round amount | ",""))-3)))</f>
        <v/>
      </c>
      <c r="M1840" s="21" t="str">
        <f aca="false">IF(A1840="","",IF(COUNTIF($A$9:A1840,A1840)=1,MAX($M$8:M1839)+1,""))</f>
        <v/>
      </c>
    </row>
    <row r="1841" customFormat="false" ht="15" hidden="false" customHeight="false" outlineLevel="0" collapsed="false">
      <c r="A1841" s="8"/>
      <c r="B1841" s="17"/>
      <c r="C1841" s="19"/>
      <c r="D1841" s="8"/>
      <c r="E1841" s="18"/>
      <c r="F1841" s="18"/>
      <c r="G1841" s="8"/>
      <c r="H1841" s="8"/>
      <c r="I1841" s="8"/>
      <c r="J1841" s="8"/>
      <c r="K1841" s="10" t="str">
        <f aca="false">IF(A1841="","",IF(ABS(SUMIFS($E$9:$E$2008,$A$9:$A$2008,A1841)-SUMIFS($F$9:$F$2008,$A$9:$A$2008,A1841))&lt;0.5,"Yes","No"))</f>
        <v/>
      </c>
      <c r="L1841" s="10" t="str">
        <f aca="false">IF(A1841="","",IF(IF(K1841="No","Does not balance | ","")&amp;IF(I1841="","Not approved | ",IF(UPPER(TRIM(H1841))=UPPER(TRIM(I1841)),"Self-approved | ",""))&amp;IF(J1841="","No support | ","")&amp;IF(WEEKDAY(B1841,2)&gt;5,"Weekend posting | ","")&amp;IF(COUNTIF(Settings!$A$14:$A$43,B1841)&gt;0,"Holiday posting | ","")&amp;IF(B1841&gt;Settings!$C$8,"Posted after close | ","")&amp;IF(OR(B1841&lt;Settings!$C$6,B1841&gt;Settings!$C$7),"Outside period | ","")&amp;IF(COUNTIF(Settings!$E$14:$E$43,C1841&amp;"")&gt;0,"Sensitive account | ","")&amp;IF(AND(MAX(N(E1841),N(F1841))&gt;=Settings!$C$9,MOD(MAX(N(E1841),N(F1841)),Settings!$C$10)=0),"Round amount | ","")="","",LEFT(IF(K1841="No","Does not balance | ","")&amp;IF(I1841="","Not approved | ",IF(UPPER(TRIM(H1841))=UPPER(TRIM(I1841)),"Self-approved | ",""))&amp;IF(J1841="","No support | ","")&amp;IF(WEEKDAY(B1841,2)&gt;5,"Weekend posting | ","")&amp;IF(COUNTIF(Settings!$A$14:$A$43,B1841)&gt;0,"Holiday posting | ","")&amp;IF(B1841&gt;Settings!$C$8,"Posted after close | ","")&amp;IF(OR(B1841&lt;Settings!$C$6,B1841&gt;Settings!$C$7),"Outside period | ","")&amp;IF(COUNTIF(Settings!$E$14:$E$43,C1841&amp;"")&gt;0,"Sensitive account | ","")&amp;IF(AND(MAX(N(E1841),N(F1841))&gt;=Settings!$C$9,MOD(MAX(N(E1841),N(F1841)),Settings!$C$10)=0),"Round amount | ",""),LEN(IF(K1841="No","Does not balance | ","")&amp;IF(I1841="","Not approved | ",IF(UPPER(TRIM(H1841))=UPPER(TRIM(I1841)),"Self-approved | ",""))&amp;IF(J1841="","No support | ","")&amp;IF(WEEKDAY(B1841,2)&gt;5,"Weekend posting | ","")&amp;IF(COUNTIF(Settings!$A$14:$A$43,B1841)&gt;0,"Holiday posting | ","")&amp;IF(B1841&gt;Settings!$C$8,"Posted after close | ","")&amp;IF(OR(B1841&lt;Settings!$C$6,B1841&gt;Settings!$C$7),"Outside period | ","")&amp;IF(COUNTIF(Settings!$E$14:$E$43,C1841&amp;"")&gt;0,"Sensitive account | ","")&amp;IF(AND(MAX(N(E1841),N(F1841))&gt;=Settings!$C$9,MOD(MAX(N(E1841),N(F1841)),Settings!$C$10)=0),"Round amount | ",""))-3)))</f>
        <v/>
      </c>
      <c r="M1841" s="21" t="str">
        <f aca="false">IF(A1841="","",IF(COUNTIF($A$9:A1841,A1841)=1,MAX($M$8:M1840)+1,""))</f>
        <v/>
      </c>
    </row>
    <row r="1842" customFormat="false" ht="15" hidden="false" customHeight="false" outlineLevel="0" collapsed="false">
      <c r="A1842" s="8"/>
      <c r="B1842" s="17"/>
      <c r="C1842" s="19"/>
      <c r="D1842" s="8"/>
      <c r="E1842" s="18"/>
      <c r="F1842" s="18"/>
      <c r="G1842" s="8"/>
      <c r="H1842" s="8"/>
      <c r="I1842" s="8"/>
      <c r="J1842" s="8"/>
      <c r="K1842" s="10" t="str">
        <f aca="false">IF(A1842="","",IF(ABS(SUMIFS($E$9:$E$2008,$A$9:$A$2008,A1842)-SUMIFS($F$9:$F$2008,$A$9:$A$2008,A1842))&lt;0.5,"Yes","No"))</f>
        <v/>
      </c>
      <c r="L1842" s="10" t="str">
        <f aca="false">IF(A1842="","",IF(IF(K1842="No","Does not balance | ","")&amp;IF(I1842="","Not approved | ",IF(UPPER(TRIM(H1842))=UPPER(TRIM(I1842)),"Self-approved | ",""))&amp;IF(J1842="","No support | ","")&amp;IF(WEEKDAY(B1842,2)&gt;5,"Weekend posting | ","")&amp;IF(COUNTIF(Settings!$A$14:$A$43,B1842)&gt;0,"Holiday posting | ","")&amp;IF(B1842&gt;Settings!$C$8,"Posted after close | ","")&amp;IF(OR(B1842&lt;Settings!$C$6,B1842&gt;Settings!$C$7),"Outside period | ","")&amp;IF(COUNTIF(Settings!$E$14:$E$43,C1842&amp;"")&gt;0,"Sensitive account | ","")&amp;IF(AND(MAX(N(E1842),N(F1842))&gt;=Settings!$C$9,MOD(MAX(N(E1842),N(F1842)),Settings!$C$10)=0),"Round amount | ","")="","",LEFT(IF(K1842="No","Does not balance | ","")&amp;IF(I1842="","Not approved | ",IF(UPPER(TRIM(H1842))=UPPER(TRIM(I1842)),"Self-approved | ",""))&amp;IF(J1842="","No support | ","")&amp;IF(WEEKDAY(B1842,2)&gt;5,"Weekend posting | ","")&amp;IF(COUNTIF(Settings!$A$14:$A$43,B1842)&gt;0,"Holiday posting | ","")&amp;IF(B1842&gt;Settings!$C$8,"Posted after close | ","")&amp;IF(OR(B1842&lt;Settings!$C$6,B1842&gt;Settings!$C$7),"Outside period | ","")&amp;IF(COUNTIF(Settings!$E$14:$E$43,C1842&amp;"")&gt;0,"Sensitive account | ","")&amp;IF(AND(MAX(N(E1842),N(F1842))&gt;=Settings!$C$9,MOD(MAX(N(E1842),N(F1842)),Settings!$C$10)=0),"Round amount | ",""),LEN(IF(K1842="No","Does not balance | ","")&amp;IF(I1842="","Not approved | ",IF(UPPER(TRIM(H1842))=UPPER(TRIM(I1842)),"Self-approved | ",""))&amp;IF(J1842="","No support | ","")&amp;IF(WEEKDAY(B1842,2)&gt;5,"Weekend posting | ","")&amp;IF(COUNTIF(Settings!$A$14:$A$43,B1842)&gt;0,"Holiday posting | ","")&amp;IF(B1842&gt;Settings!$C$8,"Posted after close | ","")&amp;IF(OR(B1842&lt;Settings!$C$6,B1842&gt;Settings!$C$7),"Outside period | ","")&amp;IF(COUNTIF(Settings!$E$14:$E$43,C1842&amp;"")&gt;0,"Sensitive account | ","")&amp;IF(AND(MAX(N(E1842),N(F1842))&gt;=Settings!$C$9,MOD(MAX(N(E1842),N(F1842)),Settings!$C$10)=0),"Round amount | ",""))-3)))</f>
        <v/>
      </c>
      <c r="M1842" s="21" t="str">
        <f aca="false">IF(A1842="","",IF(COUNTIF($A$9:A1842,A1842)=1,MAX($M$8:M1841)+1,""))</f>
        <v/>
      </c>
    </row>
    <row r="1843" customFormat="false" ht="15" hidden="false" customHeight="false" outlineLevel="0" collapsed="false">
      <c r="A1843" s="8"/>
      <c r="B1843" s="17"/>
      <c r="C1843" s="19"/>
      <c r="D1843" s="8"/>
      <c r="E1843" s="18"/>
      <c r="F1843" s="18"/>
      <c r="G1843" s="8"/>
      <c r="H1843" s="8"/>
      <c r="I1843" s="8"/>
      <c r="J1843" s="8"/>
      <c r="K1843" s="10" t="str">
        <f aca="false">IF(A1843="","",IF(ABS(SUMIFS($E$9:$E$2008,$A$9:$A$2008,A1843)-SUMIFS($F$9:$F$2008,$A$9:$A$2008,A1843))&lt;0.5,"Yes","No"))</f>
        <v/>
      </c>
      <c r="L1843" s="10" t="str">
        <f aca="false">IF(A1843="","",IF(IF(K1843="No","Does not balance | ","")&amp;IF(I1843="","Not approved | ",IF(UPPER(TRIM(H1843))=UPPER(TRIM(I1843)),"Self-approved | ",""))&amp;IF(J1843="","No support | ","")&amp;IF(WEEKDAY(B1843,2)&gt;5,"Weekend posting | ","")&amp;IF(COUNTIF(Settings!$A$14:$A$43,B1843)&gt;0,"Holiday posting | ","")&amp;IF(B1843&gt;Settings!$C$8,"Posted after close | ","")&amp;IF(OR(B1843&lt;Settings!$C$6,B1843&gt;Settings!$C$7),"Outside period | ","")&amp;IF(COUNTIF(Settings!$E$14:$E$43,C1843&amp;"")&gt;0,"Sensitive account | ","")&amp;IF(AND(MAX(N(E1843),N(F1843))&gt;=Settings!$C$9,MOD(MAX(N(E1843),N(F1843)),Settings!$C$10)=0),"Round amount | ","")="","",LEFT(IF(K1843="No","Does not balance | ","")&amp;IF(I1843="","Not approved | ",IF(UPPER(TRIM(H1843))=UPPER(TRIM(I1843)),"Self-approved | ",""))&amp;IF(J1843="","No support | ","")&amp;IF(WEEKDAY(B1843,2)&gt;5,"Weekend posting | ","")&amp;IF(COUNTIF(Settings!$A$14:$A$43,B1843)&gt;0,"Holiday posting | ","")&amp;IF(B1843&gt;Settings!$C$8,"Posted after close | ","")&amp;IF(OR(B1843&lt;Settings!$C$6,B1843&gt;Settings!$C$7),"Outside period | ","")&amp;IF(COUNTIF(Settings!$E$14:$E$43,C1843&amp;"")&gt;0,"Sensitive account | ","")&amp;IF(AND(MAX(N(E1843),N(F1843))&gt;=Settings!$C$9,MOD(MAX(N(E1843),N(F1843)),Settings!$C$10)=0),"Round amount | ",""),LEN(IF(K1843="No","Does not balance | ","")&amp;IF(I1843="","Not approved | ",IF(UPPER(TRIM(H1843))=UPPER(TRIM(I1843)),"Self-approved | ",""))&amp;IF(J1843="","No support | ","")&amp;IF(WEEKDAY(B1843,2)&gt;5,"Weekend posting | ","")&amp;IF(COUNTIF(Settings!$A$14:$A$43,B1843)&gt;0,"Holiday posting | ","")&amp;IF(B1843&gt;Settings!$C$8,"Posted after close | ","")&amp;IF(OR(B1843&lt;Settings!$C$6,B1843&gt;Settings!$C$7),"Outside period | ","")&amp;IF(COUNTIF(Settings!$E$14:$E$43,C1843&amp;"")&gt;0,"Sensitive account | ","")&amp;IF(AND(MAX(N(E1843),N(F1843))&gt;=Settings!$C$9,MOD(MAX(N(E1843),N(F1843)),Settings!$C$10)=0),"Round amount | ",""))-3)))</f>
        <v/>
      </c>
      <c r="M1843" s="21" t="str">
        <f aca="false">IF(A1843="","",IF(COUNTIF($A$9:A1843,A1843)=1,MAX($M$8:M1842)+1,""))</f>
        <v/>
      </c>
    </row>
    <row r="1844" customFormat="false" ht="15" hidden="false" customHeight="false" outlineLevel="0" collapsed="false">
      <c r="A1844" s="8"/>
      <c r="B1844" s="17"/>
      <c r="C1844" s="19"/>
      <c r="D1844" s="8"/>
      <c r="E1844" s="18"/>
      <c r="F1844" s="18"/>
      <c r="G1844" s="8"/>
      <c r="H1844" s="8"/>
      <c r="I1844" s="8"/>
      <c r="J1844" s="8"/>
      <c r="K1844" s="10" t="str">
        <f aca="false">IF(A1844="","",IF(ABS(SUMIFS($E$9:$E$2008,$A$9:$A$2008,A1844)-SUMIFS($F$9:$F$2008,$A$9:$A$2008,A1844))&lt;0.5,"Yes","No"))</f>
        <v/>
      </c>
      <c r="L1844" s="10" t="str">
        <f aca="false">IF(A1844="","",IF(IF(K1844="No","Does not balance | ","")&amp;IF(I1844="","Not approved | ",IF(UPPER(TRIM(H1844))=UPPER(TRIM(I1844)),"Self-approved | ",""))&amp;IF(J1844="","No support | ","")&amp;IF(WEEKDAY(B1844,2)&gt;5,"Weekend posting | ","")&amp;IF(COUNTIF(Settings!$A$14:$A$43,B1844)&gt;0,"Holiday posting | ","")&amp;IF(B1844&gt;Settings!$C$8,"Posted after close | ","")&amp;IF(OR(B1844&lt;Settings!$C$6,B1844&gt;Settings!$C$7),"Outside period | ","")&amp;IF(COUNTIF(Settings!$E$14:$E$43,C1844&amp;"")&gt;0,"Sensitive account | ","")&amp;IF(AND(MAX(N(E1844),N(F1844))&gt;=Settings!$C$9,MOD(MAX(N(E1844),N(F1844)),Settings!$C$10)=0),"Round amount | ","")="","",LEFT(IF(K1844="No","Does not balance | ","")&amp;IF(I1844="","Not approved | ",IF(UPPER(TRIM(H1844))=UPPER(TRIM(I1844)),"Self-approved | ",""))&amp;IF(J1844="","No support | ","")&amp;IF(WEEKDAY(B1844,2)&gt;5,"Weekend posting | ","")&amp;IF(COUNTIF(Settings!$A$14:$A$43,B1844)&gt;0,"Holiday posting | ","")&amp;IF(B1844&gt;Settings!$C$8,"Posted after close | ","")&amp;IF(OR(B1844&lt;Settings!$C$6,B1844&gt;Settings!$C$7),"Outside period | ","")&amp;IF(COUNTIF(Settings!$E$14:$E$43,C1844&amp;"")&gt;0,"Sensitive account | ","")&amp;IF(AND(MAX(N(E1844),N(F1844))&gt;=Settings!$C$9,MOD(MAX(N(E1844),N(F1844)),Settings!$C$10)=0),"Round amount | ",""),LEN(IF(K1844="No","Does not balance | ","")&amp;IF(I1844="","Not approved | ",IF(UPPER(TRIM(H1844))=UPPER(TRIM(I1844)),"Self-approved | ",""))&amp;IF(J1844="","No support | ","")&amp;IF(WEEKDAY(B1844,2)&gt;5,"Weekend posting | ","")&amp;IF(COUNTIF(Settings!$A$14:$A$43,B1844)&gt;0,"Holiday posting | ","")&amp;IF(B1844&gt;Settings!$C$8,"Posted after close | ","")&amp;IF(OR(B1844&lt;Settings!$C$6,B1844&gt;Settings!$C$7),"Outside period | ","")&amp;IF(COUNTIF(Settings!$E$14:$E$43,C1844&amp;"")&gt;0,"Sensitive account | ","")&amp;IF(AND(MAX(N(E1844),N(F1844))&gt;=Settings!$C$9,MOD(MAX(N(E1844),N(F1844)),Settings!$C$10)=0),"Round amount | ",""))-3)))</f>
        <v/>
      </c>
      <c r="M1844" s="21" t="str">
        <f aca="false">IF(A1844="","",IF(COUNTIF($A$9:A1844,A1844)=1,MAX($M$8:M1843)+1,""))</f>
        <v/>
      </c>
    </row>
    <row r="1845" customFormat="false" ht="15" hidden="false" customHeight="false" outlineLevel="0" collapsed="false">
      <c r="A1845" s="8"/>
      <c r="B1845" s="17"/>
      <c r="C1845" s="19"/>
      <c r="D1845" s="8"/>
      <c r="E1845" s="18"/>
      <c r="F1845" s="18"/>
      <c r="G1845" s="8"/>
      <c r="H1845" s="8"/>
      <c r="I1845" s="8"/>
      <c r="J1845" s="8"/>
      <c r="K1845" s="10" t="str">
        <f aca="false">IF(A1845="","",IF(ABS(SUMIFS($E$9:$E$2008,$A$9:$A$2008,A1845)-SUMIFS($F$9:$F$2008,$A$9:$A$2008,A1845))&lt;0.5,"Yes","No"))</f>
        <v/>
      </c>
      <c r="L1845" s="10" t="str">
        <f aca="false">IF(A1845="","",IF(IF(K1845="No","Does not balance | ","")&amp;IF(I1845="","Not approved | ",IF(UPPER(TRIM(H1845))=UPPER(TRIM(I1845)),"Self-approved | ",""))&amp;IF(J1845="","No support | ","")&amp;IF(WEEKDAY(B1845,2)&gt;5,"Weekend posting | ","")&amp;IF(COUNTIF(Settings!$A$14:$A$43,B1845)&gt;0,"Holiday posting | ","")&amp;IF(B1845&gt;Settings!$C$8,"Posted after close | ","")&amp;IF(OR(B1845&lt;Settings!$C$6,B1845&gt;Settings!$C$7),"Outside period | ","")&amp;IF(COUNTIF(Settings!$E$14:$E$43,C1845&amp;"")&gt;0,"Sensitive account | ","")&amp;IF(AND(MAX(N(E1845),N(F1845))&gt;=Settings!$C$9,MOD(MAX(N(E1845),N(F1845)),Settings!$C$10)=0),"Round amount | ","")="","",LEFT(IF(K1845="No","Does not balance | ","")&amp;IF(I1845="","Not approved | ",IF(UPPER(TRIM(H1845))=UPPER(TRIM(I1845)),"Self-approved | ",""))&amp;IF(J1845="","No support | ","")&amp;IF(WEEKDAY(B1845,2)&gt;5,"Weekend posting | ","")&amp;IF(COUNTIF(Settings!$A$14:$A$43,B1845)&gt;0,"Holiday posting | ","")&amp;IF(B1845&gt;Settings!$C$8,"Posted after close | ","")&amp;IF(OR(B1845&lt;Settings!$C$6,B1845&gt;Settings!$C$7),"Outside period | ","")&amp;IF(COUNTIF(Settings!$E$14:$E$43,C1845&amp;"")&gt;0,"Sensitive account | ","")&amp;IF(AND(MAX(N(E1845),N(F1845))&gt;=Settings!$C$9,MOD(MAX(N(E1845),N(F1845)),Settings!$C$10)=0),"Round amount | ",""),LEN(IF(K1845="No","Does not balance | ","")&amp;IF(I1845="","Not approved | ",IF(UPPER(TRIM(H1845))=UPPER(TRIM(I1845)),"Self-approved | ",""))&amp;IF(J1845="","No support | ","")&amp;IF(WEEKDAY(B1845,2)&gt;5,"Weekend posting | ","")&amp;IF(COUNTIF(Settings!$A$14:$A$43,B1845)&gt;0,"Holiday posting | ","")&amp;IF(B1845&gt;Settings!$C$8,"Posted after close | ","")&amp;IF(OR(B1845&lt;Settings!$C$6,B1845&gt;Settings!$C$7),"Outside period | ","")&amp;IF(COUNTIF(Settings!$E$14:$E$43,C1845&amp;"")&gt;0,"Sensitive account | ","")&amp;IF(AND(MAX(N(E1845),N(F1845))&gt;=Settings!$C$9,MOD(MAX(N(E1845),N(F1845)),Settings!$C$10)=0),"Round amount | ",""))-3)))</f>
        <v/>
      </c>
      <c r="M1845" s="21" t="str">
        <f aca="false">IF(A1845="","",IF(COUNTIF($A$9:A1845,A1845)=1,MAX($M$8:M1844)+1,""))</f>
        <v/>
      </c>
    </row>
    <row r="1846" customFormat="false" ht="15" hidden="false" customHeight="false" outlineLevel="0" collapsed="false">
      <c r="A1846" s="8"/>
      <c r="B1846" s="17"/>
      <c r="C1846" s="19"/>
      <c r="D1846" s="8"/>
      <c r="E1846" s="18"/>
      <c r="F1846" s="18"/>
      <c r="G1846" s="8"/>
      <c r="H1846" s="8"/>
      <c r="I1846" s="8"/>
      <c r="J1846" s="8"/>
      <c r="K1846" s="10" t="str">
        <f aca="false">IF(A1846="","",IF(ABS(SUMIFS($E$9:$E$2008,$A$9:$A$2008,A1846)-SUMIFS($F$9:$F$2008,$A$9:$A$2008,A1846))&lt;0.5,"Yes","No"))</f>
        <v/>
      </c>
      <c r="L1846" s="10" t="str">
        <f aca="false">IF(A1846="","",IF(IF(K1846="No","Does not balance | ","")&amp;IF(I1846="","Not approved | ",IF(UPPER(TRIM(H1846))=UPPER(TRIM(I1846)),"Self-approved | ",""))&amp;IF(J1846="","No support | ","")&amp;IF(WEEKDAY(B1846,2)&gt;5,"Weekend posting | ","")&amp;IF(COUNTIF(Settings!$A$14:$A$43,B1846)&gt;0,"Holiday posting | ","")&amp;IF(B1846&gt;Settings!$C$8,"Posted after close | ","")&amp;IF(OR(B1846&lt;Settings!$C$6,B1846&gt;Settings!$C$7),"Outside period | ","")&amp;IF(COUNTIF(Settings!$E$14:$E$43,C1846&amp;"")&gt;0,"Sensitive account | ","")&amp;IF(AND(MAX(N(E1846),N(F1846))&gt;=Settings!$C$9,MOD(MAX(N(E1846),N(F1846)),Settings!$C$10)=0),"Round amount | ","")="","",LEFT(IF(K1846="No","Does not balance | ","")&amp;IF(I1846="","Not approved | ",IF(UPPER(TRIM(H1846))=UPPER(TRIM(I1846)),"Self-approved | ",""))&amp;IF(J1846="","No support | ","")&amp;IF(WEEKDAY(B1846,2)&gt;5,"Weekend posting | ","")&amp;IF(COUNTIF(Settings!$A$14:$A$43,B1846)&gt;0,"Holiday posting | ","")&amp;IF(B1846&gt;Settings!$C$8,"Posted after close | ","")&amp;IF(OR(B1846&lt;Settings!$C$6,B1846&gt;Settings!$C$7),"Outside period | ","")&amp;IF(COUNTIF(Settings!$E$14:$E$43,C1846&amp;"")&gt;0,"Sensitive account | ","")&amp;IF(AND(MAX(N(E1846),N(F1846))&gt;=Settings!$C$9,MOD(MAX(N(E1846),N(F1846)),Settings!$C$10)=0),"Round amount | ",""),LEN(IF(K1846="No","Does not balance | ","")&amp;IF(I1846="","Not approved | ",IF(UPPER(TRIM(H1846))=UPPER(TRIM(I1846)),"Self-approved | ",""))&amp;IF(J1846="","No support | ","")&amp;IF(WEEKDAY(B1846,2)&gt;5,"Weekend posting | ","")&amp;IF(COUNTIF(Settings!$A$14:$A$43,B1846)&gt;0,"Holiday posting | ","")&amp;IF(B1846&gt;Settings!$C$8,"Posted after close | ","")&amp;IF(OR(B1846&lt;Settings!$C$6,B1846&gt;Settings!$C$7),"Outside period | ","")&amp;IF(COUNTIF(Settings!$E$14:$E$43,C1846&amp;"")&gt;0,"Sensitive account | ","")&amp;IF(AND(MAX(N(E1846),N(F1846))&gt;=Settings!$C$9,MOD(MAX(N(E1846),N(F1846)),Settings!$C$10)=0),"Round amount | ",""))-3)))</f>
        <v/>
      </c>
      <c r="M1846" s="21" t="str">
        <f aca="false">IF(A1846="","",IF(COUNTIF($A$9:A1846,A1846)=1,MAX($M$8:M1845)+1,""))</f>
        <v/>
      </c>
    </row>
    <row r="1847" customFormat="false" ht="15" hidden="false" customHeight="false" outlineLevel="0" collapsed="false">
      <c r="A1847" s="8"/>
      <c r="B1847" s="17"/>
      <c r="C1847" s="19"/>
      <c r="D1847" s="8"/>
      <c r="E1847" s="18"/>
      <c r="F1847" s="18"/>
      <c r="G1847" s="8"/>
      <c r="H1847" s="8"/>
      <c r="I1847" s="8"/>
      <c r="J1847" s="8"/>
      <c r="K1847" s="10" t="str">
        <f aca="false">IF(A1847="","",IF(ABS(SUMIFS($E$9:$E$2008,$A$9:$A$2008,A1847)-SUMIFS($F$9:$F$2008,$A$9:$A$2008,A1847))&lt;0.5,"Yes","No"))</f>
        <v/>
      </c>
      <c r="L1847" s="10" t="str">
        <f aca="false">IF(A1847="","",IF(IF(K1847="No","Does not balance | ","")&amp;IF(I1847="","Not approved | ",IF(UPPER(TRIM(H1847))=UPPER(TRIM(I1847)),"Self-approved | ",""))&amp;IF(J1847="","No support | ","")&amp;IF(WEEKDAY(B1847,2)&gt;5,"Weekend posting | ","")&amp;IF(COUNTIF(Settings!$A$14:$A$43,B1847)&gt;0,"Holiday posting | ","")&amp;IF(B1847&gt;Settings!$C$8,"Posted after close | ","")&amp;IF(OR(B1847&lt;Settings!$C$6,B1847&gt;Settings!$C$7),"Outside period | ","")&amp;IF(COUNTIF(Settings!$E$14:$E$43,C1847&amp;"")&gt;0,"Sensitive account | ","")&amp;IF(AND(MAX(N(E1847),N(F1847))&gt;=Settings!$C$9,MOD(MAX(N(E1847),N(F1847)),Settings!$C$10)=0),"Round amount | ","")="","",LEFT(IF(K1847="No","Does not balance | ","")&amp;IF(I1847="","Not approved | ",IF(UPPER(TRIM(H1847))=UPPER(TRIM(I1847)),"Self-approved | ",""))&amp;IF(J1847="","No support | ","")&amp;IF(WEEKDAY(B1847,2)&gt;5,"Weekend posting | ","")&amp;IF(COUNTIF(Settings!$A$14:$A$43,B1847)&gt;0,"Holiday posting | ","")&amp;IF(B1847&gt;Settings!$C$8,"Posted after close | ","")&amp;IF(OR(B1847&lt;Settings!$C$6,B1847&gt;Settings!$C$7),"Outside period | ","")&amp;IF(COUNTIF(Settings!$E$14:$E$43,C1847&amp;"")&gt;0,"Sensitive account | ","")&amp;IF(AND(MAX(N(E1847),N(F1847))&gt;=Settings!$C$9,MOD(MAX(N(E1847),N(F1847)),Settings!$C$10)=0),"Round amount | ",""),LEN(IF(K1847="No","Does not balance | ","")&amp;IF(I1847="","Not approved | ",IF(UPPER(TRIM(H1847))=UPPER(TRIM(I1847)),"Self-approved | ",""))&amp;IF(J1847="","No support | ","")&amp;IF(WEEKDAY(B1847,2)&gt;5,"Weekend posting | ","")&amp;IF(COUNTIF(Settings!$A$14:$A$43,B1847)&gt;0,"Holiday posting | ","")&amp;IF(B1847&gt;Settings!$C$8,"Posted after close | ","")&amp;IF(OR(B1847&lt;Settings!$C$6,B1847&gt;Settings!$C$7),"Outside period | ","")&amp;IF(COUNTIF(Settings!$E$14:$E$43,C1847&amp;"")&gt;0,"Sensitive account | ","")&amp;IF(AND(MAX(N(E1847),N(F1847))&gt;=Settings!$C$9,MOD(MAX(N(E1847),N(F1847)),Settings!$C$10)=0),"Round amount | ",""))-3)))</f>
        <v/>
      </c>
      <c r="M1847" s="21" t="str">
        <f aca="false">IF(A1847="","",IF(COUNTIF($A$9:A1847,A1847)=1,MAX($M$8:M1846)+1,""))</f>
        <v/>
      </c>
    </row>
    <row r="1848" customFormat="false" ht="15" hidden="false" customHeight="false" outlineLevel="0" collapsed="false">
      <c r="A1848" s="8"/>
      <c r="B1848" s="17"/>
      <c r="C1848" s="19"/>
      <c r="D1848" s="8"/>
      <c r="E1848" s="18"/>
      <c r="F1848" s="18"/>
      <c r="G1848" s="8"/>
      <c r="H1848" s="8"/>
      <c r="I1848" s="8"/>
      <c r="J1848" s="8"/>
      <c r="K1848" s="10" t="str">
        <f aca="false">IF(A1848="","",IF(ABS(SUMIFS($E$9:$E$2008,$A$9:$A$2008,A1848)-SUMIFS($F$9:$F$2008,$A$9:$A$2008,A1848))&lt;0.5,"Yes","No"))</f>
        <v/>
      </c>
      <c r="L1848" s="10" t="str">
        <f aca="false">IF(A1848="","",IF(IF(K1848="No","Does not balance | ","")&amp;IF(I1848="","Not approved | ",IF(UPPER(TRIM(H1848))=UPPER(TRIM(I1848)),"Self-approved | ",""))&amp;IF(J1848="","No support | ","")&amp;IF(WEEKDAY(B1848,2)&gt;5,"Weekend posting | ","")&amp;IF(COUNTIF(Settings!$A$14:$A$43,B1848)&gt;0,"Holiday posting | ","")&amp;IF(B1848&gt;Settings!$C$8,"Posted after close | ","")&amp;IF(OR(B1848&lt;Settings!$C$6,B1848&gt;Settings!$C$7),"Outside period | ","")&amp;IF(COUNTIF(Settings!$E$14:$E$43,C1848&amp;"")&gt;0,"Sensitive account | ","")&amp;IF(AND(MAX(N(E1848),N(F1848))&gt;=Settings!$C$9,MOD(MAX(N(E1848),N(F1848)),Settings!$C$10)=0),"Round amount | ","")="","",LEFT(IF(K1848="No","Does not balance | ","")&amp;IF(I1848="","Not approved | ",IF(UPPER(TRIM(H1848))=UPPER(TRIM(I1848)),"Self-approved | ",""))&amp;IF(J1848="","No support | ","")&amp;IF(WEEKDAY(B1848,2)&gt;5,"Weekend posting | ","")&amp;IF(COUNTIF(Settings!$A$14:$A$43,B1848)&gt;0,"Holiday posting | ","")&amp;IF(B1848&gt;Settings!$C$8,"Posted after close | ","")&amp;IF(OR(B1848&lt;Settings!$C$6,B1848&gt;Settings!$C$7),"Outside period | ","")&amp;IF(COUNTIF(Settings!$E$14:$E$43,C1848&amp;"")&gt;0,"Sensitive account | ","")&amp;IF(AND(MAX(N(E1848),N(F1848))&gt;=Settings!$C$9,MOD(MAX(N(E1848),N(F1848)),Settings!$C$10)=0),"Round amount | ",""),LEN(IF(K1848="No","Does not balance | ","")&amp;IF(I1848="","Not approved | ",IF(UPPER(TRIM(H1848))=UPPER(TRIM(I1848)),"Self-approved | ",""))&amp;IF(J1848="","No support | ","")&amp;IF(WEEKDAY(B1848,2)&gt;5,"Weekend posting | ","")&amp;IF(COUNTIF(Settings!$A$14:$A$43,B1848)&gt;0,"Holiday posting | ","")&amp;IF(B1848&gt;Settings!$C$8,"Posted after close | ","")&amp;IF(OR(B1848&lt;Settings!$C$6,B1848&gt;Settings!$C$7),"Outside period | ","")&amp;IF(COUNTIF(Settings!$E$14:$E$43,C1848&amp;"")&gt;0,"Sensitive account | ","")&amp;IF(AND(MAX(N(E1848),N(F1848))&gt;=Settings!$C$9,MOD(MAX(N(E1848),N(F1848)),Settings!$C$10)=0),"Round amount | ",""))-3)))</f>
        <v/>
      </c>
      <c r="M1848" s="21" t="str">
        <f aca="false">IF(A1848="","",IF(COUNTIF($A$9:A1848,A1848)=1,MAX($M$8:M1847)+1,""))</f>
        <v/>
      </c>
    </row>
    <row r="1849" customFormat="false" ht="15" hidden="false" customHeight="false" outlineLevel="0" collapsed="false">
      <c r="A1849" s="8"/>
      <c r="B1849" s="17"/>
      <c r="C1849" s="19"/>
      <c r="D1849" s="8"/>
      <c r="E1849" s="18"/>
      <c r="F1849" s="18"/>
      <c r="G1849" s="8"/>
      <c r="H1849" s="8"/>
      <c r="I1849" s="8"/>
      <c r="J1849" s="8"/>
      <c r="K1849" s="10" t="str">
        <f aca="false">IF(A1849="","",IF(ABS(SUMIFS($E$9:$E$2008,$A$9:$A$2008,A1849)-SUMIFS($F$9:$F$2008,$A$9:$A$2008,A1849))&lt;0.5,"Yes","No"))</f>
        <v/>
      </c>
      <c r="L1849" s="10" t="str">
        <f aca="false">IF(A1849="","",IF(IF(K1849="No","Does not balance | ","")&amp;IF(I1849="","Not approved | ",IF(UPPER(TRIM(H1849))=UPPER(TRIM(I1849)),"Self-approved | ",""))&amp;IF(J1849="","No support | ","")&amp;IF(WEEKDAY(B1849,2)&gt;5,"Weekend posting | ","")&amp;IF(COUNTIF(Settings!$A$14:$A$43,B1849)&gt;0,"Holiday posting | ","")&amp;IF(B1849&gt;Settings!$C$8,"Posted after close | ","")&amp;IF(OR(B1849&lt;Settings!$C$6,B1849&gt;Settings!$C$7),"Outside period | ","")&amp;IF(COUNTIF(Settings!$E$14:$E$43,C1849&amp;"")&gt;0,"Sensitive account | ","")&amp;IF(AND(MAX(N(E1849),N(F1849))&gt;=Settings!$C$9,MOD(MAX(N(E1849),N(F1849)),Settings!$C$10)=0),"Round amount | ","")="","",LEFT(IF(K1849="No","Does not balance | ","")&amp;IF(I1849="","Not approved | ",IF(UPPER(TRIM(H1849))=UPPER(TRIM(I1849)),"Self-approved | ",""))&amp;IF(J1849="","No support | ","")&amp;IF(WEEKDAY(B1849,2)&gt;5,"Weekend posting | ","")&amp;IF(COUNTIF(Settings!$A$14:$A$43,B1849)&gt;0,"Holiday posting | ","")&amp;IF(B1849&gt;Settings!$C$8,"Posted after close | ","")&amp;IF(OR(B1849&lt;Settings!$C$6,B1849&gt;Settings!$C$7),"Outside period | ","")&amp;IF(COUNTIF(Settings!$E$14:$E$43,C1849&amp;"")&gt;0,"Sensitive account | ","")&amp;IF(AND(MAX(N(E1849),N(F1849))&gt;=Settings!$C$9,MOD(MAX(N(E1849),N(F1849)),Settings!$C$10)=0),"Round amount | ",""),LEN(IF(K1849="No","Does not balance | ","")&amp;IF(I1849="","Not approved | ",IF(UPPER(TRIM(H1849))=UPPER(TRIM(I1849)),"Self-approved | ",""))&amp;IF(J1849="","No support | ","")&amp;IF(WEEKDAY(B1849,2)&gt;5,"Weekend posting | ","")&amp;IF(COUNTIF(Settings!$A$14:$A$43,B1849)&gt;0,"Holiday posting | ","")&amp;IF(B1849&gt;Settings!$C$8,"Posted after close | ","")&amp;IF(OR(B1849&lt;Settings!$C$6,B1849&gt;Settings!$C$7),"Outside period | ","")&amp;IF(COUNTIF(Settings!$E$14:$E$43,C1849&amp;"")&gt;0,"Sensitive account | ","")&amp;IF(AND(MAX(N(E1849),N(F1849))&gt;=Settings!$C$9,MOD(MAX(N(E1849),N(F1849)),Settings!$C$10)=0),"Round amount | ",""))-3)))</f>
        <v/>
      </c>
      <c r="M1849" s="21" t="str">
        <f aca="false">IF(A1849="","",IF(COUNTIF($A$9:A1849,A1849)=1,MAX($M$8:M1848)+1,""))</f>
        <v/>
      </c>
    </row>
    <row r="1850" customFormat="false" ht="15" hidden="false" customHeight="false" outlineLevel="0" collapsed="false">
      <c r="A1850" s="8"/>
      <c r="B1850" s="17"/>
      <c r="C1850" s="19"/>
      <c r="D1850" s="8"/>
      <c r="E1850" s="18"/>
      <c r="F1850" s="18"/>
      <c r="G1850" s="8"/>
      <c r="H1850" s="8"/>
      <c r="I1850" s="8"/>
      <c r="J1850" s="8"/>
      <c r="K1850" s="10" t="str">
        <f aca="false">IF(A1850="","",IF(ABS(SUMIFS($E$9:$E$2008,$A$9:$A$2008,A1850)-SUMIFS($F$9:$F$2008,$A$9:$A$2008,A1850))&lt;0.5,"Yes","No"))</f>
        <v/>
      </c>
      <c r="L1850" s="10" t="str">
        <f aca="false">IF(A1850="","",IF(IF(K1850="No","Does not balance | ","")&amp;IF(I1850="","Not approved | ",IF(UPPER(TRIM(H1850))=UPPER(TRIM(I1850)),"Self-approved | ",""))&amp;IF(J1850="","No support | ","")&amp;IF(WEEKDAY(B1850,2)&gt;5,"Weekend posting | ","")&amp;IF(COUNTIF(Settings!$A$14:$A$43,B1850)&gt;0,"Holiday posting | ","")&amp;IF(B1850&gt;Settings!$C$8,"Posted after close | ","")&amp;IF(OR(B1850&lt;Settings!$C$6,B1850&gt;Settings!$C$7),"Outside period | ","")&amp;IF(COUNTIF(Settings!$E$14:$E$43,C1850&amp;"")&gt;0,"Sensitive account | ","")&amp;IF(AND(MAX(N(E1850),N(F1850))&gt;=Settings!$C$9,MOD(MAX(N(E1850),N(F1850)),Settings!$C$10)=0),"Round amount | ","")="","",LEFT(IF(K1850="No","Does not balance | ","")&amp;IF(I1850="","Not approved | ",IF(UPPER(TRIM(H1850))=UPPER(TRIM(I1850)),"Self-approved | ",""))&amp;IF(J1850="","No support | ","")&amp;IF(WEEKDAY(B1850,2)&gt;5,"Weekend posting | ","")&amp;IF(COUNTIF(Settings!$A$14:$A$43,B1850)&gt;0,"Holiday posting | ","")&amp;IF(B1850&gt;Settings!$C$8,"Posted after close | ","")&amp;IF(OR(B1850&lt;Settings!$C$6,B1850&gt;Settings!$C$7),"Outside period | ","")&amp;IF(COUNTIF(Settings!$E$14:$E$43,C1850&amp;"")&gt;0,"Sensitive account | ","")&amp;IF(AND(MAX(N(E1850),N(F1850))&gt;=Settings!$C$9,MOD(MAX(N(E1850),N(F1850)),Settings!$C$10)=0),"Round amount | ",""),LEN(IF(K1850="No","Does not balance | ","")&amp;IF(I1850="","Not approved | ",IF(UPPER(TRIM(H1850))=UPPER(TRIM(I1850)),"Self-approved | ",""))&amp;IF(J1850="","No support | ","")&amp;IF(WEEKDAY(B1850,2)&gt;5,"Weekend posting | ","")&amp;IF(COUNTIF(Settings!$A$14:$A$43,B1850)&gt;0,"Holiday posting | ","")&amp;IF(B1850&gt;Settings!$C$8,"Posted after close | ","")&amp;IF(OR(B1850&lt;Settings!$C$6,B1850&gt;Settings!$C$7),"Outside period | ","")&amp;IF(COUNTIF(Settings!$E$14:$E$43,C1850&amp;"")&gt;0,"Sensitive account | ","")&amp;IF(AND(MAX(N(E1850),N(F1850))&gt;=Settings!$C$9,MOD(MAX(N(E1850),N(F1850)),Settings!$C$10)=0),"Round amount | ",""))-3)))</f>
        <v/>
      </c>
      <c r="M1850" s="21" t="str">
        <f aca="false">IF(A1850="","",IF(COUNTIF($A$9:A1850,A1850)=1,MAX($M$8:M1849)+1,""))</f>
        <v/>
      </c>
    </row>
    <row r="1851" customFormat="false" ht="15" hidden="false" customHeight="false" outlineLevel="0" collapsed="false">
      <c r="A1851" s="8"/>
      <c r="B1851" s="17"/>
      <c r="C1851" s="19"/>
      <c r="D1851" s="8"/>
      <c r="E1851" s="18"/>
      <c r="F1851" s="18"/>
      <c r="G1851" s="8"/>
      <c r="H1851" s="8"/>
      <c r="I1851" s="8"/>
      <c r="J1851" s="8"/>
      <c r="K1851" s="10" t="str">
        <f aca="false">IF(A1851="","",IF(ABS(SUMIFS($E$9:$E$2008,$A$9:$A$2008,A1851)-SUMIFS($F$9:$F$2008,$A$9:$A$2008,A1851))&lt;0.5,"Yes","No"))</f>
        <v/>
      </c>
      <c r="L1851" s="10" t="str">
        <f aca="false">IF(A1851="","",IF(IF(K1851="No","Does not balance | ","")&amp;IF(I1851="","Not approved | ",IF(UPPER(TRIM(H1851))=UPPER(TRIM(I1851)),"Self-approved | ",""))&amp;IF(J1851="","No support | ","")&amp;IF(WEEKDAY(B1851,2)&gt;5,"Weekend posting | ","")&amp;IF(COUNTIF(Settings!$A$14:$A$43,B1851)&gt;0,"Holiday posting | ","")&amp;IF(B1851&gt;Settings!$C$8,"Posted after close | ","")&amp;IF(OR(B1851&lt;Settings!$C$6,B1851&gt;Settings!$C$7),"Outside period | ","")&amp;IF(COUNTIF(Settings!$E$14:$E$43,C1851&amp;"")&gt;0,"Sensitive account | ","")&amp;IF(AND(MAX(N(E1851),N(F1851))&gt;=Settings!$C$9,MOD(MAX(N(E1851),N(F1851)),Settings!$C$10)=0),"Round amount | ","")="","",LEFT(IF(K1851="No","Does not balance | ","")&amp;IF(I1851="","Not approved | ",IF(UPPER(TRIM(H1851))=UPPER(TRIM(I1851)),"Self-approved | ",""))&amp;IF(J1851="","No support | ","")&amp;IF(WEEKDAY(B1851,2)&gt;5,"Weekend posting | ","")&amp;IF(COUNTIF(Settings!$A$14:$A$43,B1851)&gt;0,"Holiday posting | ","")&amp;IF(B1851&gt;Settings!$C$8,"Posted after close | ","")&amp;IF(OR(B1851&lt;Settings!$C$6,B1851&gt;Settings!$C$7),"Outside period | ","")&amp;IF(COUNTIF(Settings!$E$14:$E$43,C1851&amp;"")&gt;0,"Sensitive account | ","")&amp;IF(AND(MAX(N(E1851),N(F1851))&gt;=Settings!$C$9,MOD(MAX(N(E1851),N(F1851)),Settings!$C$10)=0),"Round amount | ",""),LEN(IF(K1851="No","Does not balance | ","")&amp;IF(I1851="","Not approved | ",IF(UPPER(TRIM(H1851))=UPPER(TRIM(I1851)),"Self-approved | ",""))&amp;IF(J1851="","No support | ","")&amp;IF(WEEKDAY(B1851,2)&gt;5,"Weekend posting | ","")&amp;IF(COUNTIF(Settings!$A$14:$A$43,B1851)&gt;0,"Holiday posting | ","")&amp;IF(B1851&gt;Settings!$C$8,"Posted after close | ","")&amp;IF(OR(B1851&lt;Settings!$C$6,B1851&gt;Settings!$C$7),"Outside period | ","")&amp;IF(COUNTIF(Settings!$E$14:$E$43,C1851&amp;"")&gt;0,"Sensitive account | ","")&amp;IF(AND(MAX(N(E1851),N(F1851))&gt;=Settings!$C$9,MOD(MAX(N(E1851),N(F1851)),Settings!$C$10)=0),"Round amount | ",""))-3)))</f>
        <v/>
      </c>
      <c r="M1851" s="21" t="str">
        <f aca="false">IF(A1851="","",IF(COUNTIF($A$9:A1851,A1851)=1,MAX($M$8:M1850)+1,""))</f>
        <v/>
      </c>
    </row>
    <row r="1852" customFormat="false" ht="15" hidden="false" customHeight="false" outlineLevel="0" collapsed="false">
      <c r="A1852" s="8"/>
      <c r="B1852" s="17"/>
      <c r="C1852" s="19"/>
      <c r="D1852" s="8"/>
      <c r="E1852" s="18"/>
      <c r="F1852" s="18"/>
      <c r="G1852" s="8"/>
      <c r="H1852" s="8"/>
      <c r="I1852" s="8"/>
      <c r="J1852" s="8"/>
      <c r="K1852" s="10" t="str">
        <f aca="false">IF(A1852="","",IF(ABS(SUMIFS($E$9:$E$2008,$A$9:$A$2008,A1852)-SUMIFS($F$9:$F$2008,$A$9:$A$2008,A1852))&lt;0.5,"Yes","No"))</f>
        <v/>
      </c>
      <c r="L1852" s="10" t="str">
        <f aca="false">IF(A1852="","",IF(IF(K1852="No","Does not balance | ","")&amp;IF(I1852="","Not approved | ",IF(UPPER(TRIM(H1852))=UPPER(TRIM(I1852)),"Self-approved | ",""))&amp;IF(J1852="","No support | ","")&amp;IF(WEEKDAY(B1852,2)&gt;5,"Weekend posting | ","")&amp;IF(COUNTIF(Settings!$A$14:$A$43,B1852)&gt;0,"Holiday posting | ","")&amp;IF(B1852&gt;Settings!$C$8,"Posted after close | ","")&amp;IF(OR(B1852&lt;Settings!$C$6,B1852&gt;Settings!$C$7),"Outside period | ","")&amp;IF(COUNTIF(Settings!$E$14:$E$43,C1852&amp;"")&gt;0,"Sensitive account | ","")&amp;IF(AND(MAX(N(E1852),N(F1852))&gt;=Settings!$C$9,MOD(MAX(N(E1852),N(F1852)),Settings!$C$10)=0),"Round amount | ","")="","",LEFT(IF(K1852="No","Does not balance | ","")&amp;IF(I1852="","Not approved | ",IF(UPPER(TRIM(H1852))=UPPER(TRIM(I1852)),"Self-approved | ",""))&amp;IF(J1852="","No support | ","")&amp;IF(WEEKDAY(B1852,2)&gt;5,"Weekend posting | ","")&amp;IF(COUNTIF(Settings!$A$14:$A$43,B1852)&gt;0,"Holiday posting | ","")&amp;IF(B1852&gt;Settings!$C$8,"Posted after close | ","")&amp;IF(OR(B1852&lt;Settings!$C$6,B1852&gt;Settings!$C$7),"Outside period | ","")&amp;IF(COUNTIF(Settings!$E$14:$E$43,C1852&amp;"")&gt;0,"Sensitive account | ","")&amp;IF(AND(MAX(N(E1852),N(F1852))&gt;=Settings!$C$9,MOD(MAX(N(E1852),N(F1852)),Settings!$C$10)=0),"Round amount | ",""),LEN(IF(K1852="No","Does not balance | ","")&amp;IF(I1852="","Not approved | ",IF(UPPER(TRIM(H1852))=UPPER(TRIM(I1852)),"Self-approved | ",""))&amp;IF(J1852="","No support | ","")&amp;IF(WEEKDAY(B1852,2)&gt;5,"Weekend posting | ","")&amp;IF(COUNTIF(Settings!$A$14:$A$43,B1852)&gt;0,"Holiday posting | ","")&amp;IF(B1852&gt;Settings!$C$8,"Posted after close | ","")&amp;IF(OR(B1852&lt;Settings!$C$6,B1852&gt;Settings!$C$7),"Outside period | ","")&amp;IF(COUNTIF(Settings!$E$14:$E$43,C1852&amp;"")&gt;0,"Sensitive account | ","")&amp;IF(AND(MAX(N(E1852),N(F1852))&gt;=Settings!$C$9,MOD(MAX(N(E1852),N(F1852)),Settings!$C$10)=0),"Round amount | ",""))-3)))</f>
        <v/>
      </c>
      <c r="M1852" s="21" t="str">
        <f aca="false">IF(A1852="","",IF(COUNTIF($A$9:A1852,A1852)=1,MAX($M$8:M1851)+1,""))</f>
        <v/>
      </c>
    </row>
    <row r="1853" customFormat="false" ht="15" hidden="false" customHeight="false" outlineLevel="0" collapsed="false">
      <c r="A1853" s="8"/>
      <c r="B1853" s="17"/>
      <c r="C1853" s="19"/>
      <c r="D1853" s="8"/>
      <c r="E1853" s="18"/>
      <c r="F1853" s="18"/>
      <c r="G1853" s="8"/>
      <c r="H1853" s="8"/>
      <c r="I1853" s="8"/>
      <c r="J1853" s="8"/>
      <c r="K1853" s="10" t="str">
        <f aca="false">IF(A1853="","",IF(ABS(SUMIFS($E$9:$E$2008,$A$9:$A$2008,A1853)-SUMIFS($F$9:$F$2008,$A$9:$A$2008,A1853))&lt;0.5,"Yes","No"))</f>
        <v/>
      </c>
      <c r="L1853" s="10" t="str">
        <f aca="false">IF(A1853="","",IF(IF(K1853="No","Does not balance | ","")&amp;IF(I1853="","Not approved | ",IF(UPPER(TRIM(H1853))=UPPER(TRIM(I1853)),"Self-approved | ",""))&amp;IF(J1853="","No support | ","")&amp;IF(WEEKDAY(B1853,2)&gt;5,"Weekend posting | ","")&amp;IF(COUNTIF(Settings!$A$14:$A$43,B1853)&gt;0,"Holiday posting | ","")&amp;IF(B1853&gt;Settings!$C$8,"Posted after close | ","")&amp;IF(OR(B1853&lt;Settings!$C$6,B1853&gt;Settings!$C$7),"Outside period | ","")&amp;IF(COUNTIF(Settings!$E$14:$E$43,C1853&amp;"")&gt;0,"Sensitive account | ","")&amp;IF(AND(MAX(N(E1853),N(F1853))&gt;=Settings!$C$9,MOD(MAX(N(E1853),N(F1853)),Settings!$C$10)=0),"Round amount | ","")="","",LEFT(IF(K1853="No","Does not balance | ","")&amp;IF(I1853="","Not approved | ",IF(UPPER(TRIM(H1853))=UPPER(TRIM(I1853)),"Self-approved | ",""))&amp;IF(J1853="","No support | ","")&amp;IF(WEEKDAY(B1853,2)&gt;5,"Weekend posting | ","")&amp;IF(COUNTIF(Settings!$A$14:$A$43,B1853)&gt;0,"Holiday posting | ","")&amp;IF(B1853&gt;Settings!$C$8,"Posted after close | ","")&amp;IF(OR(B1853&lt;Settings!$C$6,B1853&gt;Settings!$C$7),"Outside period | ","")&amp;IF(COUNTIF(Settings!$E$14:$E$43,C1853&amp;"")&gt;0,"Sensitive account | ","")&amp;IF(AND(MAX(N(E1853),N(F1853))&gt;=Settings!$C$9,MOD(MAX(N(E1853),N(F1853)),Settings!$C$10)=0),"Round amount | ",""),LEN(IF(K1853="No","Does not balance | ","")&amp;IF(I1853="","Not approved | ",IF(UPPER(TRIM(H1853))=UPPER(TRIM(I1853)),"Self-approved | ",""))&amp;IF(J1853="","No support | ","")&amp;IF(WEEKDAY(B1853,2)&gt;5,"Weekend posting | ","")&amp;IF(COUNTIF(Settings!$A$14:$A$43,B1853)&gt;0,"Holiday posting | ","")&amp;IF(B1853&gt;Settings!$C$8,"Posted after close | ","")&amp;IF(OR(B1853&lt;Settings!$C$6,B1853&gt;Settings!$C$7),"Outside period | ","")&amp;IF(COUNTIF(Settings!$E$14:$E$43,C1853&amp;"")&gt;0,"Sensitive account | ","")&amp;IF(AND(MAX(N(E1853),N(F1853))&gt;=Settings!$C$9,MOD(MAX(N(E1853),N(F1853)),Settings!$C$10)=0),"Round amount | ",""))-3)))</f>
        <v/>
      </c>
      <c r="M1853" s="21" t="str">
        <f aca="false">IF(A1853="","",IF(COUNTIF($A$9:A1853,A1853)=1,MAX($M$8:M1852)+1,""))</f>
        <v/>
      </c>
    </row>
    <row r="1854" customFormat="false" ht="15" hidden="false" customHeight="false" outlineLevel="0" collapsed="false">
      <c r="A1854" s="8"/>
      <c r="B1854" s="17"/>
      <c r="C1854" s="19"/>
      <c r="D1854" s="8"/>
      <c r="E1854" s="18"/>
      <c r="F1854" s="18"/>
      <c r="G1854" s="8"/>
      <c r="H1854" s="8"/>
      <c r="I1854" s="8"/>
      <c r="J1854" s="8"/>
      <c r="K1854" s="10" t="str">
        <f aca="false">IF(A1854="","",IF(ABS(SUMIFS($E$9:$E$2008,$A$9:$A$2008,A1854)-SUMIFS($F$9:$F$2008,$A$9:$A$2008,A1854))&lt;0.5,"Yes","No"))</f>
        <v/>
      </c>
      <c r="L1854" s="10" t="str">
        <f aca="false">IF(A1854="","",IF(IF(K1854="No","Does not balance | ","")&amp;IF(I1854="","Not approved | ",IF(UPPER(TRIM(H1854))=UPPER(TRIM(I1854)),"Self-approved | ",""))&amp;IF(J1854="","No support | ","")&amp;IF(WEEKDAY(B1854,2)&gt;5,"Weekend posting | ","")&amp;IF(COUNTIF(Settings!$A$14:$A$43,B1854)&gt;0,"Holiday posting | ","")&amp;IF(B1854&gt;Settings!$C$8,"Posted after close | ","")&amp;IF(OR(B1854&lt;Settings!$C$6,B1854&gt;Settings!$C$7),"Outside period | ","")&amp;IF(COUNTIF(Settings!$E$14:$E$43,C1854&amp;"")&gt;0,"Sensitive account | ","")&amp;IF(AND(MAX(N(E1854),N(F1854))&gt;=Settings!$C$9,MOD(MAX(N(E1854),N(F1854)),Settings!$C$10)=0),"Round amount | ","")="","",LEFT(IF(K1854="No","Does not balance | ","")&amp;IF(I1854="","Not approved | ",IF(UPPER(TRIM(H1854))=UPPER(TRIM(I1854)),"Self-approved | ",""))&amp;IF(J1854="","No support | ","")&amp;IF(WEEKDAY(B1854,2)&gt;5,"Weekend posting | ","")&amp;IF(COUNTIF(Settings!$A$14:$A$43,B1854)&gt;0,"Holiday posting | ","")&amp;IF(B1854&gt;Settings!$C$8,"Posted after close | ","")&amp;IF(OR(B1854&lt;Settings!$C$6,B1854&gt;Settings!$C$7),"Outside period | ","")&amp;IF(COUNTIF(Settings!$E$14:$E$43,C1854&amp;"")&gt;0,"Sensitive account | ","")&amp;IF(AND(MAX(N(E1854),N(F1854))&gt;=Settings!$C$9,MOD(MAX(N(E1854),N(F1854)),Settings!$C$10)=0),"Round amount | ",""),LEN(IF(K1854="No","Does not balance | ","")&amp;IF(I1854="","Not approved | ",IF(UPPER(TRIM(H1854))=UPPER(TRIM(I1854)),"Self-approved | ",""))&amp;IF(J1854="","No support | ","")&amp;IF(WEEKDAY(B1854,2)&gt;5,"Weekend posting | ","")&amp;IF(COUNTIF(Settings!$A$14:$A$43,B1854)&gt;0,"Holiday posting | ","")&amp;IF(B1854&gt;Settings!$C$8,"Posted after close | ","")&amp;IF(OR(B1854&lt;Settings!$C$6,B1854&gt;Settings!$C$7),"Outside period | ","")&amp;IF(COUNTIF(Settings!$E$14:$E$43,C1854&amp;"")&gt;0,"Sensitive account | ","")&amp;IF(AND(MAX(N(E1854),N(F1854))&gt;=Settings!$C$9,MOD(MAX(N(E1854),N(F1854)),Settings!$C$10)=0),"Round amount | ",""))-3)))</f>
        <v/>
      </c>
      <c r="M1854" s="21" t="str">
        <f aca="false">IF(A1854="","",IF(COUNTIF($A$9:A1854,A1854)=1,MAX($M$8:M1853)+1,""))</f>
        <v/>
      </c>
    </row>
    <row r="1855" customFormat="false" ht="15" hidden="false" customHeight="false" outlineLevel="0" collapsed="false">
      <c r="A1855" s="8"/>
      <c r="B1855" s="17"/>
      <c r="C1855" s="19"/>
      <c r="D1855" s="8"/>
      <c r="E1855" s="18"/>
      <c r="F1855" s="18"/>
      <c r="G1855" s="8"/>
      <c r="H1855" s="8"/>
      <c r="I1855" s="8"/>
      <c r="J1855" s="8"/>
      <c r="K1855" s="10" t="str">
        <f aca="false">IF(A1855="","",IF(ABS(SUMIFS($E$9:$E$2008,$A$9:$A$2008,A1855)-SUMIFS($F$9:$F$2008,$A$9:$A$2008,A1855))&lt;0.5,"Yes","No"))</f>
        <v/>
      </c>
      <c r="L1855" s="10" t="str">
        <f aca="false">IF(A1855="","",IF(IF(K1855="No","Does not balance | ","")&amp;IF(I1855="","Not approved | ",IF(UPPER(TRIM(H1855))=UPPER(TRIM(I1855)),"Self-approved | ",""))&amp;IF(J1855="","No support | ","")&amp;IF(WEEKDAY(B1855,2)&gt;5,"Weekend posting | ","")&amp;IF(COUNTIF(Settings!$A$14:$A$43,B1855)&gt;0,"Holiday posting | ","")&amp;IF(B1855&gt;Settings!$C$8,"Posted after close | ","")&amp;IF(OR(B1855&lt;Settings!$C$6,B1855&gt;Settings!$C$7),"Outside period | ","")&amp;IF(COUNTIF(Settings!$E$14:$E$43,C1855&amp;"")&gt;0,"Sensitive account | ","")&amp;IF(AND(MAX(N(E1855),N(F1855))&gt;=Settings!$C$9,MOD(MAX(N(E1855),N(F1855)),Settings!$C$10)=0),"Round amount | ","")="","",LEFT(IF(K1855="No","Does not balance | ","")&amp;IF(I1855="","Not approved | ",IF(UPPER(TRIM(H1855))=UPPER(TRIM(I1855)),"Self-approved | ",""))&amp;IF(J1855="","No support | ","")&amp;IF(WEEKDAY(B1855,2)&gt;5,"Weekend posting | ","")&amp;IF(COUNTIF(Settings!$A$14:$A$43,B1855)&gt;0,"Holiday posting | ","")&amp;IF(B1855&gt;Settings!$C$8,"Posted after close | ","")&amp;IF(OR(B1855&lt;Settings!$C$6,B1855&gt;Settings!$C$7),"Outside period | ","")&amp;IF(COUNTIF(Settings!$E$14:$E$43,C1855&amp;"")&gt;0,"Sensitive account | ","")&amp;IF(AND(MAX(N(E1855),N(F1855))&gt;=Settings!$C$9,MOD(MAX(N(E1855),N(F1855)),Settings!$C$10)=0),"Round amount | ",""),LEN(IF(K1855="No","Does not balance | ","")&amp;IF(I1855="","Not approved | ",IF(UPPER(TRIM(H1855))=UPPER(TRIM(I1855)),"Self-approved | ",""))&amp;IF(J1855="","No support | ","")&amp;IF(WEEKDAY(B1855,2)&gt;5,"Weekend posting | ","")&amp;IF(COUNTIF(Settings!$A$14:$A$43,B1855)&gt;0,"Holiday posting | ","")&amp;IF(B1855&gt;Settings!$C$8,"Posted after close | ","")&amp;IF(OR(B1855&lt;Settings!$C$6,B1855&gt;Settings!$C$7),"Outside period | ","")&amp;IF(COUNTIF(Settings!$E$14:$E$43,C1855&amp;"")&gt;0,"Sensitive account | ","")&amp;IF(AND(MAX(N(E1855),N(F1855))&gt;=Settings!$C$9,MOD(MAX(N(E1855),N(F1855)),Settings!$C$10)=0),"Round amount | ",""))-3)))</f>
        <v/>
      </c>
      <c r="M1855" s="21" t="str">
        <f aca="false">IF(A1855="","",IF(COUNTIF($A$9:A1855,A1855)=1,MAX($M$8:M1854)+1,""))</f>
        <v/>
      </c>
    </row>
    <row r="1856" customFormat="false" ht="15" hidden="false" customHeight="false" outlineLevel="0" collapsed="false">
      <c r="A1856" s="8"/>
      <c r="B1856" s="17"/>
      <c r="C1856" s="19"/>
      <c r="D1856" s="8"/>
      <c r="E1856" s="18"/>
      <c r="F1856" s="18"/>
      <c r="G1856" s="8"/>
      <c r="H1856" s="8"/>
      <c r="I1856" s="8"/>
      <c r="J1856" s="8"/>
      <c r="K1856" s="10" t="str">
        <f aca="false">IF(A1856="","",IF(ABS(SUMIFS($E$9:$E$2008,$A$9:$A$2008,A1856)-SUMIFS($F$9:$F$2008,$A$9:$A$2008,A1856))&lt;0.5,"Yes","No"))</f>
        <v/>
      </c>
      <c r="L1856" s="10" t="str">
        <f aca="false">IF(A1856="","",IF(IF(K1856="No","Does not balance | ","")&amp;IF(I1856="","Not approved | ",IF(UPPER(TRIM(H1856))=UPPER(TRIM(I1856)),"Self-approved | ",""))&amp;IF(J1856="","No support | ","")&amp;IF(WEEKDAY(B1856,2)&gt;5,"Weekend posting | ","")&amp;IF(COUNTIF(Settings!$A$14:$A$43,B1856)&gt;0,"Holiday posting | ","")&amp;IF(B1856&gt;Settings!$C$8,"Posted after close | ","")&amp;IF(OR(B1856&lt;Settings!$C$6,B1856&gt;Settings!$C$7),"Outside period | ","")&amp;IF(COUNTIF(Settings!$E$14:$E$43,C1856&amp;"")&gt;0,"Sensitive account | ","")&amp;IF(AND(MAX(N(E1856),N(F1856))&gt;=Settings!$C$9,MOD(MAX(N(E1856),N(F1856)),Settings!$C$10)=0),"Round amount | ","")="","",LEFT(IF(K1856="No","Does not balance | ","")&amp;IF(I1856="","Not approved | ",IF(UPPER(TRIM(H1856))=UPPER(TRIM(I1856)),"Self-approved | ",""))&amp;IF(J1856="","No support | ","")&amp;IF(WEEKDAY(B1856,2)&gt;5,"Weekend posting | ","")&amp;IF(COUNTIF(Settings!$A$14:$A$43,B1856)&gt;0,"Holiday posting | ","")&amp;IF(B1856&gt;Settings!$C$8,"Posted after close | ","")&amp;IF(OR(B1856&lt;Settings!$C$6,B1856&gt;Settings!$C$7),"Outside period | ","")&amp;IF(COUNTIF(Settings!$E$14:$E$43,C1856&amp;"")&gt;0,"Sensitive account | ","")&amp;IF(AND(MAX(N(E1856),N(F1856))&gt;=Settings!$C$9,MOD(MAX(N(E1856),N(F1856)),Settings!$C$10)=0),"Round amount | ",""),LEN(IF(K1856="No","Does not balance | ","")&amp;IF(I1856="","Not approved | ",IF(UPPER(TRIM(H1856))=UPPER(TRIM(I1856)),"Self-approved | ",""))&amp;IF(J1856="","No support | ","")&amp;IF(WEEKDAY(B1856,2)&gt;5,"Weekend posting | ","")&amp;IF(COUNTIF(Settings!$A$14:$A$43,B1856)&gt;0,"Holiday posting | ","")&amp;IF(B1856&gt;Settings!$C$8,"Posted after close | ","")&amp;IF(OR(B1856&lt;Settings!$C$6,B1856&gt;Settings!$C$7),"Outside period | ","")&amp;IF(COUNTIF(Settings!$E$14:$E$43,C1856&amp;"")&gt;0,"Sensitive account | ","")&amp;IF(AND(MAX(N(E1856),N(F1856))&gt;=Settings!$C$9,MOD(MAX(N(E1856),N(F1856)),Settings!$C$10)=0),"Round amount | ",""))-3)))</f>
        <v/>
      </c>
      <c r="M1856" s="21" t="str">
        <f aca="false">IF(A1856="","",IF(COUNTIF($A$9:A1856,A1856)=1,MAX($M$8:M1855)+1,""))</f>
        <v/>
      </c>
    </row>
    <row r="1857" customFormat="false" ht="15" hidden="false" customHeight="false" outlineLevel="0" collapsed="false">
      <c r="A1857" s="8"/>
      <c r="B1857" s="17"/>
      <c r="C1857" s="19"/>
      <c r="D1857" s="8"/>
      <c r="E1857" s="18"/>
      <c r="F1857" s="18"/>
      <c r="G1857" s="8"/>
      <c r="H1857" s="8"/>
      <c r="I1857" s="8"/>
      <c r="J1857" s="8"/>
      <c r="K1857" s="10" t="str">
        <f aca="false">IF(A1857="","",IF(ABS(SUMIFS($E$9:$E$2008,$A$9:$A$2008,A1857)-SUMIFS($F$9:$F$2008,$A$9:$A$2008,A1857))&lt;0.5,"Yes","No"))</f>
        <v/>
      </c>
      <c r="L1857" s="10" t="str">
        <f aca="false">IF(A1857="","",IF(IF(K1857="No","Does not balance | ","")&amp;IF(I1857="","Not approved | ",IF(UPPER(TRIM(H1857))=UPPER(TRIM(I1857)),"Self-approved | ",""))&amp;IF(J1857="","No support | ","")&amp;IF(WEEKDAY(B1857,2)&gt;5,"Weekend posting | ","")&amp;IF(COUNTIF(Settings!$A$14:$A$43,B1857)&gt;0,"Holiday posting | ","")&amp;IF(B1857&gt;Settings!$C$8,"Posted after close | ","")&amp;IF(OR(B1857&lt;Settings!$C$6,B1857&gt;Settings!$C$7),"Outside period | ","")&amp;IF(COUNTIF(Settings!$E$14:$E$43,C1857&amp;"")&gt;0,"Sensitive account | ","")&amp;IF(AND(MAX(N(E1857),N(F1857))&gt;=Settings!$C$9,MOD(MAX(N(E1857),N(F1857)),Settings!$C$10)=0),"Round amount | ","")="","",LEFT(IF(K1857="No","Does not balance | ","")&amp;IF(I1857="","Not approved | ",IF(UPPER(TRIM(H1857))=UPPER(TRIM(I1857)),"Self-approved | ",""))&amp;IF(J1857="","No support | ","")&amp;IF(WEEKDAY(B1857,2)&gt;5,"Weekend posting | ","")&amp;IF(COUNTIF(Settings!$A$14:$A$43,B1857)&gt;0,"Holiday posting | ","")&amp;IF(B1857&gt;Settings!$C$8,"Posted after close | ","")&amp;IF(OR(B1857&lt;Settings!$C$6,B1857&gt;Settings!$C$7),"Outside period | ","")&amp;IF(COUNTIF(Settings!$E$14:$E$43,C1857&amp;"")&gt;0,"Sensitive account | ","")&amp;IF(AND(MAX(N(E1857),N(F1857))&gt;=Settings!$C$9,MOD(MAX(N(E1857),N(F1857)),Settings!$C$10)=0),"Round amount | ",""),LEN(IF(K1857="No","Does not balance | ","")&amp;IF(I1857="","Not approved | ",IF(UPPER(TRIM(H1857))=UPPER(TRIM(I1857)),"Self-approved | ",""))&amp;IF(J1857="","No support | ","")&amp;IF(WEEKDAY(B1857,2)&gt;5,"Weekend posting | ","")&amp;IF(COUNTIF(Settings!$A$14:$A$43,B1857)&gt;0,"Holiday posting | ","")&amp;IF(B1857&gt;Settings!$C$8,"Posted after close | ","")&amp;IF(OR(B1857&lt;Settings!$C$6,B1857&gt;Settings!$C$7),"Outside period | ","")&amp;IF(COUNTIF(Settings!$E$14:$E$43,C1857&amp;"")&gt;0,"Sensitive account | ","")&amp;IF(AND(MAX(N(E1857),N(F1857))&gt;=Settings!$C$9,MOD(MAX(N(E1857),N(F1857)),Settings!$C$10)=0),"Round amount | ",""))-3)))</f>
        <v/>
      </c>
      <c r="M1857" s="21" t="str">
        <f aca="false">IF(A1857="","",IF(COUNTIF($A$9:A1857,A1857)=1,MAX($M$8:M1856)+1,""))</f>
        <v/>
      </c>
    </row>
    <row r="1858" customFormat="false" ht="15" hidden="false" customHeight="false" outlineLevel="0" collapsed="false">
      <c r="A1858" s="8"/>
      <c r="B1858" s="17"/>
      <c r="C1858" s="19"/>
      <c r="D1858" s="8"/>
      <c r="E1858" s="18"/>
      <c r="F1858" s="18"/>
      <c r="G1858" s="8"/>
      <c r="H1858" s="8"/>
      <c r="I1858" s="8"/>
      <c r="J1858" s="8"/>
      <c r="K1858" s="10" t="str">
        <f aca="false">IF(A1858="","",IF(ABS(SUMIFS($E$9:$E$2008,$A$9:$A$2008,A1858)-SUMIFS($F$9:$F$2008,$A$9:$A$2008,A1858))&lt;0.5,"Yes","No"))</f>
        <v/>
      </c>
      <c r="L1858" s="10" t="str">
        <f aca="false">IF(A1858="","",IF(IF(K1858="No","Does not balance | ","")&amp;IF(I1858="","Not approved | ",IF(UPPER(TRIM(H1858))=UPPER(TRIM(I1858)),"Self-approved | ",""))&amp;IF(J1858="","No support | ","")&amp;IF(WEEKDAY(B1858,2)&gt;5,"Weekend posting | ","")&amp;IF(COUNTIF(Settings!$A$14:$A$43,B1858)&gt;0,"Holiday posting | ","")&amp;IF(B1858&gt;Settings!$C$8,"Posted after close | ","")&amp;IF(OR(B1858&lt;Settings!$C$6,B1858&gt;Settings!$C$7),"Outside period | ","")&amp;IF(COUNTIF(Settings!$E$14:$E$43,C1858&amp;"")&gt;0,"Sensitive account | ","")&amp;IF(AND(MAX(N(E1858),N(F1858))&gt;=Settings!$C$9,MOD(MAX(N(E1858),N(F1858)),Settings!$C$10)=0),"Round amount | ","")="","",LEFT(IF(K1858="No","Does not balance | ","")&amp;IF(I1858="","Not approved | ",IF(UPPER(TRIM(H1858))=UPPER(TRIM(I1858)),"Self-approved | ",""))&amp;IF(J1858="","No support | ","")&amp;IF(WEEKDAY(B1858,2)&gt;5,"Weekend posting | ","")&amp;IF(COUNTIF(Settings!$A$14:$A$43,B1858)&gt;0,"Holiday posting | ","")&amp;IF(B1858&gt;Settings!$C$8,"Posted after close | ","")&amp;IF(OR(B1858&lt;Settings!$C$6,B1858&gt;Settings!$C$7),"Outside period | ","")&amp;IF(COUNTIF(Settings!$E$14:$E$43,C1858&amp;"")&gt;0,"Sensitive account | ","")&amp;IF(AND(MAX(N(E1858),N(F1858))&gt;=Settings!$C$9,MOD(MAX(N(E1858),N(F1858)),Settings!$C$10)=0),"Round amount | ",""),LEN(IF(K1858="No","Does not balance | ","")&amp;IF(I1858="","Not approved | ",IF(UPPER(TRIM(H1858))=UPPER(TRIM(I1858)),"Self-approved | ",""))&amp;IF(J1858="","No support | ","")&amp;IF(WEEKDAY(B1858,2)&gt;5,"Weekend posting | ","")&amp;IF(COUNTIF(Settings!$A$14:$A$43,B1858)&gt;0,"Holiday posting | ","")&amp;IF(B1858&gt;Settings!$C$8,"Posted after close | ","")&amp;IF(OR(B1858&lt;Settings!$C$6,B1858&gt;Settings!$C$7),"Outside period | ","")&amp;IF(COUNTIF(Settings!$E$14:$E$43,C1858&amp;"")&gt;0,"Sensitive account | ","")&amp;IF(AND(MAX(N(E1858),N(F1858))&gt;=Settings!$C$9,MOD(MAX(N(E1858),N(F1858)),Settings!$C$10)=0),"Round amount | ",""))-3)))</f>
        <v/>
      </c>
      <c r="M1858" s="21" t="str">
        <f aca="false">IF(A1858="","",IF(COUNTIF($A$9:A1858,A1858)=1,MAX($M$8:M1857)+1,""))</f>
        <v/>
      </c>
    </row>
    <row r="1859" customFormat="false" ht="15" hidden="false" customHeight="false" outlineLevel="0" collapsed="false">
      <c r="A1859" s="8"/>
      <c r="B1859" s="17"/>
      <c r="C1859" s="19"/>
      <c r="D1859" s="8"/>
      <c r="E1859" s="18"/>
      <c r="F1859" s="18"/>
      <c r="G1859" s="8"/>
      <c r="H1859" s="8"/>
      <c r="I1859" s="8"/>
      <c r="J1859" s="8"/>
      <c r="K1859" s="10" t="str">
        <f aca="false">IF(A1859="","",IF(ABS(SUMIFS($E$9:$E$2008,$A$9:$A$2008,A1859)-SUMIFS($F$9:$F$2008,$A$9:$A$2008,A1859))&lt;0.5,"Yes","No"))</f>
        <v/>
      </c>
      <c r="L1859" s="10" t="str">
        <f aca="false">IF(A1859="","",IF(IF(K1859="No","Does not balance | ","")&amp;IF(I1859="","Not approved | ",IF(UPPER(TRIM(H1859))=UPPER(TRIM(I1859)),"Self-approved | ",""))&amp;IF(J1859="","No support | ","")&amp;IF(WEEKDAY(B1859,2)&gt;5,"Weekend posting | ","")&amp;IF(COUNTIF(Settings!$A$14:$A$43,B1859)&gt;0,"Holiday posting | ","")&amp;IF(B1859&gt;Settings!$C$8,"Posted after close | ","")&amp;IF(OR(B1859&lt;Settings!$C$6,B1859&gt;Settings!$C$7),"Outside period | ","")&amp;IF(COUNTIF(Settings!$E$14:$E$43,C1859&amp;"")&gt;0,"Sensitive account | ","")&amp;IF(AND(MAX(N(E1859),N(F1859))&gt;=Settings!$C$9,MOD(MAX(N(E1859),N(F1859)),Settings!$C$10)=0),"Round amount | ","")="","",LEFT(IF(K1859="No","Does not balance | ","")&amp;IF(I1859="","Not approved | ",IF(UPPER(TRIM(H1859))=UPPER(TRIM(I1859)),"Self-approved | ",""))&amp;IF(J1859="","No support | ","")&amp;IF(WEEKDAY(B1859,2)&gt;5,"Weekend posting | ","")&amp;IF(COUNTIF(Settings!$A$14:$A$43,B1859)&gt;0,"Holiday posting | ","")&amp;IF(B1859&gt;Settings!$C$8,"Posted after close | ","")&amp;IF(OR(B1859&lt;Settings!$C$6,B1859&gt;Settings!$C$7),"Outside period | ","")&amp;IF(COUNTIF(Settings!$E$14:$E$43,C1859&amp;"")&gt;0,"Sensitive account | ","")&amp;IF(AND(MAX(N(E1859),N(F1859))&gt;=Settings!$C$9,MOD(MAX(N(E1859),N(F1859)),Settings!$C$10)=0),"Round amount | ",""),LEN(IF(K1859="No","Does not balance | ","")&amp;IF(I1859="","Not approved | ",IF(UPPER(TRIM(H1859))=UPPER(TRIM(I1859)),"Self-approved | ",""))&amp;IF(J1859="","No support | ","")&amp;IF(WEEKDAY(B1859,2)&gt;5,"Weekend posting | ","")&amp;IF(COUNTIF(Settings!$A$14:$A$43,B1859)&gt;0,"Holiday posting | ","")&amp;IF(B1859&gt;Settings!$C$8,"Posted after close | ","")&amp;IF(OR(B1859&lt;Settings!$C$6,B1859&gt;Settings!$C$7),"Outside period | ","")&amp;IF(COUNTIF(Settings!$E$14:$E$43,C1859&amp;"")&gt;0,"Sensitive account | ","")&amp;IF(AND(MAX(N(E1859),N(F1859))&gt;=Settings!$C$9,MOD(MAX(N(E1859),N(F1859)),Settings!$C$10)=0),"Round amount | ",""))-3)))</f>
        <v/>
      </c>
      <c r="M1859" s="21" t="str">
        <f aca="false">IF(A1859="","",IF(COUNTIF($A$9:A1859,A1859)=1,MAX($M$8:M1858)+1,""))</f>
        <v/>
      </c>
    </row>
    <row r="1860" customFormat="false" ht="15" hidden="false" customHeight="false" outlineLevel="0" collapsed="false">
      <c r="A1860" s="8"/>
      <c r="B1860" s="17"/>
      <c r="C1860" s="19"/>
      <c r="D1860" s="8"/>
      <c r="E1860" s="18"/>
      <c r="F1860" s="18"/>
      <c r="G1860" s="8"/>
      <c r="H1860" s="8"/>
      <c r="I1860" s="8"/>
      <c r="J1860" s="8"/>
      <c r="K1860" s="10" t="str">
        <f aca="false">IF(A1860="","",IF(ABS(SUMIFS($E$9:$E$2008,$A$9:$A$2008,A1860)-SUMIFS($F$9:$F$2008,$A$9:$A$2008,A1860))&lt;0.5,"Yes","No"))</f>
        <v/>
      </c>
      <c r="L1860" s="10" t="str">
        <f aca="false">IF(A1860="","",IF(IF(K1860="No","Does not balance | ","")&amp;IF(I1860="","Not approved | ",IF(UPPER(TRIM(H1860))=UPPER(TRIM(I1860)),"Self-approved | ",""))&amp;IF(J1860="","No support | ","")&amp;IF(WEEKDAY(B1860,2)&gt;5,"Weekend posting | ","")&amp;IF(COUNTIF(Settings!$A$14:$A$43,B1860)&gt;0,"Holiday posting | ","")&amp;IF(B1860&gt;Settings!$C$8,"Posted after close | ","")&amp;IF(OR(B1860&lt;Settings!$C$6,B1860&gt;Settings!$C$7),"Outside period | ","")&amp;IF(COUNTIF(Settings!$E$14:$E$43,C1860&amp;"")&gt;0,"Sensitive account | ","")&amp;IF(AND(MAX(N(E1860),N(F1860))&gt;=Settings!$C$9,MOD(MAX(N(E1860),N(F1860)),Settings!$C$10)=0),"Round amount | ","")="","",LEFT(IF(K1860="No","Does not balance | ","")&amp;IF(I1860="","Not approved | ",IF(UPPER(TRIM(H1860))=UPPER(TRIM(I1860)),"Self-approved | ",""))&amp;IF(J1860="","No support | ","")&amp;IF(WEEKDAY(B1860,2)&gt;5,"Weekend posting | ","")&amp;IF(COUNTIF(Settings!$A$14:$A$43,B1860)&gt;0,"Holiday posting | ","")&amp;IF(B1860&gt;Settings!$C$8,"Posted after close | ","")&amp;IF(OR(B1860&lt;Settings!$C$6,B1860&gt;Settings!$C$7),"Outside period | ","")&amp;IF(COUNTIF(Settings!$E$14:$E$43,C1860&amp;"")&gt;0,"Sensitive account | ","")&amp;IF(AND(MAX(N(E1860),N(F1860))&gt;=Settings!$C$9,MOD(MAX(N(E1860),N(F1860)),Settings!$C$10)=0),"Round amount | ",""),LEN(IF(K1860="No","Does not balance | ","")&amp;IF(I1860="","Not approved | ",IF(UPPER(TRIM(H1860))=UPPER(TRIM(I1860)),"Self-approved | ",""))&amp;IF(J1860="","No support | ","")&amp;IF(WEEKDAY(B1860,2)&gt;5,"Weekend posting | ","")&amp;IF(COUNTIF(Settings!$A$14:$A$43,B1860)&gt;0,"Holiday posting | ","")&amp;IF(B1860&gt;Settings!$C$8,"Posted after close | ","")&amp;IF(OR(B1860&lt;Settings!$C$6,B1860&gt;Settings!$C$7),"Outside period | ","")&amp;IF(COUNTIF(Settings!$E$14:$E$43,C1860&amp;"")&gt;0,"Sensitive account | ","")&amp;IF(AND(MAX(N(E1860),N(F1860))&gt;=Settings!$C$9,MOD(MAX(N(E1860),N(F1860)),Settings!$C$10)=0),"Round amount | ",""))-3)))</f>
        <v/>
      </c>
      <c r="M1860" s="21" t="str">
        <f aca="false">IF(A1860="","",IF(COUNTIF($A$9:A1860,A1860)=1,MAX($M$8:M1859)+1,""))</f>
        <v/>
      </c>
    </row>
    <row r="1861" customFormat="false" ht="15" hidden="false" customHeight="false" outlineLevel="0" collapsed="false">
      <c r="A1861" s="8"/>
      <c r="B1861" s="17"/>
      <c r="C1861" s="19"/>
      <c r="D1861" s="8"/>
      <c r="E1861" s="18"/>
      <c r="F1861" s="18"/>
      <c r="G1861" s="8"/>
      <c r="H1861" s="8"/>
      <c r="I1861" s="8"/>
      <c r="J1861" s="8"/>
      <c r="K1861" s="10" t="str">
        <f aca="false">IF(A1861="","",IF(ABS(SUMIFS($E$9:$E$2008,$A$9:$A$2008,A1861)-SUMIFS($F$9:$F$2008,$A$9:$A$2008,A1861))&lt;0.5,"Yes","No"))</f>
        <v/>
      </c>
      <c r="L1861" s="10" t="str">
        <f aca="false">IF(A1861="","",IF(IF(K1861="No","Does not balance | ","")&amp;IF(I1861="","Not approved | ",IF(UPPER(TRIM(H1861))=UPPER(TRIM(I1861)),"Self-approved | ",""))&amp;IF(J1861="","No support | ","")&amp;IF(WEEKDAY(B1861,2)&gt;5,"Weekend posting | ","")&amp;IF(COUNTIF(Settings!$A$14:$A$43,B1861)&gt;0,"Holiday posting | ","")&amp;IF(B1861&gt;Settings!$C$8,"Posted after close | ","")&amp;IF(OR(B1861&lt;Settings!$C$6,B1861&gt;Settings!$C$7),"Outside period | ","")&amp;IF(COUNTIF(Settings!$E$14:$E$43,C1861&amp;"")&gt;0,"Sensitive account | ","")&amp;IF(AND(MAX(N(E1861),N(F1861))&gt;=Settings!$C$9,MOD(MAX(N(E1861),N(F1861)),Settings!$C$10)=0),"Round amount | ","")="","",LEFT(IF(K1861="No","Does not balance | ","")&amp;IF(I1861="","Not approved | ",IF(UPPER(TRIM(H1861))=UPPER(TRIM(I1861)),"Self-approved | ",""))&amp;IF(J1861="","No support | ","")&amp;IF(WEEKDAY(B1861,2)&gt;5,"Weekend posting | ","")&amp;IF(COUNTIF(Settings!$A$14:$A$43,B1861)&gt;0,"Holiday posting | ","")&amp;IF(B1861&gt;Settings!$C$8,"Posted after close | ","")&amp;IF(OR(B1861&lt;Settings!$C$6,B1861&gt;Settings!$C$7),"Outside period | ","")&amp;IF(COUNTIF(Settings!$E$14:$E$43,C1861&amp;"")&gt;0,"Sensitive account | ","")&amp;IF(AND(MAX(N(E1861),N(F1861))&gt;=Settings!$C$9,MOD(MAX(N(E1861),N(F1861)),Settings!$C$10)=0),"Round amount | ",""),LEN(IF(K1861="No","Does not balance | ","")&amp;IF(I1861="","Not approved | ",IF(UPPER(TRIM(H1861))=UPPER(TRIM(I1861)),"Self-approved | ",""))&amp;IF(J1861="","No support | ","")&amp;IF(WEEKDAY(B1861,2)&gt;5,"Weekend posting | ","")&amp;IF(COUNTIF(Settings!$A$14:$A$43,B1861)&gt;0,"Holiday posting | ","")&amp;IF(B1861&gt;Settings!$C$8,"Posted after close | ","")&amp;IF(OR(B1861&lt;Settings!$C$6,B1861&gt;Settings!$C$7),"Outside period | ","")&amp;IF(COUNTIF(Settings!$E$14:$E$43,C1861&amp;"")&gt;0,"Sensitive account | ","")&amp;IF(AND(MAX(N(E1861),N(F1861))&gt;=Settings!$C$9,MOD(MAX(N(E1861),N(F1861)),Settings!$C$10)=0),"Round amount | ",""))-3)))</f>
        <v/>
      </c>
      <c r="M1861" s="21" t="str">
        <f aca="false">IF(A1861="","",IF(COUNTIF($A$9:A1861,A1861)=1,MAX($M$8:M1860)+1,""))</f>
        <v/>
      </c>
    </row>
    <row r="1862" customFormat="false" ht="15" hidden="false" customHeight="false" outlineLevel="0" collapsed="false">
      <c r="A1862" s="8"/>
      <c r="B1862" s="17"/>
      <c r="C1862" s="19"/>
      <c r="D1862" s="8"/>
      <c r="E1862" s="18"/>
      <c r="F1862" s="18"/>
      <c r="G1862" s="8"/>
      <c r="H1862" s="8"/>
      <c r="I1862" s="8"/>
      <c r="J1862" s="8"/>
      <c r="K1862" s="10" t="str">
        <f aca="false">IF(A1862="","",IF(ABS(SUMIFS($E$9:$E$2008,$A$9:$A$2008,A1862)-SUMIFS($F$9:$F$2008,$A$9:$A$2008,A1862))&lt;0.5,"Yes","No"))</f>
        <v/>
      </c>
      <c r="L1862" s="10" t="str">
        <f aca="false">IF(A1862="","",IF(IF(K1862="No","Does not balance | ","")&amp;IF(I1862="","Not approved | ",IF(UPPER(TRIM(H1862))=UPPER(TRIM(I1862)),"Self-approved | ",""))&amp;IF(J1862="","No support | ","")&amp;IF(WEEKDAY(B1862,2)&gt;5,"Weekend posting | ","")&amp;IF(COUNTIF(Settings!$A$14:$A$43,B1862)&gt;0,"Holiday posting | ","")&amp;IF(B1862&gt;Settings!$C$8,"Posted after close | ","")&amp;IF(OR(B1862&lt;Settings!$C$6,B1862&gt;Settings!$C$7),"Outside period | ","")&amp;IF(COUNTIF(Settings!$E$14:$E$43,C1862&amp;"")&gt;0,"Sensitive account | ","")&amp;IF(AND(MAX(N(E1862),N(F1862))&gt;=Settings!$C$9,MOD(MAX(N(E1862),N(F1862)),Settings!$C$10)=0),"Round amount | ","")="","",LEFT(IF(K1862="No","Does not balance | ","")&amp;IF(I1862="","Not approved | ",IF(UPPER(TRIM(H1862))=UPPER(TRIM(I1862)),"Self-approved | ",""))&amp;IF(J1862="","No support | ","")&amp;IF(WEEKDAY(B1862,2)&gt;5,"Weekend posting | ","")&amp;IF(COUNTIF(Settings!$A$14:$A$43,B1862)&gt;0,"Holiday posting | ","")&amp;IF(B1862&gt;Settings!$C$8,"Posted after close | ","")&amp;IF(OR(B1862&lt;Settings!$C$6,B1862&gt;Settings!$C$7),"Outside period | ","")&amp;IF(COUNTIF(Settings!$E$14:$E$43,C1862&amp;"")&gt;0,"Sensitive account | ","")&amp;IF(AND(MAX(N(E1862),N(F1862))&gt;=Settings!$C$9,MOD(MAX(N(E1862),N(F1862)),Settings!$C$10)=0),"Round amount | ",""),LEN(IF(K1862="No","Does not balance | ","")&amp;IF(I1862="","Not approved | ",IF(UPPER(TRIM(H1862))=UPPER(TRIM(I1862)),"Self-approved | ",""))&amp;IF(J1862="","No support | ","")&amp;IF(WEEKDAY(B1862,2)&gt;5,"Weekend posting | ","")&amp;IF(COUNTIF(Settings!$A$14:$A$43,B1862)&gt;0,"Holiday posting | ","")&amp;IF(B1862&gt;Settings!$C$8,"Posted after close | ","")&amp;IF(OR(B1862&lt;Settings!$C$6,B1862&gt;Settings!$C$7),"Outside period | ","")&amp;IF(COUNTIF(Settings!$E$14:$E$43,C1862&amp;"")&gt;0,"Sensitive account | ","")&amp;IF(AND(MAX(N(E1862),N(F1862))&gt;=Settings!$C$9,MOD(MAX(N(E1862),N(F1862)),Settings!$C$10)=0),"Round amount | ",""))-3)))</f>
        <v/>
      </c>
      <c r="M1862" s="21" t="str">
        <f aca="false">IF(A1862="","",IF(COUNTIF($A$9:A1862,A1862)=1,MAX($M$8:M1861)+1,""))</f>
        <v/>
      </c>
    </row>
    <row r="1863" customFormat="false" ht="15" hidden="false" customHeight="false" outlineLevel="0" collapsed="false">
      <c r="A1863" s="8"/>
      <c r="B1863" s="17"/>
      <c r="C1863" s="19"/>
      <c r="D1863" s="8"/>
      <c r="E1863" s="18"/>
      <c r="F1863" s="18"/>
      <c r="G1863" s="8"/>
      <c r="H1863" s="8"/>
      <c r="I1863" s="8"/>
      <c r="J1863" s="8"/>
      <c r="K1863" s="10" t="str">
        <f aca="false">IF(A1863="","",IF(ABS(SUMIFS($E$9:$E$2008,$A$9:$A$2008,A1863)-SUMIFS($F$9:$F$2008,$A$9:$A$2008,A1863))&lt;0.5,"Yes","No"))</f>
        <v/>
      </c>
      <c r="L1863" s="10" t="str">
        <f aca="false">IF(A1863="","",IF(IF(K1863="No","Does not balance | ","")&amp;IF(I1863="","Not approved | ",IF(UPPER(TRIM(H1863))=UPPER(TRIM(I1863)),"Self-approved | ",""))&amp;IF(J1863="","No support | ","")&amp;IF(WEEKDAY(B1863,2)&gt;5,"Weekend posting | ","")&amp;IF(COUNTIF(Settings!$A$14:$A$43,B1863)&gt;0,"Holiday posting | ","")&amp;IF(B1863&gt;Settings!$C$8,"Posted after close | ","")&amp;IF(OR(B1863&lt;Settings!$C$6,B1863&gt;Settings!$C$7),"Outside period | ","")&amp;IF(COUNTIF(Settings!$E$14:$E$43,C1863&amp;"")&gt;0,"Sensitive account | ","")&amp;IF(AND(MAX(N(E1863),N(F1863))&gt;=Settings!$C$9,MOD(MAX(N(E1863),N(F1863)),Settings!$C$10)=0),"Round amount | ","")="","",LEFT(IF(K1863="No","Does not balance | ","")&amp;IF(I1863="","Not approved | ",IF(UPPER(TRIM(H1863))=UPPER(TRIM(I1863)),"Self-approved | ",""))&amp;IF(J1863="","No support | ","")&amp;IF(WEEKDAY(B1863,2)&gt;5,"Weekend posting | ","")&amp;IF(COUNTIF(Settings!$A$14:$A$43,B1863)&gt;0,"Holiday posting | ","")&amp;IF(B1863&gt;Settings!$C$8,"Posted after close | ","")&amp;IF(OR(B1863&lt;Settings!$C$6,B1863&gt;Settings!$C$7),"Outside period | ","")&amp;IF(COUNTIF(Settings!$E$14:$E$43,C1863&amp;"")&gt;0,"Sensitive account | ","")&amp;IF(AND(MAX(N(E1863),N(F1863))&gt;=Settings!$C$9,MOD(MAX(N(E1863),N(F1863)),Settings!$C$10)=0),"Round amount | ",""),LEN(IF(K1863="No","Does not balance | ","")&amp;IF(I1863="","Not approved | ",IF(UPPER(TRIM(H1863))=UPPER(TRIM(I1863)),"Self-approved | ",""))&amp;IF(J1863="","No support | ","")&amp;IF(WEEKDAY(B1863,2)&gt;5,"Weekend posting | ","")&amp;IF(COUNTIF(Settings!$A$14:$A$43,B1863)&gt;0,"Holiday posting | ","")&amp;IF(B1863&gt;Settings!$C$8,"Posted after close | ","")&amp;IF(OR(B1863&lt;Settings!$C$6,B1863&gt;Settings!$C$7),"Outside period | ","")&amp;IF(COUNTIF(Settings!$E$14:$E$43,C1863&amp;"")&gt;0,"Sensitive account | ","")&amp;IF(AND(MAX(N(E1863),N(F1863))&gt;=Settings!$C$9,MOD(MAX(N(E1863),N(F1863)),Settings!$C$10)=0),"Round amount | ",""))-3)))</f>
        <v/>
      </c>
      <c r="M1863" s="21" t="str">
        <f aca="false">IF(A1863="","",IF(COUNTIF($A$9:A1863,A1863)=1,MAX($M$8:M1862)+1,""))</f>
        <v/>
      </c>
    </row>
    <row r="1864" customFormat="false" ht="15" hidden="false" customHeight="false" outlineLevel="0" collapsed="false">
      <c r="A1864" s="8"/>
      <c r="B1864" s="17"/>
      <c r="C1864" s="19"/>
      <c r="D1864" s="8"/>
      <c r="E1864" s="18"/>
      <c r="F1864" s="18"/>
      <c r="G1864" s="8"/>
      <c r="H1864" s="8"/>
      <c r="I1864" s="8"/>
      <c r="J1864" s="8"/>
      <c r="K1864" s="10" t="str">
        <f aca="false">IF(A1864="","",IF(ABS(SUMIFS($E$9:$E$2008,$A$9:$A$2008,A1864)-SUMIFS($F$9:$F$2008,$A$9:$A$2008,A1864))&lt;0.5,"Yes","No"))</f>
        <v/>
      </c>
      <c r="L1864" s="10" t="str">
        <f aca="false">IF(A1864="","",IF(IF(K1864="No","Does not balance | ","")&amp;IF(I1864="","Not approved | ",IF(UPPER(TRIM(H1864))=UPPER(TRIM(I1864)),"Self-approved | ",""))&amp;IF(J1864="","No support | ","")&amp;IF(WEEKDAY(B1864,2)&gt;5,"Weekend posting | ","")&amp;IF(COUNTIF(Settings!$A$14:$A$43,B1864)&gt;0,"Holiday posting | ","")&amp;IF(B1864&gt;Settings!$C$8,"Posted after close | ","")&amp;IF(OR(B1864&lt;Settings!$C$6,B1864&gt;Settings!$C$7),"Outside period | ","")&amp;IF(COUNTIF(Settings!$E$14:$E$43,C1864&amp;"")&gt;0,"Sensitive account | ","")&amp;IF(AND(MAX(N(E1864),N(F1864))&gt;=Settings!$C$9,MOD(MAX(N(E1864),N(F1864)),Settings!$C$10)=0),"Round amount | ","")="","",LEFT(IF(K1864="No","Does not balance | ","")&amp;IF(I1864="","Not approved | ",IF(UPPER(TRIM(H1864))=UPPER(TRIM(I1864)),"Self-approved | ",""))&amp;IF(J1864="","No support | ","")&amp;IF(WEEKDAY(B1864,2)&gt;5,"Weekend posting | ","")&amp;IF(COUNTIF(Settings!$A$14:$A$43,B1864)&gt;0,"Holiday posting | ","")&amp;IF(B1864&gt;Settings!$C$8,"Posted after close | ","")&amp;IF(OR(B1864&lt;Settings!$C$6,B1864&gt;Settings!$C$7),"Outside period | ","")&amp;IF(COUNTIF(Settings!$E$14:$E$43,C1864&amp;"")&gt;0,"Sensitive account | ","")&amp;IF(AND(MAX(N(E1864),N(F1864))&gt;=Settings!$C$9,MOD(MAX(N(E1864),N(F1864)),Settings!$C$10)=0),"Round amount | ",""),LEN(IF(K1864="No","Does not balance | ","")&amp;IF(I1864="","Not approved | ",IF(UPPER(TRIM(H1864))=UPPER(TRIM(I1864)),"Self-approved | ",""))&amp;IF(J1864="","No support | ","")&amp;IF(WEEKDAY(B1864,2)&gt;5,"Weekend posting | ","")&amp;IF(COUNTIF(Settings!$A$14:$A$43,B1864)&gt;0,"Holiday posting | ","")&amp;IF(B1864&gt;Settings!$C$8,"Posted after close | ","")&amp;IF(OR(B1864&lt;Settings!$C$6,B1864&gt;Settings!$C$7),"Outside period | ","")&amp;IF(COUNTIF(Settings!$E$14:$E$43,C1864&amp;"")&gt;0,"Sensitive account | ","")&amp;IF(AND(MAX(N(E1864),N(F1864))&gt;=Settings!$C$9,MOD(MAX(N(E1864),N(F1864)),Settings!$C$10)=0),"Round amount | ",""))-3)))</f>
        <v/>
      </c>
      <c r="M1864" s="21" t="str">
        <f aca="false">IF(A1864="","",IF(COUNTIF($A$9:A1864,A1864)=1,MAX($M$8:M1863)+1,""))</f>
        <v/>
      </c>
    </row>
    <row r="1865" customFormat="false" ht="15" hidden="false" customHeight="false" outlineLevel="0" collapsed="false">
      <c r="A1865" s="8"/>
      <c r="B1865" s="17"/>
      <c r="C1865" s="19"/>
      <c r="D1865" s="8"/>
      <c r="E1865" s="18"/>
      <c r="F1865" s="18"/>
      <c r="G1865" s="8"/>
      <c r="H1865" s="8"/>
      <c r="I1865" s="8"/>
      <c r="J1865" s="8"/>
      <c r="K1865" s="10" t="str">
        <f aca="false">IF(A1865="","",IF(ABS(SUMIFS($E$9:$E$2008,$A$9:$A$2008,A1865)-SUMIFS($F$9:$F$2008,$A$9:$A$2008,A1865))&lt;0.5,"Yes","No"))</f>
        <v/>
      </c>
      <c r="L1865" s="10" t="str">
        <f aca="false">IF(A1865="","",IF(IF(K1865="No","Does not balance | ","")&amp;IF(I1865="","Not approved | ",IF(UPPER(TRIM(H1865))=UPPER(TRIM(I1865)),"Self-approved | ",""))&amp;IF(J1865="","No support | ","")&amp;IF(WEEKDAY(B1865,2)&gt;5,"Weekend posting | ","")&amp;IF(COUNTIF(Settings!$A$14:$A$43,B1865)&gt;0,"Holiday posting | ","")&amp;IF(B1865&gt;Settings!$C$8,"Posted after close | ","")&amp;IF(OR(B1865&lt;Settings!$C$6,B1865&gt;Settings!$C$7),"Outside period | ","")&amp;IF(COUNTIF(Settings!$E$14:$E$43,C1865&amp;"")&gt;0,"Sensitive account | ","")&amp;IF(AND(MAX(N(E1865),N(F1865))&gt;=Settings!$C$9,MOD(MAX(N(E1865),N(F1865)),Settings!$C$10)=0),"Round amount | ","")="","",LEFT(IF(K1865="No","Does not balance | ","")&amp;IF(I1865="","Not approved | ",IF(UPPER(TRIM(H1865))=UPPER(TRIM(I1865)),"Self-approved | ",""))&amp;IF(J1865="","No support | ","")&amp;IF(WEEKDAY(B1865,2)&gt;5,"Weekend posting | ","")&amp;IF(COUNTIF(Settings!$A$14:$A$43,B1865)&gt;0,"Holiday posting | ","")&amp;IF(B1865&gt;Settings!$C$8,"Posted after close | ","")&amp;IF(OR(B1865&lt;Settings!$C$6,B1865&gt;Settings!$C$7),"Outside period | ","")&amp;IF(COUNTIF(Settings!$E$14:$E$43,C1865&amp;"")&gt;0,"Sensitive account | ","")&amp;IF(AND(MAX(N(E1865),N(F1865))&gt;=Settings!$C$9,MOD(MAX(N(E1865),N(F1865)),Settings!$C$10)=0),"Round amount | ",""),LEN(IF(K1865="No","Does not balance | ","")&amp;IF(I1865="","Not approved | ",IF(UPPER(TRIM(H1865))=UPPER(TRIM(I1865)),"Self-approved | ",""))&amp;IF(J1865="","No support | ","")&amp;IF(WEEKDAY(B1865,2)&gt;5,"Weekend posting | ","")&amp;IF(COUNTIF(Settings!$A$14:$A$43,B1865)&gt;0,"Holiday posting | ","")&amp;IF(B1865&gt;Settings!$C$8,"Posted after close | ","")&amp;IF(OR(B1865&lt;Settings!$C$6,B1865&gt;Settings!$C$7),"Outside period | ","")&amp;IF(COUNTIF(Settings!$E$14:$E$43,C1865&amp;"")&gt;0,"Sensitive account | ","")&amp;IF(AND(MAX(N(E1865),N(F1865))&gt;=Settings!$C$9,MOD(MAX(N(E1865),N(F1865)),Settings!$C$10)=0),"Round amount | ",""))-3)))</f>
        <v/>
      </c>
      <c r="M1865" s="21" t="str">
        <f aca="false">IF(A1865="","",IF(COUNTIF($A$9:A1865,A1865)=1,MAX($M$8:M1864)+1,""))</f>
        <v/>
      </c>
    </row>
    <row r="1866" customFormat="false" ht="15" hidden="false" customHeight="false" outlineLevel="0" collapsed="false">
      <c r="A1866" s="8"/>
      <c r="B1866" s="17"/>
      <c r="C1866" s="19"/>
      <c r="D1866" s="8"/>
      <c r="E1866" s="18"/>
      <c r="F1866" s="18"/>
      <c r="G1866" s="8"/>
      <c r="H1866" s="8"/>
      <c r="I1866" s="8"/>
      <c r="J1866" s="8"/>
      <c r="K1866" s="10" t="str">
        <f aca="false">IF(A1866="","",IF(ABS(SUMIFS($E$9:$E$2008,$A$9:$A$2008,A1866)-SUMIFS($F$9:$F$2008,$A$9:$A$2008,A1866))&lt;0.5,"Yes","No"))</f>
        <v/>
      </c>
      <c r="L1866" s="10" t="str">
        <f aca="false">IF(A1866="","",IF(IF(K1866="No","Does not balance | ","")&amp;IF(I1866="","Not approved | ",IF(UPPER(TRIM(H1866))=UPPER(TRIM(I1866)),"Self-approved | ",""))&amp;IF(J1866="","No support | ","")&amp;IF(WEEKDAY(B1866,2)&gt;5,"Weekend posting | ","")&amp;IF(COUNTIF(Settings!$A$14:$A$43,B1866)&gt;0,"Holiday posting | ","")&amp;IF(B1866&gt;Settings!$C$8,"Posted after close | ","")&amp;IF(OR(B1866&lt;Settings!$C$6,B1866&gt;Settings!$C$7),"Outside period | ","")&amp;IF(COUNTIF(Settings!$E$14:$E$43,C1866&amp;"")&gt;0,"Sensitive account | ","")&amp;IF(AND(MAX(N(E1866),N(F1866))&gt;=Settings!$C$9,MOD(MAX(N(E1866),N(F1866)),Settings!$C$10)=0),"Round amount | ","")="","",LEFT(IF(K1866="No","Does not balance | ","")&amp;IF(I1866="","Not approved | ",IF(UPPER(TRIM(H1866))=UPPER(TRIM(I1866)),"Self-approved | ",""))&amp;IF(J1866="","No support | ","")&amp;IF(WEEKDAY(B1866,2)&gt;5,"Weekend posting | ","")&amp;IF(COUNTIF(Settings!$A$14:$A$43,B1866)&gt;0,"Holiday posting | ","")&amp;IF(B1866&gt;Settings!$C$8,"Posted after close | ","")&amp;IF(OR(B1866&lt;Settings!$C$6,B1866&gt;Settings!$C$7),"Outside period | ","")&amp;IF(COUNTIF(Settings!$E$14:$E$43,C1866&amp;"")&gt;0,"Sensitive account | ","")&amp;IF(AND(MAX(N(E1866),N(F1866))&gt;=Settings!$C$9,MOD(MAX(N(E1866),N(F1866)),Settings!$C$10)=0),"Round amount | ",""),LEN(IF(K1866="No","Does not balance | ","")&amp;IF(I1866="","Not approved | ",IF(UPPER(TRIM(H1866))=UPPER(TRIM(I1866)),"Self-approved | ",""))&amp;IF(J1866="","No support | ","")&amp;IF(WEEKDAY(B1866,2)&gt;5,"Weekend posting | ","")&amp;IF(COUNTIF(Settings!$A$14:$A$43,B1866)&gt;0,"Holiday posting | ","")&amp;IF(B1866&gt;Settings!$C$8,"Posted after close | ","")&amp;IF(OR(B1866&lt;Settings!$C$6,B1866&gt;Settings!$C$7),"Outside period | ","")&amp;IF(COUNTIF(Settings!$E$14:$E$43,C1866&amp;"")&gt;0,"Sensitive account | ","")&amp;IF(AND(MAX(N(E1866),N(F1866))&gt;=Settings!$C$9,MOD(MAX(N(E1866),N(F1866)),Settings!$C$10)=0),"Round amount | ",""))-3)))</f>
        <v/>
      </c>
      <c r="M1866" s="21" t="str">
        <f aca="false">IF(A1866="","",IF(COUNTIF($A$9:A1866,A1866)=1,MAX($M$8:M1865)+1,""))</f>
        <v/>
      </c>
    </row>
    <row r="1867" customFormat="false" ht="15" hidden="false" customHeight="false" outlineLevel="0" collapsed="false">
      <c r="A1867" s="8"/>
      <c r="B1867" s="17"/>
      <c r="C1867" s="19"/>
      <c r="D1867" s="8"/>
      <c r="E1867" s="18"/>
      <c r="F1867" s="18"/>
      <c r="G1867" s="8"/>
      <c r="H1867" s="8"/>
      <c r="I1867" s="8"/>
      <c r="J1867" s="8"/>
      <c r="K1867" s="10" t="str">
        <f aca="false">IF(A1867="","",IF(ABS(SUMIFS($E$9:$E$2008,$A$9:$A$2008,A1867)-SUMIFS($F$9:$F$2008,$A$9:$A$2008,A1867))&lt;0.5,"Yes","No"))</f>
        <v/>
      </c>
      <c r="L1867" s="10" t="str">
        <f aca="false">IF(A1867="","",IF(IF(K1867="No","Does not balance | ","")&amp;IF(I1867="","Not approved | ",IF(UPPER(TRIM(H1867))=UPPER(TRIM(I1867)),"Self-approved | ",""))&amp;IF(J1867="","No support | ","")&amp;IF(WEEKDAY(B1867,2)&gt;5,"Weekend posting | ","")&amp;IF(COUNTIF(Settings!$A$14:$A$43,B1867)&gt;0,"Holiday posting | ","")&amp;IF(B1867&gt;Settings!$C$8,"Posted after close | ","")&amp;IF(OR(B1867&lt;Settings!$C$6,B1867&gt;Settings!$C$7),"Outside period | ","")&amp;IF(COUNTIF(Settings!$E$14:$E$43,C1867&amp;"")&gt;0,"Sensitive account | ","")&amp;IF(AND(MAX(N(E1867),N(F1867))&gt;=Settings!$C$9,MOD(MAX(N(E1867),N(F1867)),Settings!$C$10)=0),"Round amount | ","")="","",LEFT(IF(K1867="No","Does not balance | ","")&amp;IF(I1867="","Not approved | ",IF(UPPER(TRIM(H1867))=UPPER(TRIM(I1867)),"Self-approved | ",""))&amp;IF(J1867="","No support | ","")&amp;IF(WEEKDAY(B1867,2)&gt;5,"Weekend posting | ","")&amp;IF(COUNTIF(Settings!$A$14:$A$43,B1867)&gt;0,"Holiday posting | ","")&amp;IF(B1867&gt;Settings!$C$8,"Posted after close | ","")&amp;IF(OR(B1867&lt;Settings!$C$6,B1867&gt;Settings!$C$7),"Outside period | ","")&amp;IF(COUNTIF(Settings!$E$14:$E$43,C1867&amp;"")&gt;0,"Sensitive account | ","")&amp;IF(AND(MAX(N(E1867),N(F1867))&gt;=Settings!$C$9,MOD(MAX(N(E1867),N(F1867)),Settings!$C$10)=0),"Round amount | ",""),LEN(IF(K1867="No","Does not balance | ","")&amp;IF(I1867="","Not approved | ",IF(UPPER(TRIM(H1867))=UPPER(TRIM(I1867)),"Self-approved | ",""))&amp;IF(J1867="","No support | ","")&amp;IF(WEEKDAY(B1867,2)&gt;5,"Weekend posting | ","")&amp;IF(COUNTIF(Settings!$A$14:$A$43,B1867)&gt;0,"Holiday posting | ","")&amp;IF(B1867&gt;Settings!$C$8,"Posted after close | ","")&amp;IF(OR(B1867&lt;Settings!$C$6,B1867&gt;Settings!$C$7),"Outside period | ","")&amp;IF(COUNTIF(Settings!$E$14:$E$43,C1867&amp;"")&gt;0,"Sensitive account | ","")&amp;IF(AND(MAX(N(E1867),N(F1867))&gt;=Settings!$C$9,MOD(MAX(N(E1867),N(F1867)),Settings!$C$10)=0),"Round amount | ",""))-3)))</f>
        <v/>
      </c>
      <c r="M1867" s="21" t="str">
        <f aca="false">IF(A1867="","",IF(COUNTIF($A$9:A1867,A1867)=1,MAX($M$8:M1866)+1,""))</f>
        <v/>
      </c>
    </row>
    <row r="1868" customFormat="false" ht="15" hidden="false" customHeight="false" outlineLevel="0" collapsed="false">
      <c r="A1868" s="8"/>
      <c r="B1868" s="17"/>
      <c r="C1868" s="19"/>
      <c r="D1868" s="8"/>
      <c r="E1868" s="18"/>
      <c r="F1868" s="18"/>
      <c r="G1868" s="8"/>
      <c r="H1868" s="8"/>
      <c r="I1868" s="8"/>
      <c r="J1868" s="8"/>
      <c r="K1868" s="10" t="str">
        <f aca="false">IF(A1868="","",IF(ABS(SUMIFS($E$9:$E$2008,$A$9:$A$2008,A1868)-SUMIFS($F$9:$F$2008,$A$9:$A$2008,A1868))&lt;0.5,"Yes","No"))</f>
        <v/>
      </c>
      <c r="L1868" s="10" t="str">
        <f aca="false">IF(A1868="","",IF(IF(K1868="No","Does not balance | ","")&amp;IF(I1868="","Not approved | ",IF(UPPER(TRIM(H1868))=UPPER(TRIM(I1868)),"Self-approved | ",""))&amp;IF(J1868="","No support | ","")&amp;IF(WEEKDAY(B1868,2)&gt;5,"Weekend posting | ","")&amp;IF(COUNTIF(Settings!$A$14:$A$43,B1868)&gt;0,"Holiday posting | ","")&amp;IF(B1868&gt;Settings!$C$8,"Posted after close | ","")&amp;IF(OR(B1868&lt;Settings!$C$6,B1868&gt;Settings!$C$7),"Outside period | ","")&amp;IF(COUNTIF(Settings!$E$14:$E$43,C1868&amp;"")&gt;0,"Sensitive account | ","")&amp;IF(AND(MAX(N(E1868),N(F1868))&gt;=Settings!$C$9,MOD(MAX(N(E1868),N(F1868)),Settings!$C$10)=0),"Round amount | ","")="","",LEFT(IF(K1868="No","Does not balance | ","")&amp;IF(I1868="","Not approved | ",IF(UPPER(TRIM(H1868))=UPPER(TRIM(I1868)),"Self-approved | ",""))&amp;IF(J1868="","No support | ","")&amp;IF(WEEKDAY(B1868,2)&gt;5,"Weekend posting | ","")&amp;IF(COUNTIF(Settings!$A$14:$A$43,B1868)&gt;0,"Holiday posting | ","")&amp;IF(B1868&gt;Settings!$C$8,"Posted after close | ","")&amp;IF(OR(B1868&lt;Settings!$C$6,B1868&gt;Settings!$C$7),"Outside period | ","")&amp;IF(COUNTIF(Settings!$E$14:$E$43,C1868&amp;"")&gt;0,"Sensitive account | ","")&amp;IF(AND(MAX(N(E1868),N(F1868))&gt;=Settings!$C$9,MOD(MAX(N(E1868),N(F1868)),Settings!$C$10)=0),"Round amount | ",""),LEN(IF(K1868="No","Does not balance | ","")&amp;IF(I1868="","Not approved | ",IF(UPPER(TRIM(H1868))=UPPER(TRIM(I1868)),"Self-approved | ",""))&amp;IF(J1868="","No support | ","")&amp;IF(WEEKDAY(B1868,2)&gt;5,"Weekend posting | ","")&amp;IF(COUNTIF(Settings!$A$14:$A$43,B1868)&gt;0,"Holiday posting | ","")&amp;IF(B1868&gt;Settings!$C$8,"Posted after close | ","")&amp;IF(OR(B1868&lt;Settings!$C$6,B1868&gt;Settings!$C$7),"Outside period | ","")&amp;IF(COUNTIF(Settings!$E$14:$E$43,C1868&amp;"")&gt;0,"Sensitive account | ","")&amp;IF(AND(MAX(N(E1868),N(F1868))&gt;=Settings!$C$9,MOD(MAX(N(E1868),N(F1868)),Settings!$C$10)=0),"Round amount | ",""))-3)))</f>
        <v/>
      </c>
      <c r="M1868" s="21" t="str">
        <f aca="false">IF(A1868="","",IF(COUNTIF($A$9:A1868,A1868)=1,MAX($M$8:M1867)+1,""))</f>
        <v/>
      </c>
    </row>
    <row r="1869" customFormat="false" ht="15" hidden="false" customHeight="false" outlineLevel="0" collapsed="false">
      <c r="A1869" s="8"/>
      <c r="B1869" s="17"/>
      <c r="C1869" s="19"/>
      <c r="D1869" s="8"/>
      <c r="E1869" s="18"/>
      <c r="F1869" s="18"/>
      <c r="G1869" s="8"/>
      <c r="H1869" s="8"/>
      <c r="I1869" s="8"/>
      <c r="J1869" s="8"/>
      <c r="K1869" s="10" t="str">
        <f aca="false">IF(A1869="","",IF(ABS(SUMIFS($E$9:$E$2008,$A$9:$A$2008,A1869)-SUMIFS($F$9:$F$2008,$A$9:$A$2008,A1869))&lt;0.5,"Yes","No"))</f>
        <v/>
      </c>
      <c r="L1869" s="10" t="str">
        <f aca="false">IF(A1869="","",IF(IF(K1869="No","Does not balance | ","")&amp;IF(I1869="","Not approved | ",IF(UPPER(TRIM(H1869))=UPPER(TRIM(I1869)),"Self-approved | ",""))&amp;IF(J1869="","No support | ","")&amp;IF(WEEKDAY(B1869,2)&gt;5,"Weekend posting | ","")&amp;IF(COUNTIF(Settings!$A$14:$A$43,B1869)&gt;0,"Holiday posting | ","")&amp;IF(B1869&gt;Settings!$C$8,"Posted after close | ","")&amp;IF(OR(B1869&lt;Settings!$C$6,B1869&gt;Settings!$C$7),"Outside period | ","")&amp;IF(COUNTIF(Settings!$E$14:$E$43,C1869&amp;"")&gt;0,"Sensitive account | ","")&amp;IF(AND(MAX(N(E1869),N(F1869))&gt;=Settings!$C$9,MOD(MAX(N(E1869),N(F1869)),Settings!$C$10)=0),"Round amount | ","")="","",LEFT(IF(K1869="No","Does not balance | ","")&amp;IF(I1869="","Not approved | ",IF(UPPER(TRIM(H1869))=UPPER(TRIM(I1869)),"Self-approved | ",""))&amp;IF(J1869="","No support | ","")&amp;IF(WEEKDAY(B1869,2)&gt;5,"Weekend posting | ","")&amp;IF(COUNTIF(Settings!$A$14:$A$43,B1869)&gt;0,"Holiday posting | ","")&amp;IF(B1869&gt;Settings!$C$8,"Posted after close | ","")&amp;IF(OR(B1869&lt;Settings!$C$6,B1869&gt;Settings!$C$7),"Outside period | ","")&amp;IF(COUNTIF(Settings!$E$14:$E$43,C1869&amp;"")&gt;0,"Sensitive account | ","")&amp;IF(AND(MAX(N(E1869),N(F1869))&gt;=Settings!$C$9,MOD(MAX(N(E1869),N(F1869)),Settings!$C$10)=0),"Round amount | ",""),LEN(IF(K1869="No","Does not balance | ","")&amp;IF(I1869="","Not approved | ",IF(UPPER(TRIM(H1869))=UPPER(TRIM(I1869)),"Self-approved | ",""))&amp;IF(J1869="","No support | ","")&amp;IF(WEEKDAY(B1869,2)&gt;5,"Weekend posting | ","")&amp;IF(COUNTIF(Settings!$A$14:$A$43,B1869)&gt;0,"Holiday posting | ","")&amp;IF(B1869&gt;Settings!$C$8,"Posted after close | ","")&amp;IF(OR(B1869&lt;Settings!$C$6,B1869&gt;Settings!$C$7),"Outside period | ","")&amp;IF(COUNTIF(Settings!$E$14:$E$43,C1869&amp;"")&gt;0,"Sensitive account | ","")&amp;IF(AND(MAX(N(E1869),N(F1869))&gt;=Settings!$C$9,MOD(MAX(N(E1869),N(F1869)),Settings!$C$10)=0),"Round amount | ",""))-3)))</f>
        <v/>
      </c>
      <c r="M1869" s="21" t="str">
        <f aca="false">IF(A1869="","",IF(COUNTIF($A$9:A1869,A1869)=1,MAX($M$8:M1868)+1,""))</f>
        <v/>
      </c>
    </row>
    <row r="1870" customFormat="false" ht="15" hidden="false" customHeight="false" outlineLevel="0" collapsed="false">
      <c r="A1870" s="8"/>
      <c r="B1870" s="17"/>
      <c r="C1870" s="19"/>
      <c r="D1870" s="8"/>
      <c r="E1870" s="18"/>
      <c r="F1870" s="18"/>
      <c r="G1870" s="8"/>
      <c r="H1870" s="8"/>
      <c r="I1870" s="8"/>
      <c r="J1870" s="8"/>
      <c r="K1870" s="10" t="str">
        <f aca="false">IF(A1870="","",IF(ABS(SUMIFS($E$9:$E$2008,$A$9:$A$2008,A1870)-SUMIFS($F$9:$F$2008,$A$9:$A$2008,A1870))&lt;0.5,"Yes","No"))</f>
        <v/>
      </c>
      <c r="L1870" s="10" t="str">
        <f aca="false">IF(A1870="","",IF(IF(K1870="No","Does not balance | ","")&amp;IF(I1870="","Not approved | ",IF(UPPER(TRIM(H1870))=UPPER(TRIM(I1870)),"Self-approved | ",""))&amp;IF(J1870="","No support | ","")&amp;IF(WEEKDAY(B1870,2)&gt;5,"Weekend posting | ","")&amp;IF(COUNTIF(Settings!$A$14:$A$43,B1870)&gt;0,"Holiday posting | ","")&amp;IF(B1870&gt;Settings!$C$8,"Posted after close | ","")&amp;IF(OR(B1870&lt;Settings!$C$6,B1870&gt;Settings!$C$7),"Outside period | ","")&amp;IF(COUNTIF(Settings!$E$14:$E$43,C1870&amp;"")&gt;0,"Sensitive account | ","")&amp;IF(AND(MAX(N(E1870),N(F1870))&gt;=Settings!$C$9,MOD(MAX(N(E1870),N(F1870)),Settings!$C$10)=0),"Round amount | ","")="","",LEFT(IF(K1870="No","Does not balance | ","")&amp;IF(I1870="","Not approved | ",IF(UPPER(TRIM(H1870))=UPPER(TRIM(I1870)),"Self-approved | ",""))&amp;IF(J1870="","No support | ","")&amp;IF(WEEKDAY(B1870,2)&gt;5,"Weekend posting | ","")&amp;IF(COUNTIF(Settings!$A$14:$A$43,B1870)&gt;0,"Holiday posting | ","")&amp;IF(B1870&gt;Settings!$C$8,"Posted after close | ","")&amp;IF(OR(B1870&lt;Settings!$C$6,B1870&gt;Settings!$C$7),"Outside period | ","")&amp;IF(COUNTIF(Settings!$E$14:$E$43,C1870&amp;"")&gt;0,"Sensitive account | ","")&amp;IF(AND(MAX(N(E1870),N(F1870))&gt;=Settings!$C$9,MOD(MAX(N(E1870),N(F1870)),Settings!$C$10)=0),"Round amount | ",""),LEN(IF(K1870="No","Does not balance | ","")&amp;IF(I1870="","Not approved | ",IF(UPPER(TRIM(H1870))=UPPER(TRIM(I1870)),"Self-approved | ",""))&amp;IF(J1870="","No support | ","")&amp;IF(WEEKDAY(B1870,2)&gt;5,"Weekend posting | ","")&amp;IF(COUNTIF(Settings!$A$14:$A$43,B1870)&gt;0,"Holiday posting | ","")&amp;IF(B1870&gt;Settings!$C$8,"Posted after close | ","")&amp;IF(OR(B1870&lt;Settings!$C$6,B1870&gt;Settings!$C$7),"Outside period | ","")&amp;IF(COUNTIF(Settings!$E$14:$E$43,C1870&amp;"")&gt;0,"Sensitive account | ","")&amp;IF(AND(MAX(N(E1870),N(F1870))&gt;=Settings!$C$9,MOD(MAX(N(E1870),N(F1870)),Settings!$C$10)=0),"Round amount | ",""))-3)))</f>
        <v/>
      </c>
      <c r="M1870" s="21" t="str">
        <f aca="false">IF(A1870="","",IF(COUNTIF($A$9:A1870,A1870)=1,MAX($M$8:M1869)+1,""))</f>
        <v/>
      </c>
    </row>
    <row r="1871" customFormat="false" ht="15" hidden="false" customHeight="false" outlineLevel="0" collapsed="false">
      <c r="A1871" s="8"/>
      <c r="B1871" s="17"/>
      <c r="C1871" s="19"/>
      <c r="D1871" s="8"/>
      <c r="E1871" s="18"/>
      <c r="F1871" s="18"/>
      <c r="G1871" s="8"/>
      <c r="H1871" s="8"/>
      <c r="I1871" s="8"/>
      <c r="J1871" s="8"/>
      <c r="K1871" s="10" t="str">
        <f aca="false">IF(A1871="","",IF(ABS(SUMIFS($E$9:$E$2008,$A$9:$A$2008,A1871)-SUMIFS($F$9:$F$2008,$A$9:$A$2008,A1871))&lt;0.5,"Yes","No"))</f>
        <v/>
      </c>
      <c r="L1871" s="10" t="str">
        <f aca="false">IF(A1871="","",IF(IF(K1871="No","Does not balance | ","")&amp;IF(I1871="","Not approved | ",IF(UPPER(TRIM(H1871))=UPPER(TRIM(I1871)),"Self-approved | ",""))&amp;IF(J1871="","No support | ","")&amp;IF(WEEKDAY(B1871,2)&gt;5,"Weekend posting | ","")&amp;IF(COUNTIF(Settings!$A$14:$A$43,B1871)&gt;0,"Holiday posting | ","")&amp;IF(B1871&gt;Settings!$C$8,"Posted after close | ","")&amp;IF(OR(B1871&lt;Settings!$C$6,B1871&gt;Settings!$C$7),"Outside period | ","")&amp;IF(COUNTIF(Settings!$E$14:$E$43,C1871&amp;"")&gt;0,"Sensitive account | ","")&amp;IF(AND(MAX(N(E1871),N(F1871))&gt;=Settings!$C$9,MOD(MAX(N(E1871),N(F1871)),Settings!$C$10)=0),"Round amount | ","")="","",LEFT(IF(K1871="No","Does not balance | ","")&amp;IF(I1871="","Not approved | ",IF(UPPER(TRIM(H1871))=UPPER(TRIM(I1871)),"Self-approved | ",""))&amp;IF(J1871="","No support | ","")&amp;IF(WEEKDAY(B1871,2)&gt;5,"Weekend posting | ","")&amp;IF(COUNTIF(Settings!$A$14:$A$43,B1871)&gt;0,"Holiday posting | ","")&amp;IF(B1871&gt;Settings!$C$8,"Posted after close | ","")&amp;IF(OR(B1871&lt;Settings!$C$6,B1871&gt;Settings!$C$7),"Outside period | ","")&amp;IF(COUNTIF(Settings!$E$14:$E$43,C1871&amp;"")&gt;0,"Sensitive account | ","")&amp;IF(AND(MAX(N(E1871),N(F1871))&gt;=Settings!$C$9,MOD(MAX(N(E1871),N(F1871)),Settings!$C$10)=0),"Round amount | ",""),LEN(IF(K1871="No","Does not balance | ","")&amp;IF(I1871="","Not approved | ",IF(UPPER(TRIM(H1871))=UPPER(TRIM(I1871)),"Self-approved | ",""))&amp;IF(J1871="","No support | ","")&amp;IF(WEEKDAY(B1871,2)&gt;5,"Weekend posting | ","")&amp;IF(COUNTIF(Settings!$A$14:$A$43,B1871)&gt;0,"Holiday posting | ","")&amp;IF(B1871&gt;Settings!$C$8,"Posted after close | ","")&amp;IF(OR(B1871&lt;Settings!$C$6,B1871&gt;Settings!$C$7),"Outside period | ","")&amp;IF(COUNTIF(Settings!$E$14:$E$43,C1871&amp;"")&gt;0,"Sensitive account | ","")&amp;IF(AND(MAX(N(E1871),N(F1871))&gt;=Settings!$C$9,MOD(MAX(N(E1871),N(F1871)),Settings!$C$10)=0),"Round amount | ",""))-3)))</f>
        <v/>
      </c>
      <c r="M1871" s="21" t="str">
        <f aca="false">IF(A1871="","",IF(COUNTIF($A$9:A1871,A1871)=1,MAX($M$8:M1870)+1,""))</f>
        <v/>
      </c>
    </row>
    <row r="1872" customFormat="false" ht="15" hidden="false" customHeight="false" outlineLevel="0" collapsed="false">
      <c r="A1872" s="8"/>
      <c r="B1872" s="17"/>
      <c r="C1872" s="19"/>
      <c r="D1872" s="8"/>
      <c r="E1872" s="18"/>
      <c r="F1872" s="18"/>
      <c r="G1872" s="8"/>
      <c r="H1872" s="8"/>
      <c r="I1872" s="8"/>
      <c r="J1872" s="8"/>
      <c r="K1872" s="10" t="str">
        <f aca="false">IF(A1872="","",IF(ABS(SUMIFS($E$9:$E$2008,$A$9:$A$2008,A1872)-SUMIFS($F$9:$F$2008,$A$9:$A$2008,A1872))&lt;0.5,"Yes","No"))</f>
        <v/>
      </c>
      <c r="L1872" s="10" t="str">
        <f aca="false">IF(A1872="","",IF(IF(K1872="No","Does not balance | ","")&amp;IF(I1872="","Not approved | ",IF(UPPER(TRIM(H1872))=UPPER(TRIM(I1872)),"Self-approved | ",""))&amp;IF(J1872="","No support | ","")&amp;IF(WEEKDAY(B1872,2)&gt;5,"Weekend posting | ","")&amp;IF(COUNTIF(Settings!$A$14:$A$43,B1872)&gt;0,"Holiday posting | ","")&amp;IF(B1872&gt;Settings!$C$8,"Posted after close | ","")&amp;IF(OR(B1872&lt;Settings!$C$6,B1872&gt;Settings!$C$7),"Outside period | ","")&amp;IF(COUNTIF(Settings!$E$14:$E$43,C1872&amp;"")&gt;0,"Sensitive account | ","")&amp;IF(AND(MAX(N(E1872),N(F1872))&gt;=Settings!$C$9,MOD(MAX(N(E1872),N(F1872)),Settings!$C$10)=0),"Round amount | ","")="","",LEFT(IF(K1872="No","Does not balance | ","")&amp;IF(I1872="","Not approved | ",IF(UPPER(TRIM(H1872))=UPPER(TRIM(I1872)),"Self-approved | ",""))&amp;IF(J1872="","No support | ","")&amp;IF(WEEKDAY(B1872,2)&gt;5,"Weekend posting | ","")&amp;IF(COUNTIF(Settings!$A$14:$A$43,B1872)&gt;0,"Holiday posting | ","")&amp;IF(B1872&gt;Settings!$C$8,"Posted after close | ","")&amp;IF(OR(B1872&lt;Settings!$C$6,B1872&gt;Settings!$C$7),"Outside period | ","")&amp;IF(COUNTIF(Settings!$E$14:$E$43,C1872&amp;"")&gt;0,"Sensitive account | ","")&amp;IF(AND(MAX(N(E1872),N(F1872))&gt;=Settings!$C$9,MOD(MAX(N(E1872),N(F1872)),Settings!$C$10)=0),"Round amount | ",""),LEN(IF(K1872="No","Does not balance | ","")&amp;IF(I1872="","Not approved | ",IF(UPPER(TRIM(H1872))=UPPER(TRIM(I1872)),"Self-approved | ",""))&amp;IF(J1872="","No support | ","")&amp;IF(WEEKDAY(B1872,2)&gt;5,"Weekend posting | ","")&amp;IF(COUNTIF(Settings!$A$14:$A$43,B1872)&gt;0,"Holiday posting | ","")&amp;IF(B1872&gt;Settings!$C$8,"Posted after close | ","")&amp;IF(OR(B1872&lt;Settings!$C$6,B1872&gt;Settings!$C$7),"Outside period | ","")&amp;IF(COUNTIF(Settings!$E$14:$E$43,C1872&amp;"")&gt;0,"Sensitive account | ","")&amp;IF(AND(MAX(N(E1872),N(F1872))&gt;=Settings!$C$9,MOD(MAX(N(E1872),N(F1872)),Settings!$C$10)=0),"Round amount | ",""))-3)))</f>
        <v/>
      </c>
      <c r="M1872" s="21" t="str">
        <f aca="false">IF(A1872="","",IF(COUNTIF($A$9:A1872,A1872)=1,MAX($M$8:M1871)+1,""))</f>
        <v/>
      </c>
    </row>
    <row r="1873" customFormat="false" ht="15" hidden="false" customHeight="false" outlineLevel="0" collapsed="false">
      <c r="A1873" s="8"/>
      <c r="B1873" s="17"/>
      <c r="C1873" s="19"/>
      <c r="D1873" s="8"/>
      <c r="E1873" s="18"/>
      <c r="F1873" s="18"/>
      <c r="G1873" s="8"/>
      <c r="H1873" s="8"/>
      <c r="I1873" s="8"/>
      <c r="J1873" s="8"/>
      <c r="K1873" s="10" t="str">
        <f aca="false">IF(A1873="","",IF(ABS(SUMIFS($E$9:$E$2008,$A$9:$A$2008,A1873)-SUMIFS($F$9:$F$2008,$A$9:$A$2008,A1873))&lt;0.5,"Yes","No"))</f>
        <v/>
      </c>
      <c r="L1873" s="10" t="str">
        <f aca="false">IF(A1873="","",IF(IF(K1873="No","Does not balance | ","")&amp;IF(I1873="","Not approved | ",IF(UPPER(TRIM(H1873))=UPPER(TRIM(I1873)),"Self-approved | ",""))&amp;IF(J1873="","No support | ","")&amp;IF(WEEKDAY(B1873,2)&gt;5,"Weekend posting | ","")&amp;IF(COUNTIF(Settings!$A$14:$A$43,B1873)&gt;0,"Holiday posting | ","")&amp;IF(B1873&gt;Settings!$C$8,"Posted after close | ","")&amp;IF(OR(B1873&lt;Settings!$C$6,B1873&gt;Settings!$C$7),"Outside period | ","")&amp;IF(COUNTIF(Settings!$E$14:$E$43,C1873&amp;"")&gt;0,"Sensitive account | ","")&amp;IF(AND(MAX(N(E1873),N(F1873))&gt;=Settings!$C$9,MOD(MAX(N(E1873),N(F1873)),Settings!$C$10)=0),"Round amount | ","")="","",LEFT(IF(K1873="No","Does not balance | ","")&amp;IF(I1873="","Not approved | ",IF(UPPER(TRIM(H1873))=UPPER(TRIM(I1873)),"Self-approved | ",""))&amp;IF(J1873="","No support | ","")&amp;IF(WEEKDAY(B1873,2)&gt;5,"Weekend posting | ","")&amp;IF(COUNTIF(Settings!$A$14:$A$43,B1873)&gt;0,"Holiday posting | ","")&amp;IF(B1873&gt;Settings!$C$8,"Posted after close | ","")&amp;IF(OR(B1873&lt;Settings!$C$6,B1873&gt;Settings!$C$7),"Outside period | ","")&amp;IF(COUNTIF(Settings!$E$14:$E$43,C1873&amp;"")&gt;0,"Sensitive account | ","")&amp;IF(AND(MAX(N(E1873),N(F1873))&gt;=Settings!$C$9,MOD(MAX(N(E1873),N(F1873)),Settings!$C$10)=0),"Round amount | ",""),LEN(IF(K1873="No","Does not balance | ","")&amp;IF(I1873="","Not approved | ",IF(UPPER(TRIM(H1873))=UPPER(TRIM(I1873)),"Self-approved | ",""))&amp;IF(J1873="","No support | ","")&amp;IF(WEEKDAY(B1873,2)&gt;5,"Weekend posting | ","")&amp;IF(COUNTIF(Settings!$A$14:$A$43,B1873)&gt;0,"Holiday posting | ","")&amp;IF(B1873&gt;Settings!$C$8,"Posted after close | ","")&amp;IF(OR(B1873&lt;Settings!$C$6,B1873&gt;Settings!$C$7),"Outside period | ","")&amp;IF(COUNTIF(Settings!$E$14:$E$43,C1873&amp;"")&gt;0,"Sensitive account | ","")&amp;IF(AND(MAX(N(E1873),N(F1873))&gt;=Settings!$C$9,MOD(MAX(N(E1873),N(F1873)),Settings!$C$10)=0),"Round amount | ",""))-3)))</f>
        <v/>
      </c>
      <c r="M1873" s="21" t="str">
        <f aca="false">IF(A1873="","",IF(COUNTIF($A$9:A1873,A1873)=1,MAX($M$8:M1872)+1,""))</f>
        <v/>
      </c>
    </row>
    <row r="1874" customFormat="false" ht="15" hidden="false" customHeight="false" outlineLevel="0" collapsed="false">
      <c r="A1874" s="8"/>
      <c r="B1874" s="17"/>
      <c r="C1874" s="19"/>
      <c r="D1874" s="8"/>
      <c r="E1874" s="18"/>
      <c r="F1874" s="18"/>
      <c r="G1874" s="8"/>
      <c r="H1874" s="8"/>
      <c r="I1874" s="8"/>
      <c r="J1874" s="8"/>
      <c r="K1874" s="10" t="str">
        <f aca="false">IF(A1874="","",IF(ABS(SUMIFS($E$9:$E$2008,$A$9:$A$2008,A1874)-SUMIFS($F$9:$F$2008,$A$9:$A$2008,A1874))&lt;0.5,"Yes","No"))</f>
        <v/>
      </c>
      <c r="L1874" s="10" t="str">
        <f aca="false">IF(A1874="","",IF(IF(K1874="No","Does not balance | ","")&amp;IF(I1874="","Not approved | ",IF(UPPER(TRIM(H1874))=UPPER(TRIM(I1874)),"Self-approved | ",""))&amp;IF(J1874="","No support | ","")&amp;IF(WEEKDAY(B1874,2)&gt;5,"Weekend posting | ","")&amp;IF(COUNTIF(Settings!$A$14:$A$43,B1874)&gt;0,"Holiday posting | ","")&amp;IF(B1874&gt;Settings!$C$8,"Posted after close | ","")&amp;IF(OR(B1874&lt;Settings!$C$6,B1874&gt;Settings!$C$7),"Outside period | ","")&amp;IF(COUNTIF(Settings!$E$14:$E$43,C1874&amp;"")&gt;0,"Sensitive account | ","")&amp;IF(AND(MAX(N(E1874),N(F1874))&gt;=Settings!$C$9,MOD(MAX(N(E1874),N(F1874)),Settings!$C$10)=0),"Round amount | ","")="","",LEFT(IF(K1874="No","Does not balance | ","")&amp;IF(I1874="","Not approved | ",IF(UPPER(TRIM(H1874))=UPPER(TRIM(I1874)),"Self-approved | ",""))&amp;IF(J1874="","No support | ","")&amp;IF(WEEKDAY(B1874,2)&gt;5,"Weekend posting | ","")&amp;IF(COUNTIF(Settings!$A$14:$A$43,B1874)&gt;0,"Holiday posting | ","")&amp;IF(B1874&gt;Settings!$C$8,"Posted after close | ","")&amp;IF(OR(B1874&lt;Settings!$C$6,B1874&gt;Settings!$C$7),"Outside period | ","")&amp;IF(COUNTIF(Settings!$E$14:$E$43,C1874&amp;"")&gt;0,"Sensitive account | ","")&amp;IF(AND(MAX(N(E1874),N(F1874))&gt;=Settings!$C$9,MOD(MAX(N(E1874),N(F1874)),Settings!$C$10)=0),"Round amount | ",""),LEN(IF(K1874="No","Does not balance | ","")&amp;IF(I1874="","Not approved | ",IF(UPPER(TRIM(H1874))=UPPER(TRIM(I1874)),"Self-approved | ",""))&amp;IF(J1874="","No support | ","")&amp;IF(WEEKDAY(B1874,2)&gt;5,"Weekend posting | ","")&amp;IF(COUNTIF(Settings!$A$14:$A$43,B1874)&gt;0,"Holiday posting | ","")&amp;IF(B1874&gt;Settings!$C$8,"Posted after close | ","")&amp;IF(OR(B1874&lt;Settings!$C$6,B1874&gt;Settings!$C$7),"Outside period | ","")&amp;IF(COUNTIF(Settings!$E$14:$E$43,C1874&amp;"")&gt;0,"Sensitive account | ","")&amp;IF(AND(MAX(N(E1874),N(F1874))&gt;=Settings!$C$9,MOD(MAX(N(E1874),N(F1874)),Settings!$C$10)=0),"Round amount | ",""))-3)))</f>
        <v/>
      </c>
      <c r="M1874" s="21" t="str">
        <f aca="false">IF(A1874="","",IF(COUNTIF($A$9:A1874,A1874)=1,MAX($M$8:M1873)+1,""))</f>
        <v/>
      </c>
    </row>
    <row r="1875" customFormat="false" ht="15" hidden="false" customHeight="false" outlineLevel="0" collapsed="false">
      <c r="A1875" s="8"/>
      <c r="B1875" s="17"/>
      <c r="C1875" s="19"/>
      <c r="D1875" s="8"/>
      <c r="E1875" s="18"/>
      <c r="F1875" s="18"/>
      <c r="G1875" s="8"/>
      <c r="H1875" s="8"/>
      <c r="I1875" s="8"/>
      <c r="J1875" s="8"/>
      <c r="K1875" s="10" t="str">
        <f aca="false">IF(A1875="","",IF(ABS(SUMIFS($E$9:$E$2008,$A$9:$A$2008,A1875)-SUMIFS($F$9:$F$2008,$A$9:$A$2008,A1875))&lt;0.5,"Yes","No"))</f>
        <v/>
      </c>
      <c r="L1875" s="10" t="str">
        <f aca="false">IF(A1875="","",IF(IF(K1875="No","Does not balance | ","")&amp;IF(I1875="","Not approved | ",IF(UPPER(TRIM(H1875))=UPPER(TRIM(I1875)),"Self-approved | ",""))&amp;IF(J1875="","No support | ","")&amp;IF(WEEKDAY(B1875,2)&gt;5,"Weekend posting | ","")&amp;IF(COUNTIF(Settings!$A$14:$A$43,B1875)&gt;0,"Holiday posting | ","")&amp;IF(B1875&gt;Settings!$C$8,"Posted after close | ","")&amp;IF(OR(B1875&lt;Settings!$C$6,B1875&gt;Settings!$C$7),"Outside period | ","")&amp;IF(COUNTIF(Settings!$E$14:$E$43,C1875&amp;"")&gt;0,"Sensitive account | ","")&amp;IF(AND(MAX(N(E1875),N(F1875))&gt;=Settings!$C$9,MOD(MAX(N(E1875),N(F1875)),Settings!$C$10)=0),"Round amount | ","")="","",LEFT(IF(K1875="No","Does not balance | ","")&amp;IF(I1875="","Not approved | ",IF(UPPER(TRIM(H1875))=UPPER(TRIM(I1875)),"Self-approved | ",""))&amp;IF(J1875="","No support | ","")&amp;IF(WEEKDAY(B1875,2)&gt;5,"Weekend posting | ","")&amp;IF(COUNTIF(Settings!$A$14:$A$43,B1875)&gt;0,"Holiday posting | ","")&amp;IF(B1875&gt;Settings!$C$8,"Posted after close | ","")&amp;IF(OR(B1875&lt;Settings!$C$6,B1875&gt;Settings!$C$7),"Outside period | ","")&amp;IF(COUNTIF(Settings!$E$14:$E$43,C1875&amp;"")&gt;0,"Sensitive account | ","")&amp;IF(AND(MAX(N(E1875),N(F1875))&gt;=Settings!$C$9,MOD(MAX(N(E1875),N(F1875)),Settings!$C$10)=0),"Round amount | ",""),LEN(IF(K1875="No","Does not balance | ","")&amp;IF(I1875="","Not approved | ",IF(UPPER(TRIM(H1875))=UPPER(TRIM(I1875)),"Self-approved | ",""))&amp;IF(J1875="","No support | ","")&amp;IF(WEEKDAY(B1875,2)&gt;5,"Weekend posting | ","")&amp;IF(COUNTIF(Settings!$A$14:$A$43,B1875)&gt;0,"Holiday posting | ","")&amp;IF(B1875&gt;Settings!$C$8,"Posted after close | ","")&amp;IF(OR(B1875&lt;Settings!$C$6,B1875&gt;Settings!$C$7),"Outside period | ","")&amp;IF(COUNTIF(Settings!$E$14:$E$43,C1875&amp;"")&gt;0,"Sensitive account | ","")&amp;IF(AND(MAX(N(E1875),N(F1875))&gt;=Settings!$C$9,MOD(MAX(N(E1875),N(F1875)),Settings!$C$10)=0),"Round amount | ",""))-3)))</f>
        <v/>
      </c>
      <c r="M1875" s="21" t="str">
        <f aca="false">IF(A1875="","",IF(COUNTIF($A$9:A1875,A1875)=1,MAX($M$8:M1874)+1,""))</f>
        <v/>
      </c>
    </row>
    <row r="1876" customFormat="false" ht="15" hidden="false" customHeight="false" outlineLevel="0" collapsed="false">
      <c r="A1876" s="8"/>
      <c r="B1876" s="17"/>
      <c r="C1876" s="19"/>
      <c r="D1876" s="8"/>
      <c r="E1876" s="18"/>
      <c r="F1876" s="18"/>
      <c r="G1876" s="8"/>
      <c r="H1876" s="8"/>
      <c r="I1876" s="8"/>
      <c r="J1876" s="8"/>
      <c r="K1876" s="10" t="str">
        <f aca="false">IF(A1876="","",IF(ABS(SUMIFS($E$9:$E$2008,$A$9:$A$2008,A1876)-SUMIFS($F$9:$F$2008,$A$9:$A$2008,A1876))&lt;0.5,"Yes","No"))</f>
        <v/>
      </c>
      <c r="L1876" s="10" t="str">
        <f aca="false">IF(A1876="","",IF(IF(K1876="No","Does not balance | ","")&amp;IF(I1876="","Not approved | ",IF(UPPER(TRIM(H1876))=UPPER(TRIM(I1876)),"Self-approved | ",""))&amp;IF(J1876="","No support | ","")&amp;IF(WEEKDAY(B1876,2)&gt;5,"Weekend posting | ","")&amp;IF(COUNTIF(Settings!$A$14:$A$43,B1876)&gt;0,"Holiday posting | ","")&amp;IF(B1876&gt;Settings!$C$8,"Posted after close | ","")&amp;IF(OR(B1876&lt;Settings!$C$6,B1876&gt;Settings!$C$7),"Outside period | ","")&amp;IF(COUNTIF(Settings!$E$14:$E$43,C1876&amp;"")&gt;0,"Sensitive account | ","")&amp;IF(AND(MAX(N(E1876),N(F1876))&gt;=Settings!$C$9,MOD(MAX(N(E1876),N(F1876)),Settings!$C$10)=0),"Round amount | ","")="","",LEFT(IF(K1876="No","Does not balance | ","")&amp;IF(I1876="","Not approved | ",IF(UPPER(TRIM(H1876))=UPPER(TRIM(I1876)),"Self-approved | ",""))&amp;IF(J1876="","No support | ","")&amp;IF(WEEKDAY(B1876,2)&gt;5,"Weekend posting | ","")&amp;IF(COUNTIF(Settings!$A$14:$A$43,B1876)&gt;0,"Holiday posting | ","")&amp;IF(B1876&gt;Settings!$C$8,"Posted after close | ","")&amp;IF(OR(B1876&lt;Settings!$C$6,B1876&gt;Settings!$C$7),"Outside period | ","")&amp;IF(COUNTIF(Settings!$E$14:$E$43,C1876&amp;"")&gt;0,"Sensitive account | ","")&amp;IF(AND(MAX(N(E1876),N(F1876))&gt;=Settings!$C$9,MOD(MAX(N(E1876),N(F1876)),Settings!$C$10)=0),"Round amount | ",""),LEN(IF(K1876="No","Does not balance | ","")&amp;IF(I1876="","Not approved | ",IF(UPPER(TRIM(H1876))=UPPER(TRIM(I1876)),"Self-approved | ",""))&amp;IF(J1876="","No support | ","")&amp;IF(WEEKDAY(B1876,2)&gt;5,"Weekend posting | ","")&amp;IF(COUNTIF(Settings!$A$14:$A$43,B1876)&gt;0,"Holiday posting | ","")&amp;IF(B1876&gt;Settings!$C$8,"Posted after close | ","")&amp;IF(OR(B1876&lt;Settings!$C$6,B1876&gt;Settings!$C$7),"Outside period | ","")&amp;IF(COUNTIF(Settings!$E$14:$E$43,C1876&amp;"")&gt;0,"Sensitive account | ","")&amp;IF(AND(MAX(N(E1876),N(F1876))&gt;=Settings!$C$9,MOD(MAX(N(E1876),N(F1876)),Settings!$C$10)=0),"Round amount | ",""))-3)))</f>
        <v/>
      </c>
      <c r="M1876" s="21" t="str">
        <f aca="false">IF(A1876="","",IF(COUNTIF($A$9:A1876,A1876)=1,MAX($M$8:M1875)+1,""))</f>
        <v/>
      </c>
    </row>
    <row r="1877" customFormat="false" ht="15" hidden="false" customHeight="false" outlineLevel="0" collapsed="false">
      <c r="A1877" s="8"/>
      <c r="B1877" s="17"/>
      <c r="C1877" s="19"/>
      <c r="D1877" s="8"/>
      <c r="E1877" s="18"/>
      <c r="F1877" s="18"/>
      <c r="G1877" s="8"/>
      <c r="H1877" s="8"/>
      <c r="I1877" s="8"/>
      <c r="J1877" s="8"/>
      <c r="K1877" s="10" t="str">
        <f aca="false">IF(A1877="","",IF(ABS(SUMIFS($E$9:$E$2008,$A$9:$A$2008,A1877)-SUMIFS($F$9:$F$2008,$A$9:$A$2008,A1877))&lt;0.5,"Yes","No"))</f>
        <v/>
      </c>
      <c r="L1877" s="10" t="str">
        <f aca="false">IF(A1877="","",IF(IF(K1877="No","Does not balance | ","")&amp;IF(I1877="","Not approved | ",IF(UPPER(TRIM(H1877))=UPPER(TRIM(I1877)),"Self-approved | ",""))&amp;IF(J1877="","No support | ","")&amp;IF(WEEKDAY(B1877,2)&gt;5,"Weekend posting | ","")&amp;IF(COUNTIF(Settings!$A$14:$A$43,B1877)&gt;0,"Holiday posting | ","")&amp;IF(B1877&gt;Settings!$C$8,"Posted after close | ","")&amp;IF(OR(B1877&lt;Settings!$C$6,B1877&gt;Settings!$C$7),"Outside period | ","")&amp;IF(COUNTIF(Settings!$E$14:$E$43,C1877&amp;"")&gt;0,"Sensitive account | ","")&amp;IF(AND(MAX(N(E1877),N(F1877))&gt;=Settings!$C$9,MOD(MAX(N(E1877),N(F1877)),Settings!$C$10)=0),"Round amount | ","")="","",LEFT(IF(K1877="No","Does not balance | ","")&amp;IF(I1877="","Not approved | ",IF(UPPER(TRIM(H1877))=UPPER(TRIM(I1877)),"Self-approved | ",""))&amp;IF(J1877="","No support | ","")&amp;IF(WEEKDAY(B1877,2)&gt;5,"Weekend posting | ","")&amp;IF(COUNTIF(Settings!$A$14:$A$43,B1877)&gt;0,"Holiday posting | ","")&amp;IF(B1877&gt;Settings!$C$8,"Posted after close | ","")&amp;IF(OR(B1877&lt;Settings!$C$6,B1877&gt;Settings!$C$7),"Outside period | ","")&amp;IF(COUNTIF(Settings!$E$14:$E$43,C1877&amp;"")&gt;0,"Sensitive account | ","")&amp;IF(AND(MAX(N(E1877),N(F1877))&gt;=Settings!$C$9,MOD(MAX(N(E1877),N(F1877)),Settings!$C$10)=0),"Round amount | ",""),LEN(IF(K1877="No","Does not balance | ","")&amp;IF(I1877="","Not approved | ",IF(UPPER(TRIM(H1877))=UPPER(TRIM(I1877)),"Self-approved | ",""))&amp;IF(J1877="","No support | ","")&amp;IF(WEEKDAY(B1877,2)&gt;5,"Weekend posting | ","")&amp;IF(COUNTIF(Settings!$A$14:$A$43,B1877)&gt;0,"Holiday posting | ","")&amp;IF(B1877&gt;Settings!$C$8,"Posted after close | ","")&amp;IF(OR(B1877&lt;Settings!$C$6,B1877&gt;Settings!$C$7),"Outside period | ","")&amp;IF(COUNTIF(Settings!$E$14:$E$43,C1877&amp;"")&gt;0,"Sensitive account | ","")&amp;IF(AND(MAX(N(E1877),N(F1877))&gt;=Settings!$C$9,MOD(MAX(N(E1877),N(F1877)),Settings!$C$10)=0),"Round amount | ",""))-3)))</f>
        <v/>
      </c>
      <c r="M1877" s="21" t="str">
        <f aca="false">IF(A1877="","",IF(COUNTIF($A$9:A1877,A1877)=1,MAX($M$8:M1876)+1,""))</f>
        <v/>
      </c>
    </row>
    <row r="1878" customFormat="false" ht="15" hidden="false" customHeight="false" outlineLevel="0" collapsed="false">
      <c r="A1878" s="8"/>
      <c r="B1878" s="17"/>
      <c r="C1878" s="19"/>
      <c r="D1878" s="8"/>
      <c r="E1878" s="18"/>
      <c r="F1878" s="18"/>
      <c r="G1878" s="8"/>
      <c r="H1878" s="8"/>
      <c r="I1878" s="8"/>
      <c r="J1878" s="8"/>
      <c r="K1878" s="10" t="str">
        <f aca="false">IF(A1878="","",IF(ABS(SUMIFS($E$9:$E$2008,$A$9:$A$2008,A1878)-SUMIFS($F$9:$F$2008,$A$9:$A$2008,A1878))&lt;0.5,"Yes","No"))</f>
        <v/>
      </c>
      <c r="L1878" s="10" t="str">
        <f aca="false">IF(A1878="","",IF(IF(K1878="No","Does not balance | ","")&amp;IF(I1878="","Not approved | ",IF(UPPER(TRIM(H1878))=UPPER(TRIM(I1878)),"Self-approved | ",""))&amp;IF(J1878="","No support | ","")&amp;IF(WEEKDAY(B1878,2)&gt;5,"Weekend posting | ","")&amp;IF(COUNTIF(Settings!$A$14:$A$43,B1878)&gt;0,"Holiday posting | ","")&amp;IF(B1878&gt;Settings!$C$8,"Posted after close | ","")&amp;IF(OR(B1878&lt;Settings!$C$6,B1878&gt;Settings!$C$7),"Outside period | ","")&amp;IF(COUNTIF(Settings!$E$14:$E$43,C1878&amp;"")&gt;0,"Sensitive account | ","")&amp;IF(AND(MAX(N(E1878),N(F1878))&gt;=Settings!$C$9,MOD(MAX(N(E1878),N(F1878)),Settings!$C$10)=0),"Round amount | ","")="","",LEFT(IF(K1878="No","Does not balance | ","")&amp;IF(I1878="","Not approved | ",IF(UPPER(TRIM(H1878))=UPPER(TRIM(I1878)),"Self-approved | ",""))&amp;IF(J1878="","No support | ","")&amp;IF(WEEKDAY(B1878,2)&gt;5,"Weekend posting | ","")&amp;IF(COUNTIF(Settings!$A$14:$A$43,B1878)&gt;0,"Holiday posting | ","")&amp;IF(B1878&gt;Settings!$C$8,"Posted after close | ","")&amp;IF(OR(B1878&lt;Settings!$C$6,B1878&gt;Settings!$C$7),"Outside period | ","")&amp;IF(COUNTIF(Settings!$E$14:$E$43,C1878&amp;"")&gt;0,"Sensitive account | ","")&amp;IF(AND(MAX(N(E1878),N(F1878))&gt;=Settings!$C$9,MOD(MAX(N(E1878),N(F1878)),Settings!$C$10)=0),"Round amount | ",""),LEN(IF(K1878="No","Does not balance | ","")&amp;IF(I1878="","Not approved | ",IF(UPPER(TRIM(H1878))=UPPER(TRIM(I1878)),"Self-approved | ",""))&amp;IF(J1878="","No support | ","")&amp;IF(WEEKDAY(B1878,2)&gt;5,"Weekend posting | ","")&amp;IF(COUNTIF(Settings!$A$14:$A$43,B1878)&gt;0,"Holiday posting | ","")&amp;IF(B1878&gt;Settings!$C$8,"Posted after close | ","")&amp;IF(OR(B1878&lt;Settings!$C$6,B1878&gt;Settings!$C$7),"Outside period | ","")&amp;IF(COUNTIF(Settings!$E$14:$E$43,C1878&amp;"")&gt;0,"Sensitive account | ","")&amp;IF(AND(MAX(N(E1878),N(F1878))&gt;=Settings!$C$9,MOD(MAX(N(E1878),N(F1878)),Settings!$C$10)=0),"Round amount | ",""))-3)))</f>
        <v/>
      </c>
      <c r="M1878" s="21" t="str">
        <f aca="false">IF(A1878="","",IF(COUNTIF($A$9:A1878,A1878)=1,MAX($M$8:M1877)+1,""))</f>
        <v/>
      </c>
    </row>
    <row r="1879" customFormat="false" ht="15" hidden="false" customHeight="false" outlineLevel="0" collapsed="false">
      <c r="A1879" s="8"/>
      <c r="B1879" s="17"/>
      <c r="C1879" s="19"/>
      <c r="D1879" s="8"/>
      <c r="E1879" s="18"/>
      <c r="F1879" s="18"/>
      <c r="G1879" s="8"/>
      <c r="H1879" s="8"/>
      <c r="I1879" s="8"/>
      <c r="J1879" s="8"/>
      <c r="K1879" s="10" t="str">
        <f aca="false">IF(A1879="","",IF(ABS(SUMIFS($E$9:$E$2008,$A$9:$A$2008,A1879)-SUMIFS($F$9:$F$2008,$A$9:$A$2008,A1879))&lt;0.5,"Yes","No"))</f>
        <v/>
      </c>
      <c r="L1879" s="10" t="str">
        <f aca="false">IF(A1879="","",IF(IF(K1879="No","Does not balance | ","")&amp;IF(I1879="","Not approved | ",IF(UPPER(TRIM(H1879))=UPPER(TRIM(I1879)),"Self-approved | ",""))&amp;IF(J1879="","No support | ","")&amp;IF(WEEKDAY(B1879,2)&gt;5,"Weekend posting | ","")&amp;IF(COUNTIF(Settings!$A$14:$A$43,B1879)&gt;0,"Holiday posting | ","")&amp;IF(B1879&gt;Settings!$C$8,"Posted after close | ","")&amp;IF(OR(B1879&lt;Settings!$C$6,B1879&gt;Settings!$C$7),"Outside period | ","")&amp;IF(COUNTIF(Settings!$E$14:$E$43,C1879&amp;"")&gt;0,"Sensitive account | ","")&amp;IF(AND(MAX(N(E1879),N(F1879))&gt;=Settings!$C$9,MOD(MAX(N(E1879),N(F1879)),Settings!$C$10)=0),"Round amount | ","")="","",LEFT(IF(K1879="No","Does not balance | ","")&amp;IF(I1879="","Not approved | ",IF(UPPER(TRIM(H1879))=UPPER(TRIM(I1879)),"Self-approved | ",""))&amp;IF(J1879="","No support | ","")&amp;IF(WEEKDAY(B1879,2)&gt;5,"Weekend posting | ","")&amp;IF(COUNTIF(Settings!$A$14:$A$43,B1879)&gt;0,"Holiday posting | ","")&amp;IF(B1879&gt;Settings!$C$8,"Posted after close | ","")&amp;IF(OR(B1879&lt;Settings!$C$6,B1879&gt;Settings!$C$7),"Outside period | ","")&amp;IF(COUNTIF(Settings!$E$14:$E$43,C1879&amp;"")&gt;0,"Sensitive account | ","")&amp;IF(AND(MAX(N(E1879),N(F1879))&gt;=Settings!$C$9,MOD(MAX(N(E1879),N(F1879)),Settings!$C$10)=0),"Round amount | ",""),LEN(IF(K1879="No","Does not balance | ","")&amp;IF(I1879="","Not approved | ",IF(UPPER(TRIM(H1879))=UPPER(TRIM(I1879)),"Self-approved | ",""))&amp;IF(J1879="","No support | ","")&amp;IF(WEEKDAY(B1879,2)&gt;5,"Weekend posting | ","")&amp;IF(COUNTIF(Settings!$A$14:$A$43,B1879)&gt;0,"Holiday posting | ","")&amp;IF(B1879&gt;Settings!$C$8,"Posted after close | ","")&amp;IF(OR(B1879&lt;Settings!$C$6,B1879&gt;Settings!$C$7),"Outside period | ","")&amp;IF(COUNTIF(Settings!$E$14:$E$43,C1879&amp;"")&gt;0,"Sensitive account | ","")&amp;IF(AND(MAX(N(E1879),N(F1879))&gt;=Settings!$C$9,MOD(MAX(N(E1879),N(F1879)),Settings!$C$10)=0),"Round amount | ",""))-3)))</f>
        <v/>
      </c>
      <c r="M1879" s="21" t="str">
        <f aca="false">IF(A1879="","",IF(COUNTIF($A$9:A1879,A1879)=1,MAX($M$8:M1878)+1,""))</f>
        <v/>
      </c>
    </row>
    <row r="1880" customFormat="false" ht="15" hidden="false" customHeight="false" outlineLevel="0" collapsed="false">
      <c r="A1880" s="8"/>
      <c r="B1880" s="17"/>
      <c r="C1880" s="19"/>
      <c r="D1880" s="8"/>
      <c r="E1880" s="18"/>
      <c r="F1880" s="18"/>
      <c r="G1880" s="8"/>
      <c r="H1880" s="8"/>
      <c r="I1880" s="8"/>
      <c r="J1880" s="8"/>
      <c r="K1880" s="10" t="str">
        <f aca="false">IF(A1880="","",IF(ABS(SUMIFS($E$9:$E$2008,$A$9:$A$2008,A1880)-SUMIFS($F$9:$F$2008,$A$9:$A$2008,A1880))&lt;0.5,"Yes","No"))</f>
        <v/>
      </c>
      <c r="L1880" s="10" t="str">
        <f aca="false">IF(A1880="","",IF(IF(K1880="No","Does not balance | ","")&amp;IF(I1880="","Not approved | ",IF(UPPER(TRIM(H1880))=UPPER(TRIM(I1880)),"Self-approved | ",""))&amp;IF(J1880="","No support | ","")&amp;IF(WEEKDAY(B1880,2)&gt;5,"Weekend posting | ","")&amp;IF(COUNTIF(Settings!$A$14:$A$43,B1880)&gt;0,"Holiday posting | ","")&amp;IF(B1880&gt;Settings!$C$8,"Posted after close | ","")&amp;IF(OR(B1880&lt;Settings!$C$6,B1880&gt;Settings!$C$7),"Outside period | ","")&amp;IF(COUNTIF(Settings!$E$14:$E$43,C1880&amp;"")&gt;0,"Sensitive account | ","")&amp;IF(AND(MAX(N(E1880),N(F1880))&gt;=Settings!$C$9,MOD(MAX(N(E1880),N(F1880)),Settings!$C$10)=0),"Round amount | ","")="","",LEFT(IF(K1880="No","Does not balance | ","")&amp;IF(I1880="","Not approved | ",IF(UPPER(TRIM(H1880))=UPPER(TRIM(I1880)),"Self-approved | ",""))&amp;IF(J1880="","No support | ","")&amp;IF(WEEKDAY(B1880,2)&gt;5,"Weekend posting | ","")&amp;IF(COUNTIF(Settings!$A$14:$A$43,B1880)&gt;0,"Holiday posting | ","")&amp;IF(B1880&gt;Settings!$C$8,"Posted after close | ","")&amp;IF(OR(B1880&lt;Settings!$C$6,B1880&gt;Settings!$C$7),"Outside period | ","")&amp;IF(COUNTIF(Settings!$E$14:$E$43,C1880&amp;"")&gt;0,"Sensitive account | ","")&amp;IF(AND(MAX(N(E1880),N(F1880))&gt;=Settings!$C$9,MOD(MAX(N(E1880),N(F1880)),Settings!$C$10)=0),"Round amount | ",""),LEN(IF(K1880="No","Does not balance | ","")&amp;IF(I1880="","Not approved | ",IF(UPPER(TRIM(H1880))=UPPER(TRIM(I1880)),"Self-approved | ",""))&amp;IF(J1880="","No support | ","")&amp;IF(WEEKDAY(B1880,2)&gt;5,"Weekend posting | ","")&amp;IF(COUNTIF(Settings!$A$14:$A$43,B1880)&gt;0,"Holiday posting | ","")&amp;IF(B1880&gt;Settings!$C$8,"Posted after close | ","")&amp;IF(OR(B1880&lt;Settings!$C$6,B1880&gt;Settings!$C$7),"Outside period | ","")&amp;IF(COUNTIF(Settings!$E$14:$E$43,C1880&amp;"")&gt;0,"Sensitive account | ","")&amp;IF(AND(MAX(N(E1880),N(F1880))&gt;=Settings!$C$9,MOD(MAX(N(E1880),N(F1880)),Settings!$C$10)=0),"Round amount | ",""))-3)))</f>
        <v/>
      </c>
      <c r="M1880" s="21" t="str">
        <f aca="false">IF(A1880="","",IF(COUNTIF($A$9:A1880,A1880)=1,MAX($M$8:M1879)+1,""))</f>
        <v/>
      </c>
    </row>
    <row r="1881" customFormat="false" ht="15" hidden="false" customHeight="false" outlineLevel="0" collapsed="false">
      <c r="A1881" s="8"/>
      <c r="B1881" s="17"/>
      <c r="C1881" s="19"/>
      <c r="D1881" s="8"/>
      <c r="E1881" s="18"/>
      <c r="F1881" s="18"/>
      <c r="G1881" s="8"/>
      <c r="H1881" s="8"/>
      <c r="I1881" s="8"/>
      <c r="J1881" s="8"/>
      <c r="K1881" s="10" t="str">
        <f aca="false">IF(A1881="","",IF(ABS(SUMIFS($E$9:$E$2008,$A$9:$A$2008,A1881)-SUMIFS($F$9:$F$2008,$A$9:$A$2008,A1881))&lt;0.5,"Yes","No"))</f>
        <v/>
      </c>
      <c r="L1881" s="10" t="str">
        <f aca="false">IF(A1881="","",IF(IF(K1881="No","Does not balance | ","")&amp;IF(I1881="","Not approved | ",IF(UPPER(TRIM(H1881))=UPPER(TRIM(I1881)),"Self-approved | ",""))&amp;IF(J1881="","No support | ","")&amp;IF(WEEKDAY(B1881,2)&gt;5,"Weekend posting | ","")&amp;IF(COUNTIF(Settings!$A$14:$A$43,B1881)&gt;0,"Holiday posting | ","")&amp;IF(B1881&gt;Settings!$C$8,"Posted after close | ","")&amp;IF(OR(B1881&lt;Settings!$C$6,B1881&gt;Settings!$C$7),"Outside period | ","")&amp;IF(COUNTIF(Settings!$E$14:$E$43,C1881&amp;"")&gt;0,"Sensitive account | ","")&amp;IF(AND(MAX(N(E1881),N(F1881))&gt;=Settings!$C$9,MOD(MAX(N(E1881),N(F1881)),Settings!$C$10)=0),"Round amount | ","")="","",LEFT(IF(K1881="No","Does not balance | ","")&amp;IF(I1881="","Not approved | ",IF(UPPER(TRIM(H1881))=UPPER(TRIM(I1881)),"Self-approved | ",""))&amp;IF(J1881="","No support | ","")&amp;IF(WEEKDAY(B1881,2)&gt;5,"Weekend posting | ","")&amp;IF(COUNTIF(Settings!$A$14:$A$43,B1881)&gt;0,"Holiday posting | ","")&amp;IF(B1881&gt;Settings!$C$8,"Posted after close | ","")&amp;IF(OR(B1881&lt;Settings!$C$6,B1881&gt;Settings!$C$7),"Outside period | ","")&amp;IF(COUNTIF(Settings!$E$14:$E$43,C1881&amp;"")&gt;0,"Sensitive account | ","")&amp;IF(AND(MAX(N(E1881),N(F1881))&gt;=Settings!$C$9,MOD(MAX(N(E1881),N(F1881)),Settings!$C$10)=0),"Round amount | ",""),LEN(IF(K1881="No","Does not balance | ","")&amp;IF(I1881="","Not approved | ",IF(UPPER(TRIM(H1881))=UPPER(TRIM(I1881)),"Self-approved | ",""))&amp;IF(J1881="","No support | ","")&amp;IF(WEEKDAY(B1881,2)&gt;5,"Weekend posting | ","")&amp;IF(COUNTIF(Settings!$A$14:$A$43,B1881)&gt;0,"Holiday posting | ","")&amp;IF(B1881&gt;Settings!$C$8,"Posted after close | ","")&amp;IF(OR(B1881&lt;Settings!$C$6,B1881&gt;Settings!$C$7),"Outside period | ","")&amp;IF(COUNTIF(Settings!$E$14:$E$43,C1881&amp;"")&gt;0,"Sensitive account | ","")&amp;IF(AND(MAX(N(E1881),N(F1881))&gt;=Settings!$C$9,MOD(MAX(N(E1881),N(F1881)),Settings!$C$10)=0),"Round amount | ",""))-3)))</f>
        <v/>
      </c>
      <c r="M1881" s="21" t="str">
        <f aca="false">IF(A1881="","",IF(COUNTIF($A$9:A1881,A1881)=1,MAX($M$8:M1880)+1,""))</f>
        <v/>
      </c>
    </row>
    <row r="1882" customFormat="false" ht="15" hidden="false" customHeight="false" outlineLevel="0" collapsed="false">
      <c r="A1882" s="8"/>
      <c r="B1882" s="17"/>
      <c r="C1882" s="19"/>
      <c r="D1882" s="8"/>
      <c r="E1882" s="18"/>
      <c r="F1882" s="18"/>
      <c r="G1882" s="8"/>
      <c r="H1882" s="8"/>
      <c r="I1882" s="8"/>
      <c r="J1882" s="8"/>
      <c r="K1882" s="10" t="str">
        <f aca="false">IF(A1882="","",IF(ABS(SUMIFS($E$9:$E$2008,$A$9:$A$2008,A1882)-SUMIFS($F$9:$F$2008,$A$9:$A$2008,A1882))&lt;0.5,"Yes","No"))</f>
        <v/>
      </c>
      <c r="L1882" s="10" t="str">
        <f aca="false">IF(A1882="","",IF(IF(K1882="No","Does not balance | ","")&amp;IF(I1882="","Not approved | ",IF(UPPER(TRIM(H1882))=UPPER(TRIM(I1882)),"Self-approved | ",""))&amp;IF(J1882="","No support | ","")&amp;IF(WEEKDAY(B1882,2)&gt;5,"Weekend posting | ","")&amp;IF(COUNTIF(Settings!$A$14:$A$43,B1882)&gt;0,"Holiday posting | ","")&amp;IF(B1882&gt;Settings!$C$8,"Posted after close | ","")&amp;IF(OR(B1882&lt;Settings!$C$6,B1882&gt;Settings!$C$7),"Outside period | ","")&amp;IF(COUNTIF(Settings!$E$14:$E$43,C1882&amp;"")&gt;0,"Sensitive account | ","")&amp;IF(AND(MAX(N(E1882),N(F1882))&gt;=Settings!$C$9,MOD(MAX(N(E1882),N(F1882)),Settings!$C$10)=0),"Round amount | ","")="","",LEFT(IF(K1882="No","Does not balance | ","")&amp;IF(I1882="","Not approved | ",IF(UPPER(TRIM(H1882))=UPPER(TRIM(I1882)),"Self-approved | ",""))&amp;IF(J1882="","No support | ","")&amp;IF(WEEKDAY(B1882,2)&gt;5,"Weekend posting | ","")&amp;IF(COUNTIF(Settings!$A$14:$A$43,B1882)&gt;0,"Holiday posting | ","")&amp;IF(B1882&gt;Settings!$C$8,"Posted after close | ","")&amp;IF(OR(B1882&lt;Settings!$C$6,B1882&gt;Settings!$C$7),"Outside period | ","")&amp;IF(COUNTIF(Settings!$E$14:$E$43,C1882&amp;"")&gt;0,"Sensitive account | ","")&amp;IF(AND(MAX(N(E1882),N(F1882))&gt;=Settings!$C$9,MOD(MAX(N(E1882),N(F1882)),Settings!$C$10)=0),"Round amount | ",""),LEN(IF(K1882="No","Does not balance | ","")&amp;IF(I1882="","Not approved | ",IF(UPPER(TRIM(H1882))=UPPER(TRIM(I1882)),"Self-approved | ",""))&amp;IF(J1882="","No support | ","")&amp;IF(WEEKDAY(B1882,2)&gt;5,"Weekend posting | ","")&amp;IF(COUNTIF(Settings!$A$14:$A$43,B1882)&gt;0,"Holiday posting | ","")&amp;IF(B1882&gt;Settings!$C$8,"Posted after close | ","")&amp;IF(OR(B1882&lt;Settings!$C$6,B1882&gt;Settings!$C$7),"Outside period | ","")&amp;IF(COUNTIF(Settings!$E$14:$E$43,C1882&amp;"")&gt;0,"Sensitive account | ","")&amp;IF(AND(MAX(N(E1882),N(F1882))&gt;=Settings!$C$9,MOD(MAX(N(E1882),N(F1882)),Settings!$C$10)=0),"Round amount | ",""))-3)))</f>
        <v/>
      </c>
      <c r="M1882" s="21" t="str">
        <f aca="false">IF(A1882="","",IF(COUNTIF($A$9:A1882,A1882)=1,MAX($M$8:M1881)+1,""))</f>
        <v/>
      </c>
    </row>
    <row r="1883" customFormat="false" ht="15" hidden="false" customHeight="false" outlineLevel="0" collapsed="false">
      <c r="A1883" s="8"/>
      <c r="B1883" s="17"/>
      <c r="C1883" s="19"/>
      <c r="D1883" s="8"/>
      <c r="E1883" s="18"/>
      <c r="F1883" s="18"/>
      <c r="G1883" s="8"/>
      <c r="H1883" s="8"/>
      <c r="I1883" s="8"/>
      <c r="J1883" s="8"/>
      <c r="K1883" s="10" t="str">
        <f aca="false">IF(A1883="","",IF(ABS(SUMIFS($E$9:$E$2008,$A$9:$A$2008,A1883)-SUMIFS($F$9:$F$2008,$A$9:$A$2008,A1883))&lt;0.5,"Yes","No"))</f>
        <v/>
      </c>
      <c r="L1883" s="10" t="str">
        <f aca="false">IF(A1883="","",IF(IF(K1883="No","Does not balance | ","")&amp;IF(I1883="","Not approved | ",IF(UPPER(TRIM(H1883))=UPPER(TRIM(I1883)),"Self-approved | ",""))&amp;IF(J1883="","No support | ","")&amp;IF(WEEKDAY(B1883,2)&gt;5,"Weekend posting | ","")&amp;IF(COUNTIF(Settings!$A$14:$A$43,B1883)&gt;0,"Holiday posting | ","")&amp;IF(B1883&gt;Settings!$C$8,"Posted after close | ","")&amp;IF(OR(B1883&lt;Settings!$C$6,B1883&gt;Settings!$C$7),"Outside period | ","")&amp;IF(COUNTIF(Settings!$E$14:$E$43,C1883&amp;"")&gt;0,"Sensitive account | ","")&amp;IF(AND(MAX(N(E1883),N(F1883))&gt;=Settings!$C$9,MOD(MAX(N(E1883),N(F1883)),Settings!$C$10)=0),"Round amount | ","")="","",LEFT(IF(K1883="No","Does not balance | ","")&amp;IF(I1883="","Not approved | ",IF(UPPER(TRIM(H1883))=UPPER(TRIM(I1883)),"Self-approved | ",""))&amp;IF(J1883="","No support | ","")&amp;IF(WEEKDAY(B1883,2)&gt;5,"Weekend posting | ","")&amp;IF(COUNTIF(Settings!$A$14:$A$43,B1883)&gt;0,"Holiday posting | ","")&amp;IF(B1883&gt;Settings!$C$8,"Posted after close | ","")&amp;IF(OR(B1883&lt;Settings!$C$6,B1883&gt;Settings!$C$7),"Outside period | ","")&amp;IF(COUNTIF(Settings!$E$14:$E$43,C1883&amp;"")&gt;0,"Sensitive account | ","")&amp;IF(AND(MAX(N(E1883),N(F1883))&gt;=Settings!$C$9,MOD(MAX(N(E1883),N(F1883)),Settings!$C$10)=0),"Round amount | ",""),LEN(IF(K1883="No","Does not balance | ","")&amp;IF(I1883="","Not approved | ",IF(UPPER(TRIM(H1883))=UPPER(TRIM(I1883)),"Self-approved | ",""))&amp;IF(J1883="","No support | ","")&amp;IF(WEEKDAY(B1883,2)&gt;5,"Weekend posting | ","")&amp;IF(COUNTIF(Settings!$A$14:$A$43,B1883)&gt;0,"Holiday posting | ","")&amp;IF(B1883&gt;Settings!$C$8,"Posted after close | ","")&amp;IF(OR(B1883&lt;Settings!$C$6,B1883&gt;Settings!$C$7),"Outside period | ","")&amp;IF(COUNTIF(Settings!$E$14:$E$43,C1883&amp;"")&gt;0,"Sensitive account | ","")&amp;IF(AND(MAX(N(E1883),N(F1883))&gt;=Settings!$C$9,MOD(MAX(N(E1883),N(F1883)),Settings!$C$10)=0),"Round amount | ",""))-3)))</f>
        <v/>
      </c>
      <c r="M1883" s="21" t="str">
        <f aca="false">IF(A1883="","",IF(COUNTIF($A$9:A1883,A1883)=1,MAX($M$8:M1882)+1,""))</f>
        <v/>
      </c>
    </row>
    <row r="1884" customFormat="false" ht="15" hidden="false" customHeight="false" outlineLevel="0" collapsed="false">
      <c r="A1884" s="8"/>
      <c r="B1884" s="17"/>
      <c r="C1884" s="19"/>
      <c r="D1884" s="8"/>
      <c r="E1884" s="18"/>
      <c r="F1884" s="18"/>
      <c r="G1884" s="8"/>
      <c r="H1884" s="8"/>
      <c r="I1884" s="8"/>
      <c r="J1884" s="8"/>
      <c r="K1884" s="10" t="str">
        <f aca="false">IF(A1884="","",IF(ABS(SUMIFS($E$9:$E$2008,$A$9:$A$2008,A1884)-SUMIFS($F$9:$F$2008,$A$9:$A$2008,A1884))&lt;0.5,"Yes","No"))</f>
        <v/>
      </c>
      <c r="L1884" s="10" t="str">
        <f aca="false">IF(A1884="","",IF(IF(K1884="No","Does not balance | ","")&amp;IF(I1884="","Not approved | ",IF(UPPER(TRIM(H1884))=UPPER(TRIM(I1884)),"Self-approved | ",""))&amp;IF(J1884="","No support | ","")&amp;IF(WEEKDAY(B1884,2)&gt;5,"Weekend posting | ","")&amp;IF(COUNTIF(Settings!$A$14:$A$43,B1884)&gt;0,"Holiday posting | ","")&amp;IF(B1884&gt;Settings!$C$8,"Posted after close | ","")&amp;IF(OR(B1884&lt;Settings!$C$6,B1884&gt;Settings!$C$7),"Outside period | ","")&amp;IF(COUNTIF(Settings!$E$14:$E$43,C1884&amp;"")&gt;0,"Sensitive account | ","")&amp;IF(AND(MAX(N(E1884),N(F1884))&gt;=Settings!$C$9,MOD(MAX(N(E1884),N(F1884)),Settings!$C$10)=0),"Round amount | ","")="","",LEFT(IF(K1884="No","Does not balance | ","")&amp;IF(I1884="","Not approved | ",IF(UPPER(TRIM(H1884))=UPPER(TRIM(I1884)),"Self-approved | ",""))&amp;IF(J1884="","No support | ","")&amp;IF(WEEKDAY(B1884,2)&gt;5,"Weekend posting | ","")&amp;IF(COUNTIF(Settings!$A$14:$A$43,B1884)&gt;0,"Holiday posting | ","")&amp;IF(B1884&gt;Settings!$C$8,"Posted after close | ","")&amp;IF(OR(B1884&lt;Settings!$C$6,B1884&gt;Settings!$C$7),"Outside period | ","")&amp;IF(COUNTIF(Settings!$E$14:$E$43,C1884&amp;"")&gt;0,"Sensitive account | ","")&amp;IF(AND(MAX(N(E1884),N(F1884))&gt;=Settings!$C$9,MOD(MAX(N(E1884),N(F1884)),Settings!$C$10)=0),"Round amount | ",""),LEN(IF(K1884="No","Does not balance | ","")&amp;IF(I1884="","Not approved | ",IF(UPPER(TRIM(H1884))=UPPER(TRIM(I1884)),"Self-approved | ",""))&amp;IF(J1884="","No support | ","")&amp;IF(WEEKDAY(B1884,2)&gt;5,"Weekend posting | ","")&amp;IF(COUNTIF(Settings!$A$14:$A$43,B1884)&gt;0,"Holiday posting | ","")&amp;IF(B1884&gt;Settings!$C$8,"Posted after close | ","")&amp;IF(OR(B1884&lt;Settings!$C$6,B1884&gt;Settings!$C$7),"Outside period | ","")&amp;IF(COUNTIF(Settings!$E$14:$E$43,C1884&amp;"")&gt;0,"Sensitive account | ","")&amp;IF(AND(MAX(N(E1884),N(F1884))&gt;=Settings!$C$9,MOD(MAX(N(E1884),N(F1884)),Settings!$C$10)=0),"Round amount | ",""))-3)))</f>
        <v/>
      </c>
      <c r="M1884" s="21" t="str">
        <f aca="false">IF(A1884="","",IF(COUNTIF($A$9:A1884,A1884)=1,MAX($M$8:M1883)+1,""))</f>
        <v/>
      </c>
    </row>
    <row r="1885" customFormat="false" ht="15" hidden="false" customHeight="false" outlineLevel="0" collapsed="false">
      <c r="A1885" s="8"/>
      <c r="B1885" s="17"/>
      <c r="C1885" s="19"/>
      <c r="D1885" s="8"/>
      <c r="E1885" s="18"/>
      <c r="F1885" s="18"/>
      <c r="G1885" s="8"/>
      <c r="H1885" s="8"/>
      <c r="I1885" s="8"/>
      <c r="J1885" s="8"/>
      <c r="K1885" s="10" t="str">
        <f aca="false">IF(A1885="","",IF(ABS(SUMIFS($E$9:$E$2008,$A$9:$A$2008,A1885)-SUMIFS($F$9:$F$2008,$A$9:$A$2008,A1885))&lt;0.5,"Yes","No"))</f>
        <v/>
      </c>
      <c r="L1885" s="10" t="str">
        <f aca="false">IF(A1885="","",IF(IF(K1885="No","Does not balance | ","")&amp;IF(I1885="","Not approved | ",IF(UPPER(TRIM(H1885))=UPPER(TRIM(I1885)),"Self-approved | ",""))&amp;IF(J1885="","No support | ","")&amp;IF(WEEKDAY(B1885,2)&gt;5,"Weekend posting | ","")&amp;IF(COUNTIF(Settings!$A$14:$A$43,B1885)&gt;0,"Holiday posting | ","")&amp;IF(B1885&gt;Settings!$C$8,"Posted after close | ","")&amp;IF(OR(B1885&lt;Settings!$C$6,B1885&gt;Settings!$C$7),"Outside period | ","")&amp;IF(COUNTIF(Settings!$E$14:$E$43,C1885&amp;"")&gt;0,"Sensitive account | ","")&amp;IF(AND(MAX(N(E1885),N(F1885))&gt;=Settings!$C$9,MOD(MAX(N(E1885),N(F1885)),Settings!$C$10)=0),"Round amount | ","")="","",LEFT(IF(K1885="No","Does not balance | ","")&amp;IF(I1885="","Not approved | ",IF(UPPER(TRIM(H1885))=UPPER(TRIM(I1885)),"Self-approved | ",""))&amp;IF(J1885="","No support | ","")&amp;IF(WEEKDAY(B1885,2)&gt;5,"Weekend posting | ","")&amp;IF(COUNTIF(Settings!$A$14:$A$43,B1885)&gt;0,"Holiday posting | ","")&amp;IF(B1885&gt;Settings!$C$8,"Posted after close | ","")&amp;IF(OR(B1885&lt;Settings!$C$6,B1885&gt;Settings!$C$7),"Outside period | ","")&amp;IF(COUNTIF(Settings!$E$14:$E$43,C1885&amp;"")&gt;0,"Sensitive account | ","")&amp;IF(AND(MAX(N(E1885),N(F1885))&gt;=Settings!$C$9,MOD(MAX(N(E1885),N(F1885)),Settings!$C$10)=0),"Round amount | ",""),LEN(IF(K1885="No","Does not balance | ","")&amp;IF(I1885="","Not approved | ",IF(UPPER(TRIM(H1885))=UPPER(TRIM(I1885)),"Self-approved | ",""))&amp;IF(J1885="","No support | ","")&amp;IF(WEEKDAY(B1885,2)&gt;5,"Weekend posting | ","")&amp;IF(COUNTIF(Settings!$A$14:$A$43,B1885)&gt;0,"Holiday posting | ","")&amp;IF(B1885&gt;Settings!$C$8,"Posted after close | ","")&amp;IF(OR(B1885&lt;Settings!$C$6,B1885&gt;Settings!$C$7),"Outside period | ","")&amp;IF(COUNTIF(Settings!$E$14:$E$43,C1885&amp;"")&gt;0,"Sensitive account | ","")&amp;IF(AND(MAX(N(E1885),N(F1885))&gt;=Settings!$C$9,MOD(MAX(N(E1885),N(F1885)),Settings!$C$10)=0),"Round amount | ",""))-3)))</f>
        <v/>
      </c>
      <c r="M1885" s="21" t="str">
        <f aca="false">IF(A1885="","",IF(COUNTIF($A$9:A1885,A1885)=1,MAX($M$8:M1884)+1,""))</f>
        <v/>
      </c>
    </row>
    <row r="1886" customFormat="false" ht="15" hidden="false" customHeight="false" outlineLevel="0" collapsed="false">
      <c r="A1886" s="8"/>
      <c r="B1886" s="17"/>
      <c r="C1886" s="19"/>
      <c r="D1886" s="8"/>
      <c r="E1886" s="18"/>
      <c r="F1886" s="18"/>
      <c r="G1886" s="8"/>
      <c r="H1886" s="8"/>
      <c r="I1886" s="8"/>
      <c r="J1886" s="8"/>
      <c r="K1886" s="10" t="str">
        <f aca="false">IF(A1886="","",IF(ABS(SUMIFS($E$9:$E$2008,$A$9:$A$2008,A1886)-SUMIFS($F$9:$F$2008,$A$9:$A$2008,A1886))&lt;0.5,"Yes","No"))</f>
        <v/>
      </c>
      <c r="L1886" s="10" t="str">
        <f aca="false">IF(A1886="","",IF(IF(K1886="No","Does not balance | ","")&amp;IF(I1886="","Not approved | ",IF(UPPER(TRIM(H1886))=UPPER(TRIM(I1886)),"Self-approved | ",""))&amp;IF(J1886="","No support | ","")&amp;IF(WEEKDAY(B1886,2)&gt;5,"Weekend posting | ","")&amp;IF(COUNTIF(Settings!$A$14:$A$43,B1886)&gt;0,"Holiday posting | ","")&amp;IF(B1886&gt;Settings!$C$8,"Posted after close | ","")&amp;IF(OR(B1886&lt;Settings!$C$6,B1886&gt;Settings!$C$7),"Outside period | ","")&amp;IF(COUNTIF(Settings!$E$14:$E$43,C1886&amp;"")&gt;0,"Sensitive account | ","")&amp;IF(AND(MAX(N(E1886),N(F1886))&gt;=Settings!$C$9,MOD(MAX(N(E1886),N(F1886)),Settings!$C$10)=0),"Round amount | ","")="","",LEFT(IF(K1886="No","Does not balance | ","")&amp;IF(I1886="","Not approved | ",IF(UPPER(TRIM(H1886))=UPPER(TRIM(I1886)),"Self-approved | ",""))&amp;IF(J1886="","No support | ","")&amp;IF(WEEKDAY(B1886,2)&gt;5,"Weekend posting | ","")&amp;IF(COUNTIF(Settings!$A$14:$A$43,B1886)&gt;0,"Holiday posting | ","")&amp;IF(B1886&gt;Settings!$C$8,"Posted after close | ","")&amp;IF(OR(B1886&lt;Settings!$C$6,B1886&gt;Settings!$C$7),"Outside period | ","")&amp;IF(COUNTIF(Settings!$E$14:$E$43,C1886&amp;"")&gt;0,"Sensitive account | ","")&amp;IF(AND(MAX(N(E1886),N(F1886))&gt;=Settings!$C$9,MOD(MAX(N(E1886),N(F1886)),Settings!$C$10)=0),"Round amount | ",""),LEN(IF(K1886="No","Does not balance | ","")&amp;IF(I1886="","Not approved | ",IF(UPPER(TRIM(H1886))=UPPER(TRIM(I1886)),"Self-approved | ",""))&amp;IF(J1886="","No support | ","")&amp;IF(WEEKDAY(B1886,2)&gt;5,"Weekend posting | ","")&amp;IF(COUNTIF(Settings!$A$14:$A$43,B1886)&gt;0,"Holiday posting | ","")&amp;IF(B1886&gt;Settings!$C$8,"Posted after close | ","")&amp;IF(OR(B1886&lt;Settings!$C$6,B1886&gt;Settings!$C$7),"Outside period | ","")&amp;IF(COUNTIF(Settings!$E$14:$E$43,C1886&amp;"")&gt;0,"Sensitive account | ","")&amp;IF(AND(MAX(N(E1886),N(F1886))&gt;=Settings!$C$9,MOD(MAX(N(E1886),N(F1886)),Settings!$C$10)=0),"Round amount | ",""))-3)))</f>
        <v/>
      </c>
      <c r="M1886" s="21" t="str">
        <f aca="false">IF(A1886="","",IF(COUNTIF($A$9:A1886,A1886)=1,MAX($M$8:M1885)+1,""))</f>
        <v/>
      </c>
    </row>
    <row r="1887" customFormat="false" ht="15" hidden="false" customHeight="false" outlineLevel="0" collapsed="false">
      <c r="A1887" s="8"/>
      <c r="B1887" s="17"/>
      <c r="C1887" s="19"/>
      <c r="D1887" s="8"/>
      <c r="E1887" s="18"/>
      <c r="F1887" s="18"/>
      <c r="G1887" s="8"/>
      <c r="H1887" s="8"/>
      <c r="I1887" s="8"/>
      <c r="J1887" s="8"/>
      <c r="K1887" s="10" t="str">
        <f aca="false">IF(A1887="","",IF(ABS(SUMIFS($E$9:$E$2008,$A$9:$A$2008,A1887)-SUMIFS($F$9:$F$2008,$A$9:$A$2008,A1887))&lt;0.5,"Yes","No"))</f>
        <v/>
      </c>
      <c r="L1887" s="10" t="str">
        <f aca="false">IF(A1887="","",IF(IF(K1887="No","Does not balance | ","")&amp;IF(I1887="","Not approved | ",IF(UPPER(TRIM(H1887))=UPPER(TRIM(I1887)),"Self-approved | ",""))&amp;IF(J1887="","No support | ","")&amp;IF(WEEKDAY(B1887,2)&gt;5,"Weekend posting | ","")&amp;IF(COUNTIF(Settings!$A$14:$A$43,B1887)&gt;0,"Holiday posting | ","")&amp;IF(B1887&gt;Settings!$C$8,"Posted after close | ","")&amp;IF(OR(B1887&lt;Settings!$C$6,B1887&gt;Settings!$C$7),"Outside period | ","")&amp;IF(COUNTIF(Settings!$E$14:$E$43,C1887&amp;"")&gt;0,"Sensitive account | ","")&amp;IF(AND(MAX(N(E1887),N(F1887))&gt;=Settings!$C$9,MOD(MAX(N(E1887),N(F1887)),Settings!$C$10)=0),"Round amount | ","")="","",LEFT(IF(K1887="No","Does not balance | ","")&amp;IF(I1887="","Not approved | ",IF(UPPER(TRIM(H1887))=UPPER(TRIM(I1887)),"Self-approved | ",""))&amp;IF(J1887="","No support | ","")&amp;IF(WEEKDAY(B1887,2)&gt;5,"Weekend posting | ","")&amp;IF(COUNTIF(Settings!$A$14:$A$43,B1887)&gt;0,"Holiday posting | ","")&amp;IF(B1887&gt;Settings!$C$8,"Posted after close | ","")&amp;IF(OR(B1887&lt;Settings!$C$6,B1887&gt;Settings!$C$7),"Outside period | ","")&amp;IF(COUNTIF(Settings!$E$14:$E$43,C1887&amp;"")&gt;0,"Sensitive account | ","")&amp;IF(AND(MAX(N(E1887),N(F1887))&gt;=Settings!$C$9,MOD(MAX(N(E1887),N(F1887)),Settings!$C$10)=0),"Round amount | ",""),LEN(IF(K1887="No","Does not balance | ","")&amp;IF(I1887="","Not approved | ",IF(UPPER(TRIM(H1887))=UPPER(TRIM(I1887)),"Self-approved | ",""))&amp;IF(J1887="","No support | ","")&amp;IF(WEEKDAY(B1887,2)&gt;5,"Weekend posting | ","")&amp;IF(COUNTIF(Settings!$A$14:$A$43,B1887)&gt;0,"Holiday posting | ","")&amp;IF(B1887&gt;Settings!$C$8,"Posted after close | ","")&amp;IF(OR(B1887&lt;Settings!$C$6,B1887&gt;Settings!$C$7),"Outside period | ","")&amp;IF(COUNTIF(Settings!$E$14:$E$43,C1887&amp;"")&gt;0,"Sensitive account | ","")&amp;IF(AND(MAX(N(E1887),N(F1887))&gt;=Settings!$C$9,MOD(MAX(N(E1887),N(F1887)),Settings!$C$10)=0),"Round amount | ",""))-3)))</f>
        <v/>
      </c>
      <c r="M1887" s="21" t="str">
        <f aca="false">IF(A1887="","",IF(COUNTIF($A$9:A1887,A1887)=1,MAX($M$8:M1886)+1,""))</f>
        <v/>
      </c>
    </row>
    <row r="1888" customFormat="false" ht="15" hidden="false" customHeight="false" outlineLevel="0" collapsed="false">
      <c r="A1888" s="8"/>
      <c r="B1888" s="17"/>
      <c r="C1888" s="19"/>
      <c r="D1888" s="8"/>
      <c r="E1888" s="18"/>
      <c r="F1888" s="18"/>
      <c r="G1888" s="8"/>
      <c r="H1888" s="8"/>
      <c r="I1888" s="8"/>
      <c r="J1888" s="8"/>
      <c r="K1888" s="10" t="str">
        <f aca="false">IF(A1888="","",IF(ABS(SUMIFS($E$9:$E$2008,$A$9:$A$2008,A1888)-SUMIFS($F$9:$F$2008,$A$9:$A$2008,A1888))&lt;0.5,"Yes","No"))</f>
        <v/>
      </c>
      <c r="L1888" s="10" t="str">
        <f aca="false">IF(A1888="","",IF(IF(K1888="No","Does not balance | ","")&amp;IF(I1888="","Not approved | ",IF(UPPER(TRIM(H1888))=UPPER(TRIM(I1888)),"Self-approved | ",""))&amp;IF(J1888="","No support | ","")&amp;IF(WEEKDAY(B1888,2)&gt;5,"Weekend posting | ","")&amp;IF(COUNTIF(Settings!$A$14:$A$43,B1888)&gt;0,"Holiday posting | ","")&amp;IF(B1888&gt;Settings!$C$8,"Posted after close | ","")&amp;IF(OR(B1888&lt;Settings!$C$6,B1888&gt;Settings!$C$7),"Outside period | ","")&amp;IF(COUNTIF(Settings!$E$14:$E$43,C1888&amp;"")&gt;0,"Sensitive account | ","")&amp;IF(AND(MAX(N(E1888),N(F1888))&gt;=Settings!$C$9,MOD(MAX(N(E1888),N(F1888)),Settings!$C$10)=0),"Round amount | ","")="","",LEFT(IF(K1888="No","Does not balance | ","")&amp;IF(I1888="","Not approved | ",IF(UPPER(TRIM(H1888))=UPPER(TRIM(I1888)),"Self-approved | ",""))&amp;IF(J1888="","No support | ","")&amp;IF(WEEKDAY(B1888,2)&gt;5,"Weekend posting | ","")&amp;IF(COUNTIF(Settings!$A$14:$A$43,B1888)&gt;0,"Holiday posting | ","")&amp;IF(B1888&gt;Settings!$C$8,"Posted after close | ","")&amp;IF(OR(B1888&lt;Settings!$C$6,B1888&gt;Settings!$C$7),"Outside period | ","")&amp;IF(COUNTIF(Settings!$E$14:$E$43,C1888&amp;"")&gt;0,"Sensitive account | ","")&amp;IF(AND(MAX(N(E1888),N(F1888))&gt;=Settings!$C$9,MOD(MAX(N(E1888),N(F1888)),Settings!$C$10)=0),"Round amount | ",""),LEN(IF(K1888="No","Does not balance | ","")&amp;IF(I1888="","Not approved | ",IF(UPPER(TRIM(H1888))=UPPER(TRIM(I1888)),"Self-approved | ",""))&amp;IF(J1888="","No support | ","")&amp;IF(WEEKDAY(B1888,2)&gt;5,"Weekend posting | ","")&amp;IF(COUNTIF(Settings!$A$14:$A$43,B1888)&gt;0,"Holiday posting | ","")&amp;IF(B1888&gt;Settings!$C$8,"Posted after close | ","")&amp;IF(OR(B1888&lt;Settings!$C$6,B1888&gt;Settings!$C$7),"Outside period | ","")&amp;IF(COUNTIF(Settings!$E$14:$E$43,C1888&amp;"")&gt;0,"Sensitive account | ","")&amp;IF(AND(MAX(N(E1888),N(F1888))&gt;=Settings!$C$9,MOD(MAX(N(E1888),N(F1888)),Settings!$C$10)=0),"Round amount | ",""))-3)))</f>
        <v/>
      </c>
      <c r="M1888" s="21" t="str">
        <f aca="false">IF(A1888="","",IF(COUNTIF($A$9:A1888,A1888)=1,MAX($M$8:M1887)+1,""))</f>
        <v/>
      </c>
    </row>
    <row r="1889" customFormat="false" ht="15" hidden="false" customHeight="false" outlineLevel="0" collapsed="false">
      <c r="A1889" s="8"/>
      <c r="B1889" s="17"/>
      <c r="C1889" s="19"/>
      <c r="D1889" s="8"/>
      <c r="E1889" s="18"/>
      <c r="F1889" s="18"/>
      <c r="G1889" s="8"/>
      <c r="H1889" s="8"/>
      <c r="I1889" s="8"/>
      <c r="J1889" s="8"/>
      <c r="K1889" s="10" t="str">
        <f aca="false">IF(A1889="","",IF(ABS(SUMIFS($E$9:$E$2008,$A$9:$A$2008,A1889)-SUMIFS($F$9:$F$2008,$A$9:$A$2008,A1889))&lt;0.5,"Yes","No"))</f>
        <v/>
      </c>
      <c r="L1889" s="10" t="str">
        <f aca="false">IF(A1889="","",IF(IF(K1889="No","Does not balance | ","")&amp;IF(I1889="","Not approved | ",IF(UPPER(TRIM(H1889))=UPPER(TRIM(I1889)),"Self-approved | ",""))&amp;IF(J1889="","No support | ","")&amp;IF(WEEKDAY(B1889,2)&gt;5,"Weekend posting | ","")&amp;IF(COUNTIF(Settings!$A$14:$A$43,B1889)&gt;0,"Holiday posting | ","")&amp;IF(B1889&gt;Settings!$C$8,"Posted after close | ","")&amp;IF(OR(B1889&lt;Settings!$C$6,B1889&gt;Settings!$C$7),"Outside period | ","")&amp;IF(COUNTIF(Settings!$E$14:$E$43,C1889&amp;"")&gt;0,"Sensitive account | ","")&amp;IF(AND(MAX(N(E1889),N(F1889))&gt;=Settings!$C$9,MOD(MAX(N(E1889),N(F1889)),Settings!$C$10)=0),"Round amount | ","")="","",LEFT(IF(K1889="No","Does not balance | ","")&amp;IF(I1889="","Not approved | ",IF(UPPER(TRIM(H1889))=UPPER(TRIM(I1889)),"Self-approved | ",""))&amp;IF(J1889="","No support | ","")&amp;IF(WEEKDAY(B1889,2)&gt;5,"Weekend posting | ","")&amp;IF(COUNTIF(Settings!$A$14:$A$43,B1889)&gt;0,"Holiday posting | ","")&amp;IF(B1889&gt;Settings!$C$8,"Posted after close | ","")&amp;IF(OR(B1889&lt;Settings!$C$6,B1889&gt;Settings!$C$7),"Outside period | ","")&amp;IF(COUNTIF(Settings!$E$14:$E$43,C1889&amp;"")&gt;0,"Sensitive account | ","")&amp;IF(AND(MAX(N(E1889),N(F1889))&gt;=Settings!$C$9,MOD(MAX(N(E1889),N(F1889)),Settings!$C$10)=0),"Round amount | ",""),LEN(IF(K1889="No","Does not balance | ","")&amp;IF(I1889="","Not approved | ",IF(UPPER(TRIM(H1889))=UPPER(TRIM(I1889)),"Self-approved | ",""))&amp;IF(J1889="","No support | ","")&amp;IF(WEEKDAY(B1889,2)&gt;5,"Weekend posting | ","")&amp;IF(COUNTIF(Settings!$A$14:$A$43,B1889)&gt;0,"Holiday posting | ","")&amp;IF(B1889&gt;Settings!$C$8,"Posted after close | ","")&amp;IF(OR(B1889&lt;Settings!$C$6,B1889&gt;Settings!$C$7),"Outside period | ","")&amp;IF(COUNTIF(Settings!$E$14:$E$43,C1889&amp;"")&gt;0,"Sensitive account | ","")&amp;IF(AND(MAX(N(E1889),N(F1889))&gt;=Settings!$C$9,MOD(MAX(N(E1889),N(F1889)),Settings!$C$10)=0),"Round amount | ",""))-3)))</f>
        <v/>
      </c>
      <c r="M1889" s="21" t="str">
        <f aca="false">IF(A1889="","",IF(COUNTIF($A$9:A1889,A1889)=1,MAX($M$8:M1888)+1,""))</f>
        <v/>
      </c>
    </row>
    <row r="1890" customFormat="false" ht="15" hidden="false" customHeight="false" outlineLevel="0" collapsed="false">
      <c r="A1890" s="8"/>
      <c r="B1890" s="17"/>
      <c r="C1890" s="19"/>
      <c r="D1890" s="8"/>
      <c r="E1890" s="18"/>
      <c r="F1890" s="18"/>
      <c r="G1890" s="8"/>
      <c r="H1890" s="8"/>
      <c r="I1890" s="8"/>
      <c r="J1890" s="8"/>
      <c r="K1890" s="10" t="str">
        <f aca="false">IF(A1890="","",IF(ABS(SUMIFS($E$9:$E$2008,$A$9:$A$2008,A1890)-SUMIFS($F$9:$F$2008,$A$9:$A$2008,A1890))&lt;0.5,"Yes","No"))</f>
        <v/>
      </c>
      <c r="L1890" s="10" t="str">
        <f aca="false">IF(A1890="","",IF(IF(K1890="No","Does not balance | ","")&amp;IF(I1890="","Not approved | ",IF(UPPER(TRIM(H1890))=UPPER(TRIM(I1890)),"Self-approved | ",""))&amp;IF(J1890="","No support | ","")&amp;IF(WEEKDAY(B1890,2)&gt;5,"Weekend posting | ","")&amp;IF(COUNTIF(Settings!$A$14:$A$43,B1890)&gt;0,"Holiday posting | ","")&amp;IF(B1890&gt;Settings!$C$8,"Posted after close | ","")&amp;IF(OR(B1890&lt;Settings!$C$6,B1890&gt;Settings!$C$7),"Outside period | ","")&amp;IF(COUNTIF(Settings!$E$14:$E$43,C1890&amp;"")&gt;0,"Sensitive account | ","")&amp;IF(AND(MAX(N(E1890),N(F1890))&gt;=Settings!$C$9,MOD(MAX(N(E1890),N(F1890)),Settings!$C$10)=0),"Round amount | ","")="","",LEFT(IF(K1890="No","Does not balance | ","")&amp;IF(I1890="","Not approved | ",IF(UPPER(TRIM(H1890))=UPPER(TRIM(I1890)),"Self-approved | ",""))&amp;IF(J1890="","No support | ","")&amp;IF(WEEKDAY(B1890,2)&gt;5,"Weekend posting | ","")&amp;IF(COUNTIF(Settings!$A$14:$A$43,B1890)&gt;0,"Holiday posting | ","")&amp;IF(B1890&gt;Settings!$C$8,"Posted after close | ","")&amp;IF(OR(B1890&lt;Settings!$C$6,B1890&gt;Settings!$C$7),"Outside period | ","")&amp;IF(COUNTIF(Settings!$E$14:$E$43,C1890&amp;"")&gt;0,"Sensitive account | ","")&amp;IF(AND(MAX(N(E1890),N(F1890))&gt;=Settings!$C$9,MOD(MAX(N(E1890),N(F1890)),Settings!$C$10)=0),"Round amount | ",""),LEN(IF(K1890="No","Does not balance | ","")&amp;IF(I1890="","Not approved | ",IF(UPPER(TRIM(H1890))=UPPER(TRIM(I1890)),"Self-approved | ",""))&amp;IF(J1890="","No support | ","")&amp;IF(WEEKDAY(B1890,2)&gt;5,"Weekend posting | ","")&amp;IF(COUNTIF(Settings!$A$14:$A$43,B1890)&gt;0,"Holiday posting | ","")&amp;IF(B1890&gt;Settings!$C$8,"Posted after close | ","")&amp;IF(OR(B1890&lt;Settings!$C$6,B1890&gt;Settings!$C$7),"Outside period | ","")&amp;IF(COUNTIF(Settings!$E$14:$E$43,C1890&amp;"")&gt;0,"Sensitive account | ","")&amp;IF(AND(MAX(N(E1890),N(F1890))&gt;=Settings!$C$9,MOD(MAX(N(E1890),N(F1890)),Settings!$C$10)=0),"Round amount | ",""))-3)))</f>
        <v/>
      </c>
      <c r="M1890" s="21" t="str">
        <f aca="false">IF(A1890="","",IF(COUNTIF($A$9:A1890,A1890)=1,MAX($M$8:M1889)+1,""))</f>
        <v/>
      </c>
    </row>
    <row r="1891" customFormat="false" ht="15" hidden="false" customHeight="false" outlineLevel="0" collapsed="false">
      <c r="A1891" s="8"/>
      <c r="B1891" s="17"/>
      <c r="C1891" s="19"/>
      <c r="D1891" s="8"/>
      <c r="E1891" s="18"/>
      <c r="F1891" s="18"/>
      <c r="G1891" s="8"/>
      <c r="H1891" s="8"/>
      <c r="I1891" s="8"/>
      <c r="J1891" s="8"/>
      <c r="K1891" s="10" t="str">
        <f aca="false">IF(A1891="","",IF(ABS(SUMIFS($E$9:$E$2008,$A$9:$A$2008,A1891)-SUMIFS($F$9:$F$2008,$A$9:$A$2008,A1891))&lt;0.5,"Yes","No"))</f>
        <v/>
      </c>
      <c r="L1891" s="10" t="str">
        <f aca="false">IF(A1891="","",IF(IF(K1891="No","Does not balance | ","")&amp;IF(I1891="","Not approved | ",IF(UPPER(TRIM(H1891))=UPPER(TRIM(I1891)),"Self-approved | ",""))&amp;IF(J1891="","No support | ","")&amp;IF(WEEKDAY(B1891,2)&gt;5,"Weekend posting | ","")&amp;IF(COUNTIF(Settings!$A$14:$A$43,B1891)&gt;0,"Holiday posting | ","")&amp;IF(B1891&gt;Settings!$C$8,"Posted after close | ","")&amp;IF(OR(B1891&lt;Settings!$C$6,B1891&gt;Settings!$C$7),"Outside period | ","")&amp;IF(COUNTIF(Settings!$E$14:$E$43,C1891&amp;"")&gt;0,"Sensitive account | ","")&amp;IF(AND(MAX(N(E1891),N(F1891))&gt;=Settings!$C$9,MOD(MAX(N(E1891),N(F1891)),Settings!$C$10)=0),"Round amount | ","")="","",LEFT(IF(K1891="No","Does not balance | ","")&amp;IF(I1891="","Not approved | ",IF(UPPER(TRIM(H1891))=UPPER(TRIM(I1891)),"Self-approved | ",""))&amp;IF(J1891="","No support | ","")&amp;IF(WEEKDAY(B1891,2)&gt;5,"Weekend posting | ","")&amp;IF(COUNTIF(Settings!$A$14:$A$43,B1891)&gt;0,"Holiday posting | ","")&amp;IF(B1891&gt;Settings!$C$8,"Posted after close | ","")&amp;IF(OR(B1891&lt;Settings!$C$6,B1891&gt;Settings!$C$7),"Outside period | ","")&amp;IF(COUNTIF(Settings!$E$14:$E$43,C1891&amp;"")&gt;0,"Sensitive account | ","")&amp;IF(AND(MAX(N(E1891),N(F1891))&gt;=Settings!$C$9,MOD(MAX(N(E1891),N(F1891)),Settings!$C$10)=0),"Round amount | ",""),LEN(IF(K1891="No","Does not balance | ","")&amp;IF(I1891="","Not approved | ",IF(UPPER(TRIM(H1891))=UPPER(TRIM(I1891)),"Self-approved | ",""))&amp;IF(J1891="","No support | ","")&amp;IF(WEEKDAY(B1891,2)&gt;5,"Weekend posting | ","")&amp;IF(COUNTIF(Settings!$A$14:$A$43,B1891)&gt;0,"Holiday posting | ","")&amp;IF(B1891&gt;Settings!$C$8,"Posted after close | ","")&amp;IF(OR(B1891&lt;Settings!$C$6,B1891&gt;Settings!$C$7),"Outside period | ","")&amp;IF(COUNTIF(Settings!$E$14:$E$43,C1891&amp;"")&gt;0,"Sensitive account | ","")&amp;IF(AND(MAX(N(E1891),N(F1891))&gt;=Settings!$C$9,MOD(MAX(N(E1891),N(F1891)),Settings!$C$10)=0),"Round amount | ",""))-3)))</f>
        <v/>
      </c>
      <c r="M1891" s="21" t="str">
        <f aca="false">IF(A1891="","",IF(COUNTIF($A$9:A1891,A1891)=1,MAX($M$8:M1890)+1,""))</f>
        <v/>
      </c>
    </row>
    <row r="1892" customFormat="false" ht="15" hidden="false" customHeight="false" outlineLevel="0" collapsed="false">
      <c r="A1892" s="8"/>
      <c r="B1892" s="17"/>
      <c r="C1892" s="19"/>
      <c r="D1892" s="8"/>
      <c r="E1892" s="18"/>
      <c r="F1892" s="18"/>
      <c r="G1892" s="8"/>
      <c r="H1892" s="8"/>
      <c r="I1892" s="8"/>
      <c r="J1892" s="8"/>
      <c r="K1892" s="10" t="str">
        <f aca="false">IF(A1892="","",IF(ABS(SUMIFS($E$9:$E$2008,$A$9:$A$2008,A1892)-SUMIFS($F$9:$F$2008,$A$9:$A$2008,A1892))&lt;0.5,"Yes","No"))</f>
        <v/>
      </c>
      <c r="L1892" s="10" t="str">
        <f aca="false">IF(A1892="","",IF(IF(K1892="No","Does not balance | ","")&amp;IF(I1892="","Not approved | ",IF(UPPER(TRIM(H1892))=UPPER(TRIM(I1892)),"Self-approved | ",""))&amp;IF(J1892="","No support | ","")&amp;IF(WEEKDAY(B1892,2)&gt;5,"Weekend posting | ","")&amp;IF(COUNTIF(Settings!$A$14:$A$43,B1892)&gt;0,"Holiday posting | ","")&amp;IF(B1892&gt;Settings!$C$8,"Posted after close | ","")&amp;IF(OR(B1892&lt;Settings!$C$6,B1892&gt;Settings!$C$7),"Outside period | ","")&amp;IF(COUNTIF(Settings!$E$14:$E$43,C1892&amp;"")&gt;0,"Sensitive account | ","")&amp;IF(AND(MAX(N(E1892),N(F1892))&gt;=Settings!$C$9,MOD(MAX(N(E1892),N(F1892)),Settings!$C$10)=0),"Round amount | ","")="","",LEFT(IF(K1892="No","Does not balance | ","")&amp;IF(I1892="","Not approved | ",IF(UPPER(TRIM(H1892))=UPPER(TRIM(I1892)),"Self-approved | ",""))&amp;IF(J1892="","No support | ","")&amp;IF(WEEKDAY(B1892,2)&gt;5,"Weekend posting | ","")&amp;IF(COUNTIF(Settings!$A$14:$A$43,B1892)&gt;0,"Holiday posting | ","")&amp;IF(B1892&gt;Settings!$C$8,"Posted after close | ","")&amp;IF(OR(B1892&lt;Settings!$C$6,B1892&gt;Settings!$C$7),"Outside period | ","")&amp;IF(COUNTIF(Settings!$E$14:$E$43,C1892&amp;"")&gt;0,"Sensitive account | ","")&amp;IF(AND(MAX(N(E1892),N(F1892))&gt;=Settings!$C$9,MOD(MAX(N(E1892),N(F1892)),Settings!$C$10)=0),"Round amount | ",""),LEN(IF(K1892="No","Does not balance | ","")&amp;IF(I1892="","Not approved | ",IF(UPPER(TRIM(H1892))=UPPER(TRIM(I1892)),"Self-approved | ",""))&amp;IF(J1892="","No support | ","")&amp;IF(WEEKDAY(B1892,2)&gt;5,"Weekend posting | ","")&amp;IF(COUNTIF(Settings!$A$14:$A$43,B1892)&gt;0,"Holiday posting | ","")&amp;IF(B1892&gt;Settings!$C$8,"Posted after close | ","")&amp;IF(OR(B1892&lt;Settings!$C$6,B1892&gt;Settings!$C$7),"Outside period | ","")&amp;IF(COUNTIF(Settings!$E$14:$E$43,C1892&amp;"")&gt;0,"Sensitive account | ","")&amp;IF(AND(MAX(N(E1892),N(F1892))&gt;=Settings!$C$9,MOD(MAX(N(E1892),N(F1892)),Settings!$C$10)=0),"Round amount | ",""))-3)))</f>
        <v/>
      </c>
      <c r="M1892" s="21" t="str">
        <f aca="false">IF(A1892="","",IF(COUNTIF($A$9:A1892,A1892)=1,MAX($M$8:M1891)+1,""))</f>
        <v/>
      </c>
    </row>
    <row r="1893" customFormat="false" ht="15" hidden="false" customHeight="false" outlineLevel="0" collapsed="false">
      <c r="A1893" s="8"/>
      <c r="B1893" s="17"/>
      <c r="C1893" s="19"/>
      <c r="D1893" s="8"/>
      <c r="E1893" s="18"/>
      <c r="F1893" s="18"/>
      <c r="G1893" s="8"/>
      <c r="H1893" s="8"/>
      <c r="I1893" s="8"/>
      <c r="J1893" s="8"/>
      <c r="K1893" s="10" t="str">
        <f aca="false">IF(A1893="","",IF(ABS(SUMIFS($E$9:$E$2008,$A$9:$A$2008,A1893)-SUMIFS($F$9:$F$2008,$A$9:$A$2008,A1893))&lt;0.5,"Yes","No"))</f>
        <v/>
      </c>
      <c r="L1893" s="10" t="str">
        <f aca="false">IF(A1893="","",IF(IF(K1893="No","Does not balance | ","")&amp;IF(I1893="","Not approved | ",IF(UPPER(TRIM(H1893))=UPPER(TRIM(I1893)),"Self-approved | ",""))&amp;IF(J1893="","No support | ","")&amp;IF(WEEKDAY(B1893,2)&gt;5,"Weekend posting | ","")&amp;IF(COUNTIF(Settings!$A$14:$A$43,B1893)&gt;0,"Holiday posting | ","")&amp;IF(B1893&gt;Settings!$C$8,"Posted after close | ","")&amp;IF(OR(B1893&lt;Settings!$C$6,B1893&gt;Settings!$C$7),"Outside period | ","")&amp;IF(COUNTIF(Settings!$E$14:$E$43,C1893&amp;"")&gt;0,"Sensitive account | ","")&amp;IF(AND(MAX(N(E1893),N(F1893))&gt;=Settings!$C$9,MOD(MAX(N(E1893),N(F1893)),Settings!$C$10)=0),"Round amount | ","")="","",LEFT(IF(K1893="No","Does not balance | ","")&amp;IF(I1893="","Not approved | ",IF(UPPER(TRIM(H1893))=UPPER(TRIM(I1893)),"Self-approved | ",""))&amp;IF(J1893="","No support | ","")&amp;IF(WEEKDAY(B1893,2)&gt;5,"Weekend posting | ","")&amp;IF(COUNTIF(Settings!$A$14:$A$43,B1893)&gt;0,"Holiday posting | ","")&amp;IF(B1893&gt;Settings!$C$8,"Posted after close | ","")&amp;IF(OR(B1893&lt;Settings!$C$6,B1893&gt;Settings!$C$7),"Outside period | ","")&amp;IF(COUNTIF(Settings!$E$14:$E$43,C1893&amp;"")&gt;0,"Sensitive account | ","")&amp;IF(AND(MAX(N(E1893),N(F1893))&gt;=Settings!$C$9,MOD(MAX(N(E1893),N(F1893)),Settings!$C$10)=0),"Round amount | ",""),LEN(IF(K1893="No","Does not balance | ","")&amp;IF(I1893="","Not approved | ",IF(UPPER(TRIM(H1893))=UPPER(TRIM(I1893)),"Self-approved | ",""))&amp;IF(J1893="","No support | ","")&amp;IF(WEEKDAY(B1893,2)&gt;5,"Weekend posting | ","")&amp;IF(COUNTIF(Settings!$A$14:$A$43,B1893)&gt;0,"Holiday posting | ","")&amp;IF(B1893&gt;Settings!$C$8,"Posted after close | ","")&amp;IF(OR(B1893&lt;Settings!$C$6,B1893&gt;Settings!$C$7),"Outside period | ","")&amp;IF(COUNTIF(Settings!$E$14:$E$43,C1893&amp;"")&gt;0,"Sensitive account | ","")&amp;IF(AND(MAX(N(E1893),N(F1893))&gt;=Settings!$C$9,MOD(MAX(N(E1893),N(F1893)),Settings!$C$10)=0),"Round amount | ",""))-3)))</f>
        <v/>
      </c>
      <c r="M1893" s="21" t="str">
        <f aca="false">IF(A1893="","",IF(COUNTIF($A$9:A1893,A1893)=1,MAX($M$8:M1892)+1,""))</f>
        <v/>
      </c>
    </row>
    <row r="1894" customFormat="false" ht="15" hidden="false" customHeight="false" outlineLevel="0" collapsed="false">
      <c r="A1894" s="8"/>
      <c r="B1894" s="17"/>
      <c r="C1894" s="19"/>
      <c r="D1894" s="8"/>
      <c r="E1894" s="18"/>
      <c r="F1894" s="18"/>
      <c r="G1894" s="8"/>
      <c r="H1894" s="8"/>
      <c r="I1894" s="8"/>
      <c r="J1894" s="8"/>
      <c r="K1894" s="10" t="str">
        <f aca="false">IF(A1894="","",IF(ABS(SUMIFS($E$9:$E$2008,$A$9:$A$2008,A1894)-SUMIFS($F$9:$F$2008,$A$9:$A$2008,A1894))&lt;0.5,"Yes","No"))</f>
        <v/>
      </c>
      <c r="L1894" s="10" t="str">
        <f aca="false">IF(A1894="","",IF(IF(K1894="No","Does not balance | ","")&amp;IF(I1894="","Not approved | ",IF(UPPER(TRIM(H1894))=UPPER(TRIM(I1894)),"Self-approved | ",""))&amp;IF(J1894="","No support | ","")&amp;IF(WEEKDAY(B1894,2)&gt;5,"Weekend posting | ","")&amp;IF(COUNTIF(Settings!$A$14:$A$43,B1894)&gt;0,"Holiday posting | ","")&amp;IF(B1894&gt;Settings!$C$8,"Posted after close | ","")&amp;IF(OR(B1894&lt;Settings!$C$6,B1894&gt;Settings!$C$7),"Outside period | ","")&amp;IF(COUNTIF(Settings!$E$14:$E$43,C1894&amp;"")&gt;0,"Sensitive account | ","")&amp;IF(AND(MAX(N(E1894),N(F1894))&gt;=Settings!$C$9,MOD(MAX(N(E1894),N(F1894)),Settings!$C$10)=0),"Round amount | ","")="","",LEFT(IF(K1894="No","Does not balance | ","")&amp;IF(I1894="","Not approved | ",IF(UPPER(TRIM(H1894))=UPPER(TRIM(I1894)),"Self-approved | ",""))&amp;IF(J1894="","No support | ","")&amp;IF(WEEKDAY(B1894,2)&gt;5,"Weekend posting | ","")&amp;IF(COUNTIF(Settings!$A$14:$A$43,B1894)&gt;0,"Holiday posting | ","")&amp;IF(B1894&gt;Settings!$C$8,"Posted after close | ","")&amp;IF(OR(B1894&lt;Settings!$C$6,B1894&gt;Settings!$C$7),"Outside period | ","")&amp;IF(COUNTIF(Settings!$E$14:$E$43,C1894&amp;"")&gt;0,"Sensitive account | ","")&amp;IF(AND(MAX(N(E1894),N(F1894))&gt;=Settings!$C$9,MOD(MAX(N(E1894),N(F1894)),Settings!$C$10)=0),"Round amount | ",""),LEN(IF(K1894="No","Does not balance | ","")&amp;IF(I1894="","Not approved | ",IF(UPPER(TRIM(H1894))=UPPER(TRIM(I1894)),"Self-approved | ",""))&amp;IF(J1894="","No support | ","")&amp;IF(WEEKDAY(B1894,2)&gt;5,"Weekend posting | ","")&amp;IF(COUNTIF(Settings!$A$14:$A$43,B1894)&gt;0,"Holiday posting | ","")&amp;IF(B1894&gt;Settings!$C$8,"Posted after close | ","")&amp;IF(OR(B1894&lt;Settings!$C$6,B1894&gt;Settings!$C$7),"Outside period | ","")&amp;IF(COUNTIF(Settings!$E$14:$E$43,C1894&amp;"")&gt;0,"Sensitive account | ","")&amp;IF(AND(MAX(N(E1894),N(F1894))&gt;=Settings!$C$9,MOD(MAX(N(E1894),N(F1894)),Settings!$C$10)=0),"Round amount | ",""))-3)))</f>
        <v/>
      </c>
      <c r="M1894" s="21" t="str">
        <f aca="false">IF(A1894="","",IF(COUNTIF($A$9:A1894,A1894)=1,MAX($M$8:M1893)+1,""))</f>
        <v/>
      </c>
    </row>
    <row r="1895" customFormat="false" ht="15" hidden="false" customHeight="false" outlineLevel="0" collapsed="false">
      <c r="A1895" s="8"/>
      <c r="B1895" s="17"/>
      <c r="C1895" s="19"/>
      <c r="D1895" s="8"/>
      <c r="E1895" s="18"/>
      <c r="F1895" s="18"/>
      <c r="G1895" s="8"/>
      <c r="H1895" s="8"/>
      <c r="I1895" s="8"/>
      <c r="J1895" s="8"/>
      <c r="K1895" s="10" t="str">
        <f aca="false">IF(A1895="","",IF(ABS(SUMIFS($E$9:$E$2008,$A$9:$A$2008,A1895)-SUMIFS($F$9:$F$2008,$A$9:$A$2008,A1895))&lt;0.5,"Yes","No"))</f>
        <v/>
      </c>
      <c r="L1895" s="10" t="str">
        <f aca="false">IF(A1895="","",IF(IF(K1895="No","Does not balance | ","")&amp;IF(I1895="","Not approved | ",IF(UPPER(TRIM(H1895))=UPPER(TRIM(I1895)),"Self-approved | ",""))&amp;IF(J1895="","No support | ","")&amp;IF(WEEKDAY(B1895,2)&gt;5,"Weekend posting | ","")&amp;IF(COUNTIF(Settings!$A$14:$A$43,B1895)&gt;0,"Holiday posting | ","")&amp;IF(B1895&gt;Settings!$C$8,"Posted after close | ","")&amp;IF(OR(B1895&lt;Settings!$C$6,B1895&gt;Settings!$C$7),"Outside period | ","")&amp;IF(COUNTIF(Settings!$E$14:$E$43,C1895&amp;"")&gt;0,"Sensitive account | ","")&amp;IF(AND(MAX(N(E1895),N(F1895))&gt;=Settings!$C$9,MOD(MAX(N(E1895),N(F1895)),Settings!$C$10)=0),"Round amount | ","")="","",LEFT(IF(K1895="No","Does not balance | ","")&amp;IF(I1895="","Not approved | ",IF(UPPER(TRIM(H1895))=UPPER(TRIM(I1895)),"Self-approved | ",""))&amp;IF(J1895="","No support | ","")&amp;IF(WEEKDAY(B1895,2)&gt;5,"Weekend posting | ","")&amp;IF(COUNTIF(Settings!$A$14:$A$43,B1895)&gt;0,"Holiday posting | ","")&amp;IF(B1895&gt;Settings!$C$8,"Posted after close | ","")&amp;IF(OR(B1895&lt;Settings!$C$6,B1895&gt;Settings!$C$7),"Outside period | ","")&amp;IF(COUNTIF(Settings!$E$14:$E$43,C1895&amp;"")&gt;0,"Sensitive account | ","")&amp;IF(AND(MAX(N(E1895),N(F1895))&gt;=Settings!$C$9,MOD(MAX(N(E1895),N(F1895)),Settings!$C$10)=0),"Round amount | ",""),LEN(IF(K1895="No","Does not balance | ","")&amp;IF(I1895="","Not approved | ",IF(UPPER(TRIM(H1895))=UPPER(TRIM(I1895)),"Self-approved | ",""))&amp;IF(J1895="","No support | ","")&amp;IF(WEEKDAY(B1895,2)&gt;5,"Weekend posting | ","")&amp;IF(COUNTIF(Settings!$A$14:$A$43,B1895)&gt;0,"Holiday posting | ","")&amp;IF(B1895&gt;Settings!$C$8,"Posted after close | ","")&amp;IF(OR(B1895&lt;Settings!$C$6,B1895&gt;Settings!$C$7),"Outside period | ","")&amp;IF(COUNTIF(Settings!$E$14:$E$43,C1895&amp;"")&gt;0,"Sensitive account | ","")&amp;IF(AND(MAX(N(E1895),N(F1895))&gt;=Settings!$C$9,MOD(MAX(N(E1895),N(F1895)),Settings!$C$10)=0),"Round amount | ",""))-3)))</f>
        <v/>
      </c>
      <c r="M1895" s="21" t="str">
        <f aca="false">IF(A1895="","",IF(COUNTIF($A$9:A1895,A1895)=1,MAX($M$8:M1894)+1,""))</f>
        <v/>
      </c>
    </row>
    <row r="1896" customFormat="false" ht="15" hidden="false" customHeight="false" outlineLevel="0" collapsed="false">
      <c r="A1896" s="8"/>
      <c r="B1896" s="17"/>
      <c r="C1896" s="19"/>
      <c r="D1896" s="8"/>
      <c r="E1896" s="18"/>
      <c r="F1896" s="18"/>
      <c r="G1896" s="8"/>
      <c r="H1896" s="8"/>
      <c r="I1896" s="8"/>
      <c r="J1896" s="8"/>
      <c r="K1896" s="10" t="str">
        <f aca="false">IF(A1896="","",IF(ABS(SUMIFS($E$9:$E$2008,$A$9:$A$2008,A1896)-SUMIFS($F$9:$F$2008,$A$9:$A$2008,A1896))&lt;0.5,"Yes","No"))</f>
        <v/>
      </c>
      <c r="L1896" s="10" t="str">
        <f aca="false">IF(A1896="","",IF(IF(K1896="No","Does not balance | ","")&amp;IF(I1896="","Not approved | ",IF(UPPER(TRIM(H1896))=UPPER(TRIM(I1896)),"Self-approved | ",""))&amp;IF(J1896="","No support | ","")&amp;IF(WEEKDAY(B1896,2)&gt;5,"Weekend posting | ","")&amp;IF(COUNTIF(Settings!$A$14:$A$43,B1896)&gt;0,"Holiday posting | ","")&amp;IF(B1896&gt;Settings!$C$8,"Posted after close | ","")&amp;IF(OR(B1896&lt;Settings!$C$6,B1896&gt;Settings!$C$7),"Outside period | ","")&amp;IF(COUNTIF(Settings!$E$14:$E$43,C1896&amp;"")&gt;0,"Sensitive account | ","")&amp;IF(AND(MAX(N(E1896),N(F1896))&gt;=Settings!$C$9,MOD(MAX(N(E1896),N(F1896)),Settings!$C$10)=0),"Round amount | ","")="","",LEFT(IF(K1896="No","Does not balance | ","")&amp;IF(I1896="","Not approved | ",IF(UPPER(TRIM(H1896))=UPPER(TRIM(I1896)),"Self-approved | ",""))&amp;IF(J1896="","No support | ","")&amp;IF(WEEKDAY(B1896,2)&gt;5,"Weekend posting | ","")&amp;IF(COUNTIF(Settings!$A$14:$A$43,B1896)&gt;0,"Holiday posting | ","")&amp;IF(B1896&gt;Settings!$C$8,"Posted after close | ","")&amp;IF(OR(B1896&lt;Settings!$C$6,B1896&gt;Settings!$C$7),"Outside period | ","")&amp;IF(COUNTIF(Settings!$E$14:$E$43,C1896&amp;"")&gt;0,"Sensitive account | ","")&amp;IF(AND(MAX(N(E1896),N(F1896))&gt;=Settings!$C$9,MOD(MAX(N(E1896),N(F1896)),Settings!$C$10)=0),"Round amount | ",""),LEN(IF(K1896="No","Does not balance | ","")&amp;IF(I1896="","Not approved | ",IF(UPPER(TRIM(H1896))=UPPER(TRIM(I1896)),"Self-approved | ",""))&amp;IF(J1896="","No support | ","")&amp;IF(WEEKDAY(B1896,2)&gt;5,"Weekend posting | ","")&amp;IF(COUNTIF(Settings!$A$14:$A$43,B1896)&gt;0,"Holiday posting | ","")&amp;IF(B1896&gt;Settings!$C$8,"Posted after close | ","")&amp;IF(OR(B1896&lt;Settings!$C$6,B1896&gt;Settings!$C$7),"Outside period | ","")&amp;IF(COUNTIF(Settings!$E$14:$E$43,C1896&amp;"")&gt;0,"Sensitive account | ","")&amp;IF(AND(MAX(N(E1896),N(F1896))&gt;=Settings!$C$9,MOD(MAX(N(E1896),N(F1896)),Settings!$C$10)=0),"Round amount | ",""))-3)))</f>
        <v/>
      </c>
      <c r="M1896" s="21" t="str">
        <f aca="false">IF(A1896="","",IF(COUNTIF($A$9:A1896,A1896)=1,MAX($M$8:M1895)+1,""))</f>
        <v/>
      </c>
    </row>
    <row r="1897" customFormat="false" ht="15" hidden="false" customHeight="false" outlineLevel="0" collapsed="false">
      <c r="A1897" s="8"/>
      <c r="B1897" s="17"/>
      <c r="C1897" s="19"/>
      <c r="D1897" s="8"/>
      <c r="E1897" s="18"/>
      <c r="F1897" s="18"/>
      <c r="G1897" s="8"/>
      <c r="H1897" s="8"/>
      <c r="I1897" s="8"/>
      <c r="J1897" s="8"/>
      <c r="K1897" s="10" t="str">
        <f aca="false">IF(A1897="","",IF(ABS(SUMIFS($E$9:$E$2008,$A$9:$A$2008,A1897)-SUMIFS($F$9:$F$2008,$A$9:$A$2008,A1897))&lt;0.5,"Yes","No"))</f>
        <v/>
      </c>
      <c r="L1897" s="10" t="str">
        <f aca="false">IF(A1897="","",IF(IF(K1897="No","Does not balance | ","")&amp;IF(I1897="","Not approved | ",IF(UPPER(TRIM(H1897))=UPPER(TRIM(I1897)),"Self-approved | ",""))&amp;IF(J1897="","No support | ","")&amp;IF(WEEKDAY(B1897,2)&gt;5,"Weekend posting | ","")&amp;IF(COUNTIF(Settings!$A$14:$A$43,B1897)&gt;0,"Holiday posting | ","")&amp;IF(B1897&gt;Settings!$C$8,"Posted after close | ","")&amp;IF(OR(B1897&lt;Settings!$C$6,B1897&gt;Settings!$C$7),"Outside period | ","")&amp;IF(COUNTIF(Settings!$E$14:$E$43,C1897&amp;"")&gt;0,"Sensitive account | ","")&amp;IF(AND(MAX(N(E1897),N(F1897))&gt;=Settings!$C$9,MOD(MAX(N(E1897),N(F1897)),Settings!$C$10)=0),"Round amount | ","")="","",LEFT(IF(K1897="No","Does not balance | ","")&amp;IF(I1897="","Not approved | ",IF(UPPER(TRIM(H1897))=UPPER(TRIM(I1897)),"Self-approved | ",""))&amp;IF(J1897="","No support | ","")&amp;IF(WEEKDAY(B1897,2)&gt;5,"Weekend posting | ","")&amp;IF(COUNTIF(Settings!$A$14:$A$43,B1897)&gt;0,"Holiday posting | ","")&amp;IF(B1897&gt;Settings!$C$8,"Posted after close | ","")&amp;IF(OR(B1897&lt;Settings!$C$6,B1897&gt;Settings!$C$7),"Outside period | ","")&amp;IF(COUNTIF(Settings!$E$14:$E$43,C1897&amp;"")&gt;0,"Sensitive account | ","")&amp;IF(AND(MAX(N(E1897),N(F1897))&gt;=Settings!$C$9,MOD(MAX(N(E1897),N(F1897)),Settings!$C$10)=0),"Round amount | ",""),LEN(IF(K1897="No","Does not balance | ","")&amp;IF(I1897="","Not approved | ",IF(UPPER(TRIM(H1897))=UPPER(TRIM(I1897)),"Self-approved | ",""))&amp;IF(J1897="","No support | ","")&amp;IF(WEEKDAY(B1897,2)&gt;5,"Weekend posting | ","")&amp;IF(COUNTIF(Settings!$A$14:$A$43,B1897)&gt;0,"Holiday posting | ","")&amp;IF(B1897&gt;Settings!$C$8,"Posted after close | ","")&amp;IF(OR(B1897&lt;Settings!$C$6,B1897&gt;Settings!$C$7),"Outside period | ","")&amp;IF(COUNTIF(Settings!$E$14:$E$43,C1897&amp;"")&gt;0,"Sensitive account | ","")&amp;IF(AND(MAX(N(E1897),N(F1897))&gt;=Settings!$C$9,MOD(MAX(N(E1897),N(F1897)),Settings!$C$10)=0),"Round amount | ",""))-3)))</f>
        <v/>
      </c>
      <c r="M1897" s="21" t="str">
        <f aca="false">IF(A1897="","",IF(COUNTIF($A$9:A1897,A1897)=1,MAX($M$8:M1896)+1,""))</f>
        <v/>
      </c>
    </row>
    <row r="1898" customFormat="false" ht="15" hidden="false" customHeight="false" outlineLevel="0" collapsed="false">
      <c r="A1898" s="8"/>
      <c r="B1898" s="17"/>
      <c r="C1898" s="19"/>
      <c r="D1898" s="8"/>
      <c r="E1898" s="18"/>
      <c r="F1898" s="18"/>
      <c r="G1898" s="8"/>
      <c r="H1898" s="8"/>
      <c r="I1898" s="8"/>
      <c r="J1898" s="8"/>
      <c r="K1898" s="10" t="str">
        <f aca="false">IF(A1898="","",IF(ABS(SUMIFS($E$9:$E$2008,$A$9:$A$2008,A1898)-SUMIFS($F$9:$F$2008,$A$9:$A$2008,A1898))&lt;0.5,"Yes","No"))</f>
        <v/>
      </c>
      <c r="L1898" s="10" t="str">
        <f aca="false">IF(A1898="","",IF(IF(K1898="No","Does not balance | ","")&amp;IF(I1898="","Not approved | ",IF(UPPER(TRIM(H1898))=UPPER(TRIM(I1898)),"Self-approved | ",""))&amp;IF(J1898="","No support | ","")&amp;IF(WEEKDAY(B1898,2)&gt;5,"Weekend posting | ","")&amp;IF(COUNTIF(Settings!$A$14:$A$43,B1898)&gt;0,"Holiday posting | ","")&amp;IF(B1898&gt;Settings!$C$8,"Posted after close | ","")&amp;IF(OR(B1898&lt;Settings!$C$6,B1898&gt;Settings!$C$7),"Outside period | ","")&amp;IF(COUNTIF(Settings!$E$14:$E$43,C1898&amp;"")&gt;0,"Sensitive account | ","")&amp;IF(AND(MAX(N(E1898),N(F1898))&gt;=Settings!$C$9,MOD(MAX(N(E1898),N(F1898)),Settings!$C$10)=0),"Round amount | ","")="","",LEFT(IF(K1898="No","Does not balance | ","")&amp;IF(I1898="","Not approved | ",IF(UPPER(TRIM(H1898))=UPPER(TRIM(I1898)),"Self-approved | ",""))&amp;IF(J1898="","No support | ","")&amp;IF(WEEKDAY(B1898,2)&gt;5,"Weekend posting | ","")&amp;IF(COUNTIF(Settings!$A$14:$A$43,B1898)&gt;0,"Holiday posting | ","")&amp;IF(B1898&gt;Settings!$C$8,"Posted after close | ","")&amp;IF(OR(B1898&lt;Settings!$C$6,B1898&gt;Settings!$C$7),"Outside period | ","")&amp;IF(COUNTIF(Settings!$E$14:$E$43,C1898&amp;"")&gt;0,"Sensitive account | ","")&amp;IF(AND(MAX(N(E1898),N(F1898))&gt;=Settings!$C$9,MOD(MAX(N(E1898),N(F1898)),Settings!$C$10)=0),"Round amount | ",""),LEN(IF(K1898="No","Does not balance | ","")&amp;IF(I1898="","Not approved | ",IF(UPPER(TRIM(H1898))=UPPER(TRIM(I1898)),"Self-approved | ",""))&amp;IF(J1898="","No support | ","")&amp;IF(WEEKDAY(B1898,2)&gt;5,"Weekend posting | ","")&amp;IF(COUNTIF(Settings!$A$14:$A$43,B1898)&gt;0,"Holiday posting | ","")&amp;IF(B1898&gt;Settings!$C$8,"Posted after close | ","")&amp;IF(OR(B1898&lt;Settings!$C$6,B1898&gt;Settings!$C$7),"Outside period | ","")&amp;IF(COUNTIF(Settings!$E$14:$E$43,C1898&amp;"")&gt;0,"Sensitive account | ","")&amp;IF(AND(MAX(N(E1898),N(F1898))&gt;=Settings!$C$9,MOD(MAX(N(E1898),N(F1898)),Settings!$C$10)=0),"Round amount | ",""))-3)))</f>
        <v/>
      </c>
      <c r="M1898" s="21" t="str">
        <f aca="false">IF(A1898="","",IF(COUNTIF($A$9:A1898,A1898)=1,MAX($M$8:M1897)+1,""))</f>
        <v/>
      </c>
    </row>
    <row r="1899" customFormat="false" ht="15" hidden="false" customHeight="false" outlineLevel="0" collapsed="false">
      <c r="A1899" s="8"/>
      <c r="B1899" s="17"/>
      <c r="C1899" s="19"/>
      <c r="D1899" s="8"/>
      <c r="E1899" s="18"/>
      <c r="F1899" s="18"/>
      <c r="G1899" s="8"/>
      <c r="H1899" s="8"/>
      <c r="I1899" s="8"/>
      <c r="J1899" s="8"/>
      <c r="K1899" s="10" t="str">
        <f aca="false">IF(A1899="","",IF(ABS(SUMIFS($E$9:$E$2008,$A$9:$A$2008,A1899)-SUMIFS($F$9:$F$2008,$A$9:$A$2008,A1899))&lt;0.5,"Yes","No"))</f>
        <v/>
      </c>
      <c r="L1899" s="10" t="str">
        <f aca="false">IF(A1899="","",IF(IF(K1899="No","Does not balance | ","")&amp;IF(I1899="","Not approved | ",IF(UPPER(TRIM(H1899))=UPPER(TRIM(I1899)),"Self-approved | ",""))&amp;IF(J1899="","No support | ","")&amp;IF(WEEKDAY(B1899,2)&gt;5,"Weekend posting | ","")&amp;IF(COUNTIF(Settings!$A$14:$A$43,B1899)&gt;0,"Holiday posting | ","")&amp;IF(B1899&gt;Settings!$C$8,"Posted after close | ","")&amp;IF(OR(B1899&lt;Settings!$C$6,B1899&gt;Settings!$C$7),"Outside period | ","")&amp;IF(COUNTIF(Settings!$E$14:$E$43,C1899&amp;"")&gt;0,"Sensitive account | ","")&amp;IF(AND(MAX(N(E1899),N(F1899))&gt;=Settings!$C$9,MOD(MAX(N(E1899),N(F1899)),Settings!$C$10)=0),"Round amount | ","")="","",LEFT(IF(K1899="No","Does not balance | ","")&amp;IF(I1899="","Not approved | ",IF(UPPER(TRIM(H1899))=UPPER(TRIM(I1899)),"Self-approved | ",""))&amp;IF(J1899="","No support | ","")&amp;IF(WEEKDAY(B1899,2)&gt;5,"Weekend posting | ","")&amp;IF(COUNTIF(Settings!$A$14:$A$43,B1899)&gt;0,"Holiday posting | ","")&amp;IF(B1899&gt;Settings!$C$8,"Posted after close | ","")&amp;IF(OR(B1899&lt;Settings!$C$6,B1899&gt;Settings!$C$7),"Outside period | ","")&amp;IF(COUNTIF(Settings!$E$14:$E$43,C1899&amp;"")&gt;0,"Sensitive account | ","")&amp;IF(AND(MAX(N(E1899),N(F1899))&gt;=Settings!$C$9,MOD(MAX(N(E1899),N(F1899)),Settings!$C$10)=0),"Round amount | ",""),LEN(IF(K1899="No","Does not balance | ","")&amp;IF(I1899="","Not approved | ",IF(UPPER(TRIM(H1899))=UPPER(TRIM(I1899)),"Self-approved | ",""))&amp;IF(J1899="","No support | ","")&amp;IF(WEEKDAY(B1899,2)&gt;5,"Weekend posting | ","")&amp;IF(COUNTIF(Settings!$A$14:$A$43,B1899)&gt;0,"Holiday posting | ","")&amp;IF(B1899&gt;Settings!$C$8,"Posted after close | ","")&amp;IF(OR(B1899&lt;Settings!$C$6,B1899&gt;Settings!$C$7),"Outside period | ","")&amp;IF(COUNTIF(Settings!$E$14:$E$43,C1899&amp;"")&gt;0,"Sensitive account | ","")&amp;IF(AND(MAX(N(E1899),N(F1899))&gt;=Settings!$C$9,MOD(MAX(N(E1899),N(F1899)),Settings!$C$10)=0),"Round amount | ",""))-3)))</f>
        <v/>
      </c>
      <c r="M1899" s="21" t="str">
        <f aca="false">IF(A1899="","",IF(COUNTIF($A$9:A1899,A1899)=1,MAX($M$8:M1898)+1,""))</f>
        <v/>
      </c>
    </row>
    <row r="1900" customFormat="false" ht="15" hidden="false" customHeight="false" outlineLevel="0" collapsed="false">
      <c r="A1900" s="8"/>
      <c r="B1900" s="17"/>
      <c r="C1900" s="19"/>
      <c r="D1900" s="8"/>
      <c r="E1900" s="18"/>
      <c r="F1900" s="18"/>
      <c r="G1900" s="8"/>
      <c r="H1900" s="8"/>
      <c r="I1900" s="8"/>
      <c r="J1900" s="8"/>
      <c r="K1900" s="10" t="str">
        <f aca="false">IF(A1900="","",IF(ABS(SUMIFS($E$9:$E$2008,$A$9:$A$2008,A1900)-SUMIFS($F$9:$F$2008,$A$9:$A$2008,A1900))&lt;0.5,"Yes","No"))</f>
        <v/>
      </c>
      <c r="L1900" s="10" t="str">
        <f aca="false">IF(A1900="","",IF(IF(K1900="No","Does not balance | ","")&amp;IF(I1900="","Not approved | ",IF(UPPER(TRIM(H1900))=UPPER(TRIM(I1900)),"Self-approved | ",""))&amp;IF(J1900="","No support | ","")&amp;IF(WEEKDAY(B1900,2)&gt;5,"Weekend posting | ","")&amp;IF(COUNTIF(Settings!$A$14:$A$43,B1900)&gt;0,"Holiday posting | ","")&amp;IF(B1900&gt;Settings!$C$8,"Posted after close | ","")&amp;IF(OR(B1900&lt;Settings!$C$6,B1900&gt;Settings!$C$7),"Outside period | ","")&amp;IF(COUNTIF(Settings!$E$14:$E$43,C1900&amp;"")&gt;0,"Sensitive account | ","")&amp;IF(AND(MAX(N(E1900),N(F1900))&gt;=Settings!$C$9,MOD(MAX(N(E1900),N(F1900)),Settings!$C$10)=0),"Round amount | ","")="","",LEFT(IF(K1900="No","Does not balance | ","")&amp;IF(I1900="","Not approved | ",IF(UPPER(TRIM(H1900))=UPPER(TRIM(I1900)),"Self-approved | ",""))&amp;IF(J1900="","No support | ","")&amp;IF(WEEKDAY(B1900,2)&gt;5,"Weekend posting | ","")&amp;IF(COUNTIF(Settings!$A$14:$A$43,B1900)&gt;0,"Holiday posting | ","")&amp;IF(B1900&gt;Settings!$C$8,"Posted after close | ","")&amp;IF(OR(B1900&lt;Settings!$C$6,B1900&gt;Settings!$C$7),"Outside period | ","")&amp;IF(COUNTIF(Settings!$E$14:$E$43,C1900&amp;"")&gt;0,"Sensitive account | ","")&amp;IF(AND(MAX(N(E1900),N(F1900))&gt;=Settings!$C$9,MOD(MAX(N(E1900),N(F1900)),Settings!$C$10)=0),"Round amount | ",""),LEN(IF(K1900="No","Does not balance | ","")&amp;IF(I1900="","Not approved | ",IF(UPPER(TRIM(H1900))=UPPER(TRIM(I1900)),"Self-approved | ",""))&amp;IF(J1900="","No support | ","")&amp;IF(WEEKDAY(B1900,2)&gt;5,"Weekend posting | ","")&amp;IF(COUNTIF(Settings!$A$14:$A$43,B1900)&gt;0,"Holiday posting | ","")&amp;IF(B1900&gt;Settings!$C$8,"Posted after close | ","")&amp;IF(OR(B1900&lt;Settings!$C$6,B1900&gt;Settings!$C$7),"Outside period | ","")&amp;IF(COUNTIF(Settings!$E$14:$E$43,C1900&amp;"")&gt;0,"Sensitive account | ","")&amp;IF(AND(MAX(N(E1900),N(F1900))&gt;=Settings!$C$9,MOD(MAX(N(E1900),N(F1900)),Settings!$C$10)=0),"Round amount | ",""))-3)))</f>
        <v/>
      </c>
      <c r="M1900" s="21" t="str">
        <f aca="false">IF(A1900="","",IF(COUNTIF($A$9:A1900,A1900)=1,MAX($M$8:M1899)+1,""))</f>
        <v/>
      </c>
    </row>
    <row r="1901" customFormat="false" ht="15" hidden="false" customHeight="false" outlineLevel="0" collapsed="false">
      <c r="A1901" s="8"/>
      <c r="B1901" s="17"/>
      <c r="C1901" s="19"/>
      <c r="D1901" s="8"/>
      <c r="E1901" s="18"/>
      <c r="F1901" s="18"/>
      <c r="G1901" s="8"/>
      <c r="H1901" s="8"/>
      <c r="I1901" s="8"/>
      <c r="J1901" s="8"/>
      <c r="K1901" s="10" t="str">
        <f aca="false">IF(A1901="","",IF(ABS(SUMIFS($E$9:$E$2008,$A$9:$A$2008,A1901)-SUMIFS($F$9:$F$2008,$A$9:$A$2008,A1901))&lt;0.5,"Yes","No"))</f>
        <v/>
      </c>
      <c r="L1901" s="10" t="str">
        <f aca="false">IF(A1901="","",IF(IF(K1901="No","Does not balance | ","")&amp;IF(I1901="","Not approved | ",IF(UPPER(TRIM(H1901))=UPPER(TRIM(I1901)),"Self-approved | ",""))&amp;IF(J1901="","No support | ","")&amp;IF(WEEKDAY(B1901,2)&gt;5,"Weekend posting | ","")&amp;IF(COUNTIF(Settings!$A$14:$A$43,B1901)&gt;0,"Holiday posting | ","")&amp;IF(B1901&gt;Settings!$C$8,"Posted after close | ","")&amp;IF(OR(B1901&lt;Settings!$C$6,B1901&gt;Settings!$C$7),"Outside period | ","")&amp;IF(COUNTIF(Settings!$E$14:$E$43,C1901&amp;"")&gt;0,"Sensitive account | ","")&amp;IF(AND(MAX(N(E1901),N(F1901))&gt;=Settings!$C$9,MOD(MAX(N(E1901),N(F1901)),Settings!$C$10)=0),"Round amount | ","")="","",LEFT(IF(K1901="No","Does not balance | ","")&amp;IF(I1901="","Not approved | ",IF(UPPER(TRIM(H1901))=UPPER(TRIM(I1901)),"Self-approved | ",""))&amp;IF(J1901="","No support | ","")&amp;IF(WEEKDAY(B1901,2)&gt;5,"Weekend posting | ","")&amp;IF(COUNTIF(Settings!$A$14:$A$43,B1901)&gt;0,"Holiday posting | ","")&amp;IF(B1901&gt;Settings!$C$8,"Posted after close | ","")&amp;IF(OR(B1901&lt;Settings!$C$6,B1901&gt;Settings!$C$7),"Outside period | ","")&amp;IF(COUNTIF(Settings!$E$14:$E$43,C1901&amp;"")&gt;0,"Sensitive account | ","")&amp;IF(AND(MAX(N(E1901),N(F1901))&gt;=Settings!$C$9,MOD(MAX(N(E1901),N(F1901)),Settings!$C$10)=0),"Round amount | ",""),LEN(IF(K1901="No","Does not balance | ","")&amp;IF(I1901="","Not approved | ",IF(UPPER(TRIM(H1901))=UPPER(TRIM(I1901)),"Self-approved | ",""))&amp;IF(J1901="","No support | ","")&amp;IF(WEEKDAY(B1901,2)&gt;5,"Weekend posting | ","")&amp;IF(COUNTIF(Settings!$A$14:$A$43,B1901)&gt;0,"Holiday posting | ","")&amp;IF(B1901&gt;Settings!$C$8,"Posted after close | ","")&amp;IF(OR(B1901&lt;Settings!$C$6,B1901&gt;Settings!$C$7),"Outside period | ","")&amp;IF(COUNTIF(Settings!$E$14:$E$43,C1901&amp;"")&gt;0,"Sensitive account | ","")&amp;IF(AND(MAX(N(E1901),N(F1901))&gt;=Settings!$C$9,MOD(MAX(N(E1901),N(F1901)),Settings!$C$10)=0),"Round amount | ",""))-3)))</f>
        <v/>
      </c>
      <c r="M1901" s="21" t="str">
        <f aca="false">IF(A1901="","",IF(COUNTIF($A$9:A1901,A1901)=1,MAX($M$8:M1900)+1,""))</f>
        <v/>
      </c>
    </row>
    <row r="1902" customFormat="false" ht="15" hidden="false" customHeight="false" outlineLevel="0" collapsed="false">
      <c r="A1902" s="8"/>
      <c r="B1902" s="17"/>
      <c r="C1902" s="19"/>
      <c r="D1902" s="8"/>
      <c r="E1902" s="18"/>
      <c r="F1902" s="18"/>
      <c r="G1902" s="8"/>
      <c r="H1902" s="8"/>
      <c r="I1902" s="8"/>
      <c r="J1902" s="8"/>
      <c r="K1902" s="10" t="str">
        <f aca="false">IF(A1902="","",IF(ABS(SUMIFS($E$9:$E$2008,$A$9:$A$2008,A1902)-SUMIFS($F$9:$F$2008,$A$9:$A$2008,A1902))&lt;0.5,"Yes","No"))</f>
        <v/>
      </c>
      <c r="L1902" s="10" t="str">
        <f aca="false">IF(A1902="","",IF(IF(K1902="No","Does not balance | ","")&amp;IF(I1902="","Not approved | ",IF(UPPER(TRIM(H1902))=UPPER(TRIM(I1902)),"Self-approved | ",""))&amp;IF(J1902="","No support | ","")&amp;IF(WEEKDAY(B1902,2)&gt;5,"Weekend posting | ","")&amp;IF(COUNTIF(Settings!$A$14:$A$43,B1902)&gt;0,"Holiday posting | ","")&amp;IF(B1902&gt;Settings!$C$8,"Posted after close | ","")&amp;IF(OR(B1902&lt;Settings!$C$6,B1902&gt;Settings!$C$7),"Outside period | ","")&amp;IF(COUNTIF(Settings!$E$14:$E$43,C1902&amp;"")&gt;0,"Sensitive account | ","")&amp;IF(AND(MAX(N(E1902),N(F1902))&gt;=Settings!$C$9,MOD(MAX(N(E1902),N(F1902)),Settings!$C$10)=0),"Round amount | ","")="","",LEFT(IF(K1902="No","Does not balance | ","")&amp;IF(I1902="","Not approved | ",IF(UPPER(TRIM(H1902))=UPPER(TRIM(I1902)),"Self-approved | ",""))&amp;IF(J1902="","No support | ","")&amp;IF(WEEKDAY(B1902,2)&gt;5,"Weekend posting | ","")&amp;IF(COUNTIF(Settings!$A$14:$A$43,B1902)&gt;0,"Holiday posting | ","")&amp;IF(B1902&gt;Settings!$C$8,"Posted after close | ","")&amp;IF(OR(B1902&lt;Settings!$C$6,B1902&gt;Settings!$C$7),"Outside period | ","")&amp;IF(COUNTIF(Settings!$E$14:$E$43,C1902&amp;"")&gt;0,"Sensitive account | ","")&amp;IF(AND(MAX(N(E1902),N(F1902))&gt;=Settings!$C$9,MOD(MAX(N(E1902),N(F1902)),Settings!$C$10)=0),"Round amount | ",""),LEN(IF(K1902="No","Does not balance | ","")&amp;IF(I1902="","Not approved | ",IF(UPPER(TRIM(H1902))=UPPER(TRIM(I1902)),"Self-approved | ",""))&amp;IF(J1902="","No support | ","")&amp;IF(WEEKDAY(B1902,2)&gt;5,"Weekend posting | ","")&amp;IF(COUNTIF(Settings!$A$14:$A$43,B1902)&gt;0,"Holiday posting | ","")&amp;IF(B1902&gt;Settings!$C$8,"Posted after close | ","")&amp;IF(OR(B1902&lt;Settings!$C$6,B1902&gt;Settings!$C$7),"Outside period | ","")&amp;IF(COUNTIF(Settings!$E$14:$E$43,C1902&amp;"")&gt;0,"Sensitive account | ","")&amp;IF(AND(MAX(N(E1902),N(F1902))&gt;=Settings!$C$9,MOD(MAX(N(E1902),N(F1902)),Settings!$C$10)=0),"Round amount | ",""))-3)))</f>
        <v/>
      </c>
      <c r="M1902" s="21" t="str">
        <f aca="false">IF(A1902="","",IF(COUNTIF($A$9:A1902,A1902)=1,MAX($M$8:M1901)+1,""))</f>
        <v/>
      </c>
    </row>
    <row r="1903" customFormat="false" ht="15" hidden="false" customHeight="false" outlineLevel="0" collapsed="false">
      <c r="A1903" s="8"/>
      <c r="B1903" s="17"/>
      <c r="C1903" s="19"/>
      <c r="D1903" s="8"/>
      <c r="E1903" s="18"/>
      <c r="F1903" s="18"/>
      <c r="G1903" s="8"/>
      <c r="H1903" s="8"/>
      <c r="I1903" s="8"/>
      <c r="J1903" s="8"/>
      <c r="K1903" s="10" t="str">
        <f aca="false">IF(A1903="","",IF(ABS(SUMIFS($E$9:$E$2008,$A$9:$A$2008,A1903)-SUMIFS($F$9:$F$2008,$A$9:$A$2008,A1903))&lt;0.5,"Yes","No"))</f>
        <v/>
      </c>
      <c r="L1903" s="10" t="str">
        <f aca="false">IF(A1903="","",IF(IF(K1903="No","Does not balance | ","")&amp;IF(I1903="","Not approved | ",IF(UPPER(TRIM(H1903))=UPPER(TRIM(I1903)),"Self-approved | ",""))&amp;IF(J1903="","No support | ","")&amp;IF(WEEKDAY(B1903,2)&gt;5,"Weekend posting | ","")&amp;IF(COUNTIF(Settings!$A$14:$A$43,B1903)&gt;0,"Holiday posting | ","")&amp;IF(B1903&gt;Settings!$C$8,"Posted after close | ","")&amp;IF(OR(B1903&lt;Settings!$C$6,B1903&gt;Settings!$C$7),"Outside period | ","")&amp;IF(COUNTIF(Settings!$E$14:$E$43,C1903&amp;"")&gt;0,"Sensitive account | ","")&amp;IF(AND(MAX(N(E1903),N(F1903))&gt;=Settings!$C$9,MOD(MAX(N(E1903),N(F1903)),Settings!$C$10)=0),"Round amount | ","")="","",LEFT(IF(K1903="No","Does not balance | ","")&amp;IF(I1903="","Not approved | ",IF(UPPER(TRIM(H1903))=UPPER(TRIM(I1903)),"Self-approved | ",""))&amp;IF(J1903="","No support | ","")&amp;IF(WEEKDAY(B1903,2)&gt;5,"Weekend posting | ","")&amp;IF(COUNTIF(Settings!$A$14:$A$43,B1903)&gt;0,"Holiday posting | ","")&amp;IF(B1903&gt;Settings!$C$8,"Posted after close | ","")&amp;IF(OR(B1903&lt;Settings!$C$6,B1903&gt;Settings!$C$7),"Outside period | ","")&amp;IF(COUNTIF(Settings!$E$14:$E$43,C1903&amp;"")&gt;0,"Sensitive account | ","")&amp;IF(AND(MAX(N(E1903),N(F1903))&gt;=Settings!$C$9,MOD(MAX(N(E1903),N(F1903)),Settings!$C$10)=0),"Round amount | ",""),LEN(IF(K1903="No","Does not balance | ","")&amp;IF(I1903="","Not approved | ",IF(UPPER(TRIM(H1903))=UPPER(TRIM(I1903)),"Self-approved | ",""))&amp;IF(J1903="","No support | ","")&amp;IF(WEEKDAY(B1903,2)&gt;5,"Weekend posting | ","")&amp;IF(COUNTIF(Settings!$A$14:$A$43,B1903)&gt;0,"Holiday posting | ","")&amp;IF(B1903&gt;Settings!$C$8,"Posted after close | ","")&amp;IF(OR(B1903&lt;Settings!$C$6,B1903&gt;Settings!$C$7),"Outside period | ","")&amp;IF(COUNTIF(Settings!$E$14:$E$43,C1903&amp;"")&gt;0,"Sensitive account | ","")&amp;IF(AND(MAX(N(E1903),N(F1903))&gt;=Settings!$C$9,MOD(MAX(N(E1903),N(F1903)),Settings!$C$10)=0),"Round amount | ",""))-3)))</f>
        <v/>
      </c>
      <c r="M1903" s="21" t="str">
        <f aca="false">IF(A1903="","",IF(COUNTIF($A$9:A1903,A1903)=1,MAX($M$8:M1902)+1,""))</f>
        <v/>
      </c>
    </row>
    <row r="1904" customFormat="false" ht="15" hidden="false" customHeight="false" outlineLevel="0" collapsed="false">
      <c r="A1904" s="8"/>
      <c r="B1904" s="17"/>
      <c r="C1904" s="19"/>
      <c r="D1904" s="8"/>
      <c r="E1904" s="18"/>
      <c r="F1904" s="18"/>
      <c r="G1904" s="8"/>
      <c r="H1904" s="8"/>
      <c r="I1904" s="8"/>
      <c r="J1904" s="8"/>
      <c r="K1904" s="10" t="str">
        <f aca="false">IF(A1904="","",IF(ABS(SUMIFS($E$9:$E$2008,$A$9:$A$2008,A1904)-SUMIFS($F$9:$F$2008,$A$9:$A$2008,A1904))&lt;0.5,"Yes","No"))</f>
        <v/>
      </c>
      <c r="L1904" s="10" t="str">
        <f aca="false">IF(A1904="","",IF(IF(K1904="No","Does not balance | ","")&amp;IF(I1904="","Not approved | ",IF(UPPER(TRIM(H1904))=UPPER(TRIM(I1904)),"Self-approved | ",""))&amp;IF(J1904="","No support | ","")&amp;IF(WEEKDAY(B1904,2)&gt;5,"Weekend posting | ","")&amp;IF(COUNTIF(Settings!$A$14:$A$43,B1904)&gt;0,"Holiday posting | ","")&amp;IF(B1904&gt;Settings!$C$8,"Posted after close | ","")&amp;IF(OR(B1904&lt;Settings!$C$6,B1904&gt;Settings!$C$7),"Outside period | ","")&amp;IF(COUNTIF(Settings!$E$14:$E$43,C1904&amp;"")&gt;0,"Sensitive account | ","")&amp;IF(AND(MAX(N(E1904),N(F1904))&gt;=Settings!$C$9,MOD(MAX(N(E1904),N(F1904)),Settings!$C$10)=0),"Round amount | ","")="","",LEFT(IF(K1904="No","Does not balance | ","")&amp;IF(I1904="","Not approved | ",IF(UPPER(TRIM(H1904))=UPPER(TRIM(I1904)),"Self-approved | ",""))&amp;IF(J1904="","No support | ","")&amp;IF(WEEKDAY(B1904,2)&gt;5,"Weekend posting | ","")&amp;IF(COUNTIF(Settings!$A$14:$A$43,B1904)&gt;0,"Holiday posting | ","")&amp;IF(B1904&gt;Settings!$C$8,"Posted after close | ","")&amp;IF(OR(B1904&lt;Settings!$C$6,B1904&gt;Settings!$C$7),"Outside period | ","")&amp;IF(COUNTIF(Settings!$E$14:$E$43,C1904&amp;"")&gt;0,"Sensitive account | ","")&amp;IF(AND(MAX(N(E1904),N(F1904))&gt;=Settings!$C$9,MOD(MAX(N(E1904),N(F1904)),Settings!$C$10)=0),"Round amount | ",""),LEN(IF(K1904="No","Does not balance | ","")&amp;IF(I1904="","Not approved | ",IF(UPPER(TRIM(H1904))=UPPER(TRIM(I1904)),"Self-approved | ",""))&amp;IF(J1904="","No support | ","")&amp;IF(WEEKDAY(B1904,2)&gt;5,"Weekend posting | ","")&amp;IF(COUNTIF(Settings!$A$14:$A$43,B1904)&gt;0,"Holiday posting | ","")&amp;IF(B1904&gt;Settings!$C$8,"Posted after close | ","")&amp;IF(OR(B1904&lt;Settings!$C$6,B1904&gt;Settings!$C$7),"Outside period | ","")&amp;IF(COUNTIF(Settings!$E$14:$E$43,C1904&amp;"")&gt;0,"Sensitive account | ","")&amp;IF(AND(MAX(N(E1904),N(F1904))&gt;=Settings!$C$9,MOD(MAX(N(E1904),N(F1904)),Settings!$C$10)=0),"Round amount | ",""))-3)))</f>
        <v/>
      </c>
      <c r="M1904" s="21" t="str">
        <f aca="false">IF(A1904="","",IF(COUNTIF($A$9:A1904,A1904)=1,MAX($M$8:M1903)+1,""))</f>
        <v/>
      </c>
    </row>
    <row r="1905" customFormat="false" ht="15" hidden="false" customHeight="false" outlineLevel="0" collapsed="false">
      <c r="A1905" s="8"/>
      <c r="B1905" s="17"/>
      <c r="C1905" s="19"/>
      <c r="D1905" s="8"/>
      <c r="E1905" s="18"/>
      <c r="F1905" s="18"/>
      <c r="G1905" s="8"/>
      <c r="H1905" s="8"/>
      <c r="I1905" s="8"/>
      <c r="J1905" s="8"/>
      <c r="K1905" s="10" t="str">
        <f aca="false">IF(A1905="","",IF(ABS(SUMIFS($E$9:$E$2008,$A$9:$A$2008,A1905)-SUMIFS($F$9:$F$2008,$A$9:$A$2008,A1905))&lt;0.5,"Yes","No"))</f>
        <v/>
      </c>
      <c r="L1905" s="10" t="str">
        <f aca="false">IF(A1905="","",IF(IF(K1905="No","Does not balance | ","")&amp;IF(I1905="","Not approved | ",IF(UPPER(TRIM(H1905))=UPPER(TRIM(I1905)),"Self-approved | ",""))&amp;IF(J1905="","No support | ","")&amp;IF(WEEKDAY(B1905,2)&gt;5,"Weekend posting | ","")&amp;IF(COUNTIF(Settings!$A$14:$A$43,B1905)&gt;0,"Holiday posting | ","")&amp;IF(B1905&gt;Settings!$C$8,"Posted after close | ","")&amp;IF(OR(B1905&lt;Settings!$C$6,B1905&gt;Settings!$C$7),"Outside period | ","")&amp;IF(COUNTIF(Settings!$E$14:$E$43,C1905&amp;"")&gt;0,"Sensitive account | ","")&amp;IF(AND(MAX(N(E1905),N(F1905))&gt;=Settings!$C$9,MOD(MAX(N(E1905),N(F1905)),Settings!$C$10)=0),"Round amount | ","")="","",LEFT(IF(K1905="No","Does not balance | ","")&amp;IF(I1905="","Not approved | ",IF(UPPER(TRIM(H1905))=UPPER(TRIM(I1905)),"Self-approved | ",""))&amp;IF(J1905="","No support | ","")&amp;IF(WEEKDAY(B1905,2)&gt;5,"Weekend posting | ","")&amp;IF(COUNTIF(Settings!$A$14:$A$43,B1905)&gt;0,"Holiday posting | ","")&amp;IF(B1905&gt;Settings!$C$8,"Posted after close | ","")&amp;IF(OR(B1905&lt;Settings!$C$6,B1905&gt;Settings!$C$7),"Outside period | ","")&amp;IF(COUNTIF(Settings!$E$14:$E$43,C1905&amp;"")&gt;0,"Sensitive account | ","")&amp;IF(AND(MAX(N(E1905),N(F1905))&gt;=Settings!$C$9,MOD(MAX(N(E1905),N(F1905)),Settings!$C$10)=0),"Round amount | ",""),LEN(IF(K1905="No","Does not balance | ","")&amp;IF(I1905="","Not approved | ",IF(UPPER(TRIM(H1905))=UPPER(TRIM(I1905)),"Self-approved | ",""))&amp;IF(J1905="","No support | ","")&amp;IF(WEEKDAY(B1905,2)&gt;5,"Weekend posting | ","")&amp;IF(COUNTIF(Settings!$A$14:$A$43,B1905)&gt;0,"Holiday posting | ","")&amp;IF(B1905&gt;Settings!$C$8,"Posted after close | ","")&amp;IF(OR(B1905&lt;Settings!$C$6,B1905&gt;Settings!$C$7),"Outside period | ","")&amp;IF(COUNTIF(Settings!$E$14:$E$43,C1905&amp;"")&gt;0,"Sensitive account | ","")&amp;IF(AND(MAX(N(E1905),N(F1905))&gt;=Settings!$C$9,MOD(MAX(N(E1905),N(F1905)),Settings!$C$10)=0),"Round amount | ",""))-3)))</f>
        <v/>
      </c>
      <c r="M1905" s="21" t="str">
        <f aca="false">IF(A1905="","",IF(COUNTIF($A$9:A1905,A1905)=1,MAX($M$8:M1904)+1,""))</f>
        <v/>
      </c>
    </row>
    <row r="1906" customFormat="false" ht="15" hidden="false" customHeight="false" outlineLevel="0" collapsed="false">
      <c r="A1906" s="8"/>
      <c r="B1906" s="17"/>
      <c r="C1906" s="19"/>
      <c r="D1906" s="8"/>
      <c r="E1906" s="18"/>
      <c r="F1906" s="18"/>
      <c r="G1906" s="8"/>
      <c r="H1906" s="8"/>
      <c r="I1906" s="8"/>
      <c r="J1906" s="8"/>
      <c r="K1906" s="10" t="str">
        <f aca="false">IF(A1906="","",IF(ABS(SUMIFS($E$9:$E$2008,$A$9:$A$2008,A1906)-SUMIFS($F$9:$F$2008,$A$9:$A$2008,A1906))&lt;0.5,"Yes","No"))</f>
        <v/>
      </c>
      <c r="L1906" s="10" t="str">
        <f aca="false">IF(A1906="","",IF(IF(K1906="No","Does not balance | ","")&amp;IF(I1906="","Not approved | ",IF(UPPER(TRIM(H1906))=UPPER(TRIM(I1906)),"Self-approved | ",""))&amp;IF(J1906="","No support | ","")&amp;IF(WEEKDAY(B1906,2)&gt;5,"Weekend posting | ","")&amp;IF(COUNTIF(Settings!$A$14:$A$43,B1906)&gt;0,"Holiday posting | ","")&amp;IF(B1906&gt;Settings!$C$8,"Posted after close | ","")&amp;IF(OR(B1906&lt;Settings!$C$6,B1906&gt;Settings!$C$7),"Outside period | ","")&amp;IF(COUNTIF(Settings!$E$14:$E$43,C1906&amp;"")&gt;0,"Sensitive account | ","")&amp;IF(AND(MAX(N(E1906),N(F1906))&gt;=Settings!$C$9,MOD(MAX(N(E1906),N(F1906)),Settings!$C$10)=0),"Round amount | ","")="","",LEFT(IF(K1906="No","Does not balance | ","")&amp;IF(I1906="","Not approved | ",IF(UPPER(TRIM(H1906))=UPPER(TRIM(I1906)),"Self-approved | ",""))&amp;IF(J1906="","No support | ","")&amp;IF(WEEKDAY(B1906,2)&gt;5,"Weekend posting | ","")&amp;IF(COUNTIF(Settings!$A$14:$A$43,B1906)&gt;0,"Holiday posting | ","")&amp;IF(B1906&gt;Settings!$C$8,"Posted after close | ","")&amp;IF(OR(B1906&lt;Settings!$C$6,B1906&gt;Settings!$C$7),"Outside period | ","")&amp;IF(COUNTIF(Settings!$E$14:$E$43,C1906&amp;"")&gt;0,"Sensitive account | ","")&amp;IF(AND(MAX(N(E1906),N(F1906))&gt;=Settings!$C$9,MOD(MAX(N(E1906),N(F1906)),Settings!$C$10)=0),"Round amount | ",""),LEN(IF(K1906="No","Does not balance | ","")&amp;IF(I1906="","Not approved | ",IF(UPPER(TRIM(H1906))=UPPER(TRIM(I1906)),"Self-approved | ",""))&amp;IF(J1906="","No support | ","")&amp;IF(WEEKDAY(B1906,2)&gt;5,"Weekend posting | ","")&amp;IF(COUNTIF(Settings!$A$14:$A$43,B1906)&gt;0,"Holiday posting | ","")&amp;IF(B1906&gt;Settings!$C$8,"Posted after close | ","")&amp;IF(OR(B1906&lt;Settings!$C$6,B1906&gt;Settings!$C$7),"Outside period | ","")&amp;IF(COUNTIF(Settings!$E$14:$E$43,C1906&amp;"")&gt;0,"Sensitive account | ","")&amp;IF(AND(MAX(N(E1906),N(F1906))&gt;=Settings!$C$9,MOD(MAX(N(E1906),N(F1906)),Settings!$C$10)=0),"Round amount | ",""))-3)))</f>
        <v/>
      </c>
      <c r="M1906" s="21" t="str">
        <f aca="false">IF(A1906="","",IF(COUNTIF($A$9:A1906,A1906)=1,MAX($M$8:M1905)+1,""))</f>
        <v/>
      </c>
    </row>
    <row r="1907" customFormat="false" ht="15" hidden="false" customHeight="false" outlineLevel="0" collapsed="false">
      <c r="A1907" s="8"/>
      <c r="B1907" s="17"/>
      <c r="C1907" s="19"/>
      <c r="D1907" s="8"/>
      <c r="E1907" s="18"/>
      <c r="F1907" s="18"/>
      <c r="G1907" s="8"/>
      <c r="H1907" s="8"/>
      <c r="I1907" s="8"/>
      <c r="J1907" s="8"/>
      <c r="K1907" s="10" t="str">
        <f aca="false">IF(A1907="","",IF(ABS(SUMIFS($E$9:$E$2008,$A$9:$A$2008,A1907)-SUMIFS($F$9:$F$2008,$A$9:$A$2008,A1907))&lt;0.5,"Yes","No"))</f>
        <v/>
      </c>
      <c r="L1907" s="10" t="str">
        <f aca="false">IF(A1907="","",IF(IF(K1907="No","Does not balance | ","")&amp;IF(I1907="","Not approved | ",IF(UPPER(TRIM(H1907))=UPPER(TRIM(I1907)),"Self-approved | ",""))&amp;IF(J1907="","No support | ","")&amp;IF(WEEKDAY(B1907,2)&gt;5,"Weekend posting | ","")&amp;IF(COUNTIF(Settings!$A$14:$A$43,B1907)&gt;0,"Holiday posting | ","")&amp;IF(B1907&gt;Settings!$C$8,"Posted after close | ","")&amp;IF(OR(B1907&lt;Settings!$C$6,B1907&gt;Settings!$C$7),"Outside period | ","")&amp;IF(COUNTIF(Settings!$E$14:$E$43,C1907&amp;"")&gt;0,"Sensitive account | ","")&amp;IF(AND(MAX(N(E1907),N(F1907))&gt;=Settings!$C$9,MOD(MAX(N(E1907),N(F1907)),Settings!$C$10)=0),"Round amount | ","")="","",LEFT(IF(K1907="No","Does not balance | ","")&amp;IF(I1907="","Not approved | ",IF(UPPER(TRIM(H1907))=UPPER(TRIM(I1907)),"Self-approved | ",""))&amp;IF(J1907="","No support | ","")&amp;IF(WEEKDAY(B1907,2)&gt;5,"Weekend posting | ","")&amp;IF(COUNTIF(Settings!$A$14:$A$43,B1907)&gt;0,"Holiday posting | ","")&amp;IF(B1907&gt;Settings!$C$8,"Posted after close | ","")&amp;IF(OR(B1907&lt;Settings!$C$6,B1907&gt;Settings!$C$7),"Outside period | ","")&amp;IF(COUNTIF(Settings!$E$14:$E$43,C1907&amp;"")&gt;0,"Sensitive account | ","")&amp;IF(AND(MAX(N(E1907),N(F1907))&gt;=Settings!$C$9,MOD(MAX(N(E1907),N(F1907)),Settings!$C$10)=0),"Round amount | ",""),LEN(IF(K1907="No","Does not balance | ","")&amp;IF(I1907="","Not approved | ",IF(UPPER(TRIM(H1907))=UPPER(TRIM(I1907)),"Self-approved | ",""))&amp;IF(J1907="","No support | ","")&amp;IF(WEEKDAY(B1907,2)&gt;5,"Weekend posting | ","")&amp;IF(COUNTIF(Settings!$A$14:$A$43,B1907)&gt;0,"Holiday posting | ","")&amp;IF(B1907&gt;Settings!$C$8,"Posted after close | ","")&amp;IF(OR(B1907&lt;Settings!$C$6,B1907&gt;Settings!$C$7),"Outside period | ","")&amp;IF(COUNTIF(Settings!$E$14:$E$43,C1907&amp;"")&gt;0,"Sensitive account | ","")&amp;IF(AND(MAX(N(E1907),N(F1907))&gt;=Settings!$C$9,MOD(MAX(N(E1907),N(F1907)),Settings!$C$10)=0),"Round amount | ",""))-3)))</f>
        <v/>
      </c>
      <c r="M1907" s="21" t="str">
        <f aca="false">IF(A1907="","",IF(COUNTIF($A$9:A1907,A1907)=1,MAX($M$8:M1906)+1,""))</f>
        <v/>
      </c>
    </row>
    <row r="1908" customFormat="false" ht="15" hidden="false" customHeight="false" outlineLevel="0" collapsed="false">
      <c r="A1908" s="8"/>
      <c r="B1908" s="17"/>
      <c r="C1908" s="19"/>
      <c r="D1908" s="8"/>
      <c r="E1908" s="18"/>
      <c r="F1908" s="18"/>
      <c r="G1908" s="8"/>
      <c r="H1908" s="8"/>
      <c r="I1908" s="8"/>
      <c r="J1908" s="8"/>
      <c r="K1908" s="10" t="str">
        <f aca="false">IF(A1908="","",IF(ABS(SUMIFS($E$9:$E$2008,$A$9:$A$2008,A1908)-SUMIFS($F$9:$F$2008,$A$9:$A$2008,A1908))&lt;0.5,"Yes","No"))</f>
        <v/>
      </c>
      <c r="L1908" s="10" t="str">
        <f aca="false">IF(A1908="","",IF(IF(K1908="No","Does not balance | ","")&amp;IF(I1908="","Not approved | ",IF(UPPER(TRIM(H1908))=UPPER(TRIM(I1908)),"Self-approved | ",""))&amp;IF(J1908="","No support | ","")&amp;IF(WEEKDAY(B1908,2)&gt;5,"Weekend posting | ","")&amp;IF(COUNTIF(Settings!$A$14:$A$43,B1908)&gt;0,"Holiday posting | ","")&amp;IF(B1908&gt;Settings!$C$8,"Posted after close | ","")&amp;IF(OR(B1908&lt;Settings!$C$6,B1908&gt;Settings!$C$7),"Outside period | ","")&amp;IF(COUNTIF(Settings!$E$14:$E$43,C1908&amp;"")&gt;0,"Sensitive account | ","")&amp;IF(AND(MAX(N(E1908),N(F1908))&gt;=Settings!$C$9,MOD(MAX(N(E1908),N(F1908)),Settings!$C$10)=0),"Round amount | ","")="","",LEFT(IF(K1908="No","Does not balance | ","")&amp;IF(I1908="","Not approved | ",IF(UPPER(TRIM(H1908))=UPPER(TRIM(I1908)),"Self-approved | ",""))&amp;IF(J1908="","No support | ","")&amp;IF(WEEKDAY(B1908,2)&gt;5,"Weekend posting | ","")&amp;IF(COUNTIF(Settings!$A$14:$A$43,B1908)&gt;0,"Holiday posting | ","")&amp;IF(B1908&gt;Settings!$C$8,"Posted after close | ","")&amp;IF(OR(B1908&lt;Settings!$C$6,B1908&gt;Settings!$C$7),"Outside period | ","")&amp;IF(COUNTIF(Settings!$E$14:$E$43,C1908&amp;"")&gt;0,"Sensitive account | ","")&amp;IF(AND(MAX(N(E1908),N(F1908))&gt;=Settings!$C$9,MOD(MAX(N(E1908),N(F1908)),Settings!$C$10)=0),"Round amount | ",""),LEN(IF(K1908="No","Does not balance | ","")&amp;IF(I1908="","Not approved | ",IF(UPPER(TRIM(H1908))=UPPER(TRIM(I1908)),"Self-approved | ",""))&amp;IF(J1908="","No support | ","")&amp;IF(WEEKDAY(B1908,2)&gt;5,"Weekend posting | ","")&amp;IF(COUNTIF(Settings!$A$14:$A$43,B1908)&gt;0,"Holiday posting | ","")&amp;IF(B1908&gt;Settings!$C$8,"Posted after close | ","")&amp;IF(OR(B1908&lt;Settings!$C$6,B1908&gt;Settings!$C$7),"Outside period | ","")&amp;IF(COUNTIF(Settings!$E$14:$E$43,C1908&amp;"")&gt;0,"Sensitive account | ","")&amp;IF(AND(MAX(N(E1908),N(F1908))&gt;=Settings!$C$9,MOD(MAX(N(E1908),N(F1908)),Settings!$C$10)=0),"Round amount | ",""))-3)))</f>
        <v/>
      </c>
      <c r="M1908" s="21" t="str">
        <f aca="false">IF(A1908="","",IF(COUNTIF($A$9:A1908,A1908)=1,MAX($M$8:M1907)+1,""))</f>
        <v/>
      </c>
    </row>
    <row r="1909" customFormat="false" ht="15" hidden="false" customHeight="false" outlineLevel="0" collapsed="false">
      <c r="A1909" s="8"/>
      <c r="B1909" s="17"/>
      <c r="C1909" s="19"/>
      <c r="D1909" s="8"/>
      <c r="E1909" s="18"/>
      <c r="F1909" s="18"/>
      <c r="G1909" s="8"/>
      <c r="H1909" s="8"/>
      <c r="I1909" s="8"/>
      <c r="J1909" s="8"/>
      <c r="K1909" s="10" t="str">
        <f aca="false">IF(A1909="","",IF(ABS(SUMIFS($E$9:$E$2008,$A$9:$A$2008,A1909)-SUMIFS($F$9:$F$2008,$A$9:$A$2008,A1909))&lt;0.5,"Yes","No"))</f>
        <v/>
      </c>
      <c r="L1909" s="10" t="str">
        <f aca="false">IF(A1909="","",IF(IF(K1909="No","Does not balance | ","")&amp;IF(I1909="","Not approved | ",IF(UPPER(TRIM(H1909))=UPPER(TRIM(I1909)),"Self-approved | ",""))&amp;IF(J1909="","No support | ","")&amp;IF(WEEKDAY(B1909,2)&gt;5,"Weekend posting | ","")&amp;IF(COUNTIF(Settings!$A$14:$A$43,B1909)&gt;0,"Holiday posting | ","")&amp;IF(B1909&gt;Settings!$C$8,"Posted after close | ","")&amp;IF(OR(B1909&lt;Settings!$C$6,B1909&gt;Settings!$C$7),"Outside period | ","")&amp;IF(COUNTIF(Settings!$E$14:$E$43,C1909&amp;"")&gt;0,"Sensitive account | ","")&amp;IF(AND(MAX(N(E1909),N(F1909))&gt;=Settings!$C$9,MOD(MAX(N(E1909),N(F1909)),Settings!$C$10)=0),"Round amount | ","")="","",LEFT(IF(K1909="No","Does not balance | ","")&amp;IF(I1909="","Not approved | ",IF(UPPER(TRIM(H1909))=UPPER(TRIM(I1909)),"Self-approved | ",""))&amp;IF(J1909="","No support | ","")&amp;IF(WEEKDAY(B1909,2)&gt;5,"Weekend posting | ","")&amp;IF(COUNTIF(Settings!$A$14:$A$43,B1909)&gt;0,"Holiday posting | ","")&amp;IF(B1909&gt;Settings!$C$8,"Posted after close | ","")&amp;IF(OR(B1909&lt;Settings!$C$6,B1909&gt;Settings!$C$7),"Outside period | ","")&amp;IF(COUNTIF(Settings!$E$14:$E$43,C1909&amp;"")&gt;0,"Sensitive account | ","")&amp;IF(AND(MAX(N(E1909),N(F1909))&gt;=Settings!$C$9,MOD(MAX(N(E1909),N(F1909)),Settings!$C$10)=0),"Round amount | ",""),LEN(IF(K1909="No","Does not balance | ","")&amp;IF(I1909="","Not approved | ",IF(UPPER(TRIM(H1909))=UPPER(TRIM(I1909)),"Self-approved | ",""))&amp;IF(J1909="","No support | ","")&amp;IF(WEEKDAY(B1909,2)&gt;5,"Weekend posting | ","")&amp;IF(COUNTIF(Settings!$A$14:$A$43,B1909)&gt;0,"Holiday posting | ","")&amp;IF(B1909&gt;Settings!$C$8,"Posted after close | ","")&amp;IF(OR(B1909&lt;Settings!$C$6,B1909&gt;Settings!$C$7),"Outside period | ","")&amp;IF(COUNTIF(Settings!$E$14:$E$43,C1909&amp;"")&gt;0,"Sensitive account | ","")&amp;IF(AND(MAX(N(E1909),N(F1909))&gt;=Settings!$C$9,MOD(MAX(N(E1909),N(F1909)),Settings!$C$10)=0),"Round amount | ",""))-3)))</f>
        <v/>
      </c>
      <c r="M1909" s="21" t="str">
        <f aca="false">IF(A1909="","",IF(COUNTIF($A$9:A1909,A1909)=1,MAX($M$8:M1908)+1,""))</f>
        <v/>
      </c>
    </row>
    <row r="1910" customFormat="false" ht="15" hidden="false" customHeight="false" outlineLevel="0" collapsed="false">
      <c r="A1910" s="8"/>
      <c r="B1910" s="17"/>
      <c r="C1910" s="19"/>
      <c r="D1910" s="8"/>
      <c r="E1910" s="18"/>
      <c r="F1910" s="18"/>
      <c r="G1910" s="8"/>
      <c r="H1910" s="8"/>
      <c r="I1910" s="8"/>
      <c r="J1910" s="8"/>
      <c r="K1910" s="10" t="str">
        <f aca="false">IF(A1910="","",IF(ABS(SUMIFS($E$9:$E$2008,$A$9:$A$2008,A1910)-SUMIFS($F$9:$F$2008,$A$9:$A$2008,A1910))&lt;0.5,"Yes","No"))</f>
        <v/>
      </c>
      <c r="L1910" s="10" t="str">
        <f aca="false">IF(A1910="","",IF(IF(K1910="No","Does not balance | ","")&amp;IF(I1910="","Not approved | ",IF(UPPER(TRIM(H1910))=UPPER(TRIM(I1910)),"Self-approved | ",""))&amp;IF(J1910="","No support | ","")&amp;IF(WEEKDAY(B1910,2)&gt;5,"Weekend posting | ","")&amp;IF(COUNTIF(Settings!$A$14:$A$43,B1910)&gt;0,"Holiday posting | ","")&amp;IF(B1910&gt;Settings!$C$8,"Posted after close | ","")&amp;IF(OR(B1910&lt;Settings!$C$6,B1910&gt;Settings!$C$7),"Outside period | ","")&amp;IF(COUNTIF(Settings!$E$14:$E$43,C1910&amp;"")&gt;0,"Sensitive account | ","")&amp;IF(AND(MAX(N(E1910),N(F1910))&gt;=Settings!$C$9,MOD(MAX(N(E1910),N(F1910)),Settings!$C$10)=0),"Round amount | ","")="","",LEFT(IF(K1910="No","Does not balance | ","")&amp;IF(I1910="","Not approved | ",IF(UPPER(TRIM(H1910))=UPPER(TRIM(I1910)),"Self-approved | ",""))&amp;IF(J1910="","No support | ","")&amp;IF(WEEKDAY(B1910,2)&gt;5,"Weekend posting | ","")&amp;IF(COUNTIF(Settings!$A$14:$A$43,B1910)&gt;0,"Holiday posting | ","")&amp;IF(B1910&gt;Settings!$C$8,"Posted after close | ","")&amp;IF(OR(B1910&lt;Settings!$C$6,B1910&gt;Settings!$C$7),"Outside period | ","")&amp;IF(COUNTIF(Settings!$E$14:$E$43,C1910&amp;"")&gt;0,"Sensitive account | ","")&amp;IF(AND(MAX(N(E1910),N(F1910))&gt;=Settings!$C$9,MOD(MAX(N(E1910),N(F1910)),Settings!$C$10)=0),"Round amount | ",""),LEN(IF(K1910="No","Does not balance | ","")&amp;IF(I1910="","Not approved | ",IF(UPPER(TRIM(H1910))=UPPER(TRIM(I1910)),"Self-approved | ",""))&amp;IF(J1910="","No support | ","")&amp;IF(WEEKDAY(B1910,2)&gt;5,"Weekend posting | ","")&amp;IF(COUNTIF(Settings!$A$14:$A$43,B1910)&gt;0,"Holiday posting | ","")&amp;IF(B1910&gt;Settings!$C$8,"Posted after close | ","")&amp;IF(OR(B1910&lt;Settings!$C$6,B1910&gt;Settings!$C$7),"Outside period | ","")&amp;IF(COUNTIF(Settings!$E$14:$E$43,C1910&amp;"")&gt;0,"Sensitive account | ","")&amp;IF(AND(MAX(N(E1910),N(F1910))&gt;=Settings!$C$9,MOD(MAX(N(E1910),N(F1910)),Settings!$C$10)=0),"Round amount | ",""))-3)))</f>
        <v/>
      </c>
      <c r="M1910" s="21" t="str">
        <f aca="false">IF(A1910="","",IF(COUNTIF($A$9:A1910,A1910)=1,MAX($M$8:M1909)+1,""))</f>
        <v/>
      </c>
    </row>
    <row r="1911" customFormat="false" ht="15" hidden="false" customHeight="false" outlineLevel="0" collapsed="false">
      <c r="A1911" s="8"/>
      <c r="B1911" s="17"/>
      <c r="C1911" s="19"/>
      <c r="D1911" s="8"/>
      <c r="E1911" s="18"/>
      <c r="F1911" s="18"/>
      <c r="G1911" s="8"/>
      <c r="H1911" s="8"/>
      <c r="I1911" s="8"/>
      <c r="J1911" s="8"/>
      <c r="K1911" s="10" t="str">
        <f aca="false">IF(A1911="","",IF(ABS(SUMIFS($E$9:$E$2008,$A$9:$A$2008,A1911)-SUMIFS($F$9:$F$2008,$A$9:$A$2008,A1911))&lt;0.5,"Yes","No"))</f>
        <v/>
      </c>
      <c r="L1911" s="10" t="str">
        <f aca="false">IF(A1911="","",IF(IF(K1911="No","Does not balance | ","")&amp;IF(I1911="","Not approved | ",IF(UPPER(TRIM(H1911))=UPPER(TRIM(I1911)),"Self-approved | ",""))&amp;IF(J1911="","No support | ","")&amp;IF(WEEKDAY(B1911,2)&gt;5,"Weekend posting | ","")&amp;IF(COUNTIF(Settings!$A$14:$A$43,B1911)&gt;0,"Holiday posting | ","")&amp;IF(B1911&gt;Settings!$C$8,"Posted after close | ","")&amp;IF(OR(B1911&lt;Settings!$C$6,B1911&gt;Settings!$C$7),"Outside period | ","")&amp;IF(COUNTIF(Settings!$E$14:$E$43,C1911&amp;"")&gt;0,"Sensitive account | ","")&amp;IF(AND(MAX(N(E1911),N(F1911))&gt;=Settings!$C$9,MOD(MAX(N(E1911),N(F1911)),Settings!$C$10)=0),"Round amount | ","")="","",LEFT(IF(K1911="No","Does not balance | ","")&amp;IF(I1911="","Not approved | ",IF(UPPER(TRIM(H1911))=UPPER(TRIM(I1911)),"Self-approved | ",""))&amp;IF(J1911="","No support | ","")&amp;IF(WEEKDAY(B1911,2)&gt;5,"Weekend posting | ","")&amp;IF(COUNTIF(Settings!$A$14:$A$43,B1911)&gt;0,"Holiday posting | ","")&amp;IF(B1911&gt;Settings!$C$8,"Posted after close | ","")&amp;IF(OR(B1911&lt;Settings!$C$6,B1911&gt;Settings!$C$7),"Outside period | ","")&amp;IF(COUNTIF(Settings!$E$14:$E$43,C1911&amp;"")&gt;0,"Sensitive account | ","")&amp;IF(AND(MAX(N(E1911),N(F1911))&gt;=Settings!$C$9,MOD(MAX(N(E1911),N(F1911)),Settings!$C$10)=0),"Round amount | ",""),LEN(IF(K1911="No","Does not balance | ","")&amp;IF(I1911="","Not approved | ",IF(UPPER(TRIM(H1911))=UPPER(TRIM(I1911)),"Self-approved | ",""))&amp;IF(J1911="","No support | ","")&amp;IF(WEEKDAY(B1911,2)&gt;5,"Weekend posting | ","")&amp;IF(COUNTIF(Settings!$A$14:$A$43,B1911)&gt;0,"Holiday posting | ","")&amp;IF(B1911&gt;Settings!$C$8,"Posted after close | ","")&amp;IF(OR(B1911&lt;Settings!$C$6,B1911&gt;Settings!$C$7),"Outside period | ","")&amp;IF(COUNTIF(Settings!$E$14:$E$43,C1911&amp;"")&gt;0,"Sensitive account | ","")&amp;IF(AND(MAX(N(E1911),N(F1911))&gt;=Settings!$C$9,MOD(MAX(N(E1911),N(F1911)),Settings!$C$10)=0),"Round amount | ",""))-3)))</f>
        <v/>
      </c>
      <c r="M1911" s="21" t="str">
        <f aca="false">IF(A1911="","",IF(COUNTIF($A$9:A1911,A1911)=1,MAX($M$8:M1910)+1,""))</f>
        <v/>
      </c>
    </row>
    <row r="1912" customFormat="false" ht="15" hidden="false" customHeight="false" outlineLevel="0" collapsed="false">
      <c r="A1912" s="8"/>
      <c r="B1912" s="17"/>
      <c r="C1912" s="19"/>
      <c r="D1912" s="8"/>
      <c r="E1912" s="18"/>
      <c r="F1912" s="18"/>
      <c r="G1912" s="8"/>
      <c r="H1912" s="8"/>
      <c r="I1912" s="8"/>
      <c r="J1912" s="8"/>
      <c r="K1912" s="10" t="str">
        <f aca="false">IF(A1912="","",IF(ABS(SUMIFS($E$9:$E$2008,$A$9:$A$2008,A1912)-SUMIFS($F$9:$F$2008,$A$9:$A$2008,A1912))&lt;0.5,"Yes","No"))</f>
        <v/>
      </c>
      <c r="L1912" s="10" t="str">
        <f aca="false">IF(A1912="","",IF(IF(K1912="No","Does not balance | ","")&amp;IF(I1912="","Not approved | ",IF(UPPER(TRIM(H1912))=UPPER(TRIM(I1912)),"Self-approved | ",""))&amp;IF(J1912="","No support | ","")&amp;IF(WEEKDAY(B1912,2)&gt;5,"Weekend posting | ","")&amp;IF(COUNTIF(Settings!$A$14:$A$43,B1912)&gt;0,"Holiday posting | ","")&amp;IF(B1912&gt;Settings!$C$8,"Posted after close | ","")&amp;IF(OR(B1912&lt;Settings!$C$6,B1912&gt;Settings!$C$7),"Outside period | ","")&amp;IF(COUNTIF(Settings!$E$14:$E$43,C1912&amp;"")&gt;0,"Sensitive account | ","")&amp;IF(AND(MAX(N(E1912),N(F1912))&gt;=Settings!$C$9,MOD(MAX(N(E1912),N(F1912)),Settings!$C$10)=0),"Round amount | ","")="","",LEFT(IF(K1912="No","Does not balance | ","")&amp;IF(I1912="","Not approved | ",IF(UPPER(TRIM(H1912))=UPPER(TRIM(I1912)),"Self-approved | ",""))&amp;IF(J1912="","No support | ","")&amp;IF(WEEKDAY(B1912,2)&gt;5,"Weekend posting | ","")&amp;IF(COUNTIF(Settings!$A$14:$A$43,B1912)&gt;0,"Holiday posting | ","")&amp;IF(B1912&gt;Settings!$C$8,"Posted after close | ","")&amp;IF(OR(B1912&lt;Settings!$C$6,B1912&gt;Settings!$C$7),"Outside period | ","")&amp;IF(COUNTIF(Settings!$E$14:$E$43,C1912&amp;"")&gt;0,"Sensitive account | ","")&amp;IF(AND(MAX(N(E1912),N(F1912))&gt;=Settings!$C$9,MOD(MAX(N(E1912),N(F1912)),Settings!$C$10)=0),"Round amount | ",""),LEN(IF(K1912="No","Does not balance | ","")&amp;IF(I1912="","Not approved | ",IF(UPPER(TRIM(H1912))=UPPER(TRIM(I1912)),"Self-approved | ",""))&amp;IF(J1912="","No support | ","")&amp;IF(WEEKDAY(B1912,2)&gt;5,"Weekend posting | ","")&amp;IF(COUNTIF(Settings!$A$14:$A$43,B1912)&gt;0,"Holiday posting | ","")&amp;IF(B1912&gt;Settings!$C$8,"Posted after close | ","")&amp;IF(OR(B1912&lt;Settings!$C$6,B1912&gt;Settings!$C$7),"Outside period | ","")&amp;IF(COUNTIF(Settings!$E$14:$E$43,C1912&amp;"")&gt;0,"Sensitive account | ","")&amp;IF(AND(MAX(N(E1912),N(F1912))&gt;=Settings!$C$9,MOD(MAX(N(E1912),N(F1912)),Settings!$C$10)=0),"Round amount | ",""))-3)))</f>
        <v/>
      </c>
      <c r="M1912" s="21" t="str">
        <f aca="false">IF(A1912="","",IF(COUNTIF($A$9:A1912,A1912)=1,MAX($M$8:M1911)+1,""))</f>
        <v/>
      </c>
    </row>
    <row r="1913" customFormat="false" ht="15" hidden="false" customHeight="false" outlineLevel="0" collapsed="false">
      <c r="A1913" s="8"/>
      <c r="B1913" s="17"/>
      <c r="C1913" s="19"/>
      <c r="D1913" s="8"/>
      <c r="E1913" s="18"/>
      <c r="F1913" s="18"/>
      <c r="G1913" s="8"/>
      <c r="H1913" s="8"/>
      <c r="I1913" s="8"/>
      <c r="J1913" s="8"/>
      <c r="K1913" s="10" t="str">
        <f aca="false">IF(A1913="","",IF(ABS(SUMIFS($E$9:$E$2008,$A$9:$A$2008,A1913)-SUMIFS($F$9:$F$2008,$A$9:$A$2008,A1913))&lt;0.5,"Yes","No"))</f>
        <v/>
      </c>
      <c r="L1913" s="10" t="str">
        <f aca="false">IF(A1913="","",IF(IF(K1913="No","Does not balance | ","")&amp;IF(I1913="","Not approved | ",IF(UPPER(TRIM(H1913))=UPPER(TRIM(I1913)),"Self-approved | ",""))&amp;IF(J1913="","No support | ","")&amp;IF(WEEKDAY(B1913,2)&gt;5,"Weekend posting | ","")&amp;IF(COUNTIF(Settings!$A$14:$A$43,B1913)&gt;0,"Holiday posting | ","")&amp;IF(B1913&gt;Settings!$C$8,"Posted after close | ","")&amp;IF(OR(B1913&lt;Settings!$C$6,B1913&gt;Settings!$C$7),"Outside period | ","")&amp;IF(COUNTIF(Settings!$E$14:$E$43,C1913&amp;"")&gt;0,"Sensitive account | ","")&amp;IF(AND(MAX(N(E1913),N(F1913))&gt;=Settings!$C$9,MOD(MAX(N(E1913),N(F1913)),Settings!$C$10)=0),"Round amount | ","")="","",LEFT(IF(K1913="No","Does not balance | ","")&amp;IF(I1913="","Not approved | ",IF(UPPER(TRIM(H1913))=UPPER(TRIM(I1913)),"Self-approved | ",""))&amp;IF(J1913="","No support | ","")&amp;IF(WEEKDAY(B1913,2)&gt;5,"Weekend posting | ","")&amp;IF(COUNTIF(Settings!$A$14:$A$43,B1913)&gt;0,"Holiday posting | ","")&amp;IF(B1913&gt;Settings!$C$8,"Posted after close | ","")&amp;IF(OR(B1913&lt;Settings!$C$6,B1913&gt;Settings!$C$7),"Outside period | ","")&amp;IF(COUNTIF(Settings!$E$14:$E$43,C1913&amp;"")&gt;0,"Sensitive account | ","")&amp;IF(AND(MAX(N(E1913),N(F1913))&gt;=Settings!$C$9,MOD(MAX(N(E1913),N(F1913)),Settings!$C$10)=0),"Round amount | ",""),LEN(IF(K1913="No","Does not balance | ","")&amp;IF(I1913="","Not approved | ",IF(UPPER(TRIM(H1913))=UPPER(TRIM(I1913)),"Self-approved | ",""))&amp;IF(J1913="","No support | ","")&amp;IF(WEEKDAY(B1913,2)&gt;5,"Weekend posting | ","")&amp;IF(COUNTIF(Settings!$A$14:$A$43,B1913)&gt;0,"Holiday posting | ","")&amp;IF(B1913&gt;Settings!$C$8,"Posted after close | ","")&amp;IF(OR(B1913&lt;Settings!$C$6,B1913&gt;Settings!$C$7),"Outside period | ","")&amp;IF(COUNTIF(Settings!$E$14:$E$43,C1913&amp;"")&gt;0,"Sensitive account | ","")&amp;IF(AND(MAX(N(E1913),N(F1913))&gt;=Settings!$C$9,MOD(MAX(N(E1913),N(F1913)),Settings!$C$10)=0),"Round amount | ",""))-3)))</f>
        <v/>
      </c>
      <c r="M1913" s="21" t="str">
        <f aca="false">IF(A1913="","",IF(COUNTIF($A$9:A1913,A1913)=1,MAX($M$8:M1912)+1,""))</f>
        <v/>
      </c>
    </row>
    <row r="1914" customFormat="false" ht="15" hidden="false" customHeight="false" outlineLevel="0" collapsed="false">
      <c r="A1914" s="8"/>
      <c r="B1914" s="17"/>
      <c r="C1914" s="19"/>
      <c r="D1914" s="8"/>
      <c r="E1914" s="18"/>
      <c r="F1914" s="18"/>
      <c r="G1914" s="8"/>
      <c r="H1914" s="8"/>
      <c r="I1914" s="8"/>
      <c r="J1914" s="8"/>
      <c r="K1914" s="10" t="str">
        <f aca="false">IF(A1914="","",IF(ABS(SUMIFS($E$9:$E$2008,$A$9:$A$2008,A1914)-SUMIFS($F$9:$F$2008,$A$9:$A$2008,A1914))&lt;0.5,"Yes","No"))</f>
        <v/>
      </c>
      <c r="L1914" s="10" t="str">
        <f aca="false">IF(A1914="","",IF(IF(K1914="No","Does not balance | ","")&amp;IF(I1914="","Not approved | ",IF(UPPER(TRIM(H1914))=UPPER(TRIM(I1914)),"Self-approved | ",""))&amp;IF(J1914="","No support | ","")&amp;IF(WEEKDAY(B1914,2)&gt;5,"Weekend posting | ","")&amp;IF(COUNTIF(Settings!$A$14:$A$43,B1914)&gt;0,"Holiday posting | ","")&amp;IF(B1914&gt;Settings!$C$8,"Posted after close | ","")&amp;IF(OR(B1914&lt;Settings!$C$6,B1914&gt;Settings!$C$7),"Outside period | ","")&amp;IF(COUNTIF(Settings!$E$14:$E$43,C1914&amp;"")&gt;0,"Sensitive account | ","")&amp;IF(AND(MAX(N(E1914),N(F1914))&gt;=Settings!$C$9,MOD(MAX(N(E1914),N(F1914)),Settings!$C$10)=0),"Round amount | ","")="","",LEFT(IF(K1914="No","Does not balance | ","")&amp;IF(I1914="","Not approved | ",IF(UPPER(TRIM(H1914))=UPPER(TRIM(I1914)),"Self-approved | ",""))&amp;IF(J1914="","No support | ","")&amp;IF(WEEKDAY(B1914,2)&gt;5,"Weekend posting | ","")&amp;IF(COUNTIF(Settings!$A$14:$A$43,B1914)&gt;0,"Holiday posting | ","")&amp;IF(B1914&gt;Settings!$C$8,"Posted after close | ","")&amp;IF(OR(B1914&lt;Settings!$C$6,B1914&gt;Settings!$C$7),"Outside period | ","")&amp;IF(COUNTIF(Settings!$E$14:$E$43,C1914&amp;"")&gt;0,"Sensitive account | ","")&amp;IF(AND(MAX(N(E1914),N(F1914))&gt;=Settings!$C$9,MOD(MAX(N(E1914),N(F1914)),Settings!$C$10)=0),"Round amount | ",""),LEN(IF(K1914="No","Does not balance | ","")&amp;IF(I1914="","Not approved | ",IF(UPPER(TRIM(H1914))=UPPER(TRIM(I1914)),"Self-approved | ",""))&amp;IF(J1914="","No support | ","")&amp;IF(WEEKDAY(B1914,2)&gt;5,"Weekend posting | ","")&amp;IF(COUNTIF(Settings!$A$14:$A$43,B1914)&gt;0,"Holiday posting | ","")&amp;IF(B1914&gt;Settings!$C$8,"Posted after close | ","")&amp;IF(OR(B1914&lt;Settings!$C$6,B1914&gt;Settings!$C$7),"Outside period | ","")&amp;IF(COUNTIF(Settings!$E$14:$E$43,C1914&amp;"")&gt;0,"Sensitive account | ","")&amp;IF(AND(MAX(N(E1914),N(F1914))&gt;=Settings!$C$9,MOD(MAX(N(E1914),N(F1914)),Settings!$C$10)=0),"Round amount | ",""))-3)))</f>
        <v/>
      </c>
      <c r="M1914" s="21" t="str">
        <f aca="false">IF(A1914="","",IF(COUNTIF($A$9:A1914,A1914)=1,MAX($M$8:M1913)+1,""))</f>
        <v/>
      </c>
    </row>
    <row r="1915" customFormat="false" ht="15" hidden="false" customHeight="false" outlineLevel="0" collapsed="false">
      <c r="A1915" s="8"/>
      <c r="B1915" s="17"/>
      <c r="C1915" s="19"/>
      <c r="D1915" s="8"/>
      <c r="E1915" s="18"/>
      <c r="F1915" s="18"/>
      <c r="G1915" s="8"/>
      <c r="H1915" s="8"/>
      <c r="I1915" s="8"/>
      <c r="J1915" s="8"/>
      <c r="K1915" s="10" t="str">
        <f aca="false">IF(A1915="","",IF(ABS(SUMIFS($E$9:$E$2008,$A$9:$A$2008,A1915)-SUMIFS($F$9:$F$2008,$A$9:$A$2008,A1915))&lt;0.5,"Yes","No"))</f>
        <v/>
      </c>
      <c r="L1915" s="10" t="str">
        <f aca="false">IF(A1915="","",IF(IF(K1915="No","Does not balance | ","")&amp;IF(I1915="","Not approved | ",IF(UPPER(TRIM(H1915))=UPPER(TRIM(I1915)),"Self-approved | ",""))&amp;IF(J1915="","No support | ","")&amp;IF(WEEKDAY(B1915,2)&gt;5,"Weekend posting | ","")&amp;IF(COUNTIF(Settings!$A$14:$A$43,B1915)&gt;0,"Holiday posting | ","")&amp;IF(B1915&gt;Settings!$C$8,"Posted after close | ","")&amp;IF(OR(B1915&lt;Settings!$C$6,B1915&gt;Settings!$C$7),"Outside period | ","")&amp;IF(COUNTIF(Settings!$E$14:$E$43,C1915&amp;"")&gt;0,"Sensitive account | ","")&amp;IF(AND(MAX(N(E1915),N(F1915))&gt;=Settings!$C$9,MOD(MAX(N(E1915),N(F1915)),Settings!$C$10)=0),"Round amount | ","")="","",LEFT(IF(K1915="No","Does not balance | ","")&amp;IF(I1915="","Not approved | ",IF(UPPER(TRIM(H1915))=UPPER(TRIM(I1915)),"Self-approved | ",""))&amp;IF(J1915="","No support | ","")&amp;IF(WEEKDAY(B1915,2)&gt;5,"Weekend posting | ","")&amp;IF(COUNTIF(Settings!$A$14:$A$43,B1915)&gt;0,"Holiday posting | ","")&amp;IF(B1915&gt;Settings!$C$8,"Posted after close | ","")&amp;IF(OR(B1915&lt;Settings!$C$6,B1915&gt;Settings!$C$7),"Outside period | ","")&amp;IF(COUNTIF(Settings!$E$14:$E$43,C1915&amp;"")&gt;0,"Sensitive account | ","")&amp;IF(AND(MAX(N(E1915),N(F1915))&gt;=Settings!$C$9,MOD(MAX(N(E1915),N(F1915)),Settings!$C$10)=0),"Round amount | ",""),LEN(IF(K1915="No","Does not balance | ","")&amp;IF(I1915="","Not approved | ",IF(UPPER(TRIM(H1915))=UPPER(TRIM(I1915)),"Self-approved | ",""))&amp;IF(J1915="","No support | ","")&amp;IF(WEEKDAY(B1915,2)&gt;5,"Weekend posting | ","")&amp;IF(COUNTIF(Settings!$A$14:$A$43,B1915)&gt;0,"Holiday posting | ","")&amp;IF(B1915&gt;Settings!$C$8,"Posted after close | ","")&amp;IF(OR(B1915&lt;Settings!$C$6,B1915&gt;Settings!$C$7),"Outside period | ","")&amp;IF(COUNTIF(Settings!$E$14:$E$43,C1915&amp;"")&gt;0,"Sensitive account | ","")&amp;IF(AND(MAX(N(E1915),N(F1915))&gt;=Settings!$C$9,MOD(MAX(N(E1915),N(F1915)),Settings!$C$10)=0),"Round amount | ",""))-3)))</f>
        <v/>
      </c>
      <c r="M1915" s="21" t="str">
        <f aca="false">IF(A1915="","",IF(COUNTIF($A$9:A1915,A1915)=1,MAX($M$8:M1914)+1,""))</f>
        <v/>
      </c>
    </row>
    <row r="1916" customFormat="false" ht="15" hidden="false" customHeight="false" outlineLevel="0" collapsed="false">
      <c r="A1916" s="8"/>
      <c r="B1916" s="17"/>
      <c r="C1916" s="19"/>
      <c r="D1916" s="8"/>
      <c r="E1916" s="18"/>
      <c r="F1916" s="18"/>
      <c r="G1916" s="8"/>
      <c r="H1916" s="8"/>
      <c r="I1916" s="8"/>
      <c r="J1916" s="8"/>
      <c r="K1916" s="10" t="str">
        <f aca="false">IF(A1916="","",IF(ABS(SUMIFS($E$9:$E$2008,$A$9:$A$2008,A1916)-SUMIFS($F$9:$F$2008,$A$9:$A$2008,A1916))&lt;0.5,"Yes","No"))</f>
        <v/>
      </c>
      <c r="L1916" s="10" t="str">
        <f aca="false">IF(A1916="","",IF(IF(K1916="No","Does not balance | ","")&amp;IF(I1916="","Not approved | ",IF(UPPER(TRIM(H1916))=UPPER(TRIM(I1916)),"Self-approved | ",""))&amp;IF(J1916="","No support | ","")&amp;IF(WEEKDAY(B1916,2)&gt;5,"Weekend posting | ","")&amp;IF(COUNTIF(Settings!$A$14:$A$43,B1916)&gt;0,"Holiday posting | ","")&amp;IF(B1916&gt;Settings!$C$8,"Posted after close | ","")&amp;IF(OR(B1916&lt;Settings!$C$6,B1916&gt;Settings!$C$7),"Outside period | ","")&amp;IF(COUNTIF(Settings!$E$14:$E$43,C1916&amp;"")&gt;0,"Sensitive account | ","")&amp;IF(AND(MAX(N(E1916),N(F1916))&gt;=Settings!$C$9,MOD(MAX(N(E1916),N(F1916)),Settings!$C$10)=0),"Round amount | ","")="","",LEFT(IF(K1916="No","Does not balance | ","")&amp;IF(I1916="","Not approved | ",IF(UPPER(TRIM(H1916))=UPPER(TRIM(I1916)),"Self-approved | ",""))&amp;IF(J1916="","No support | ","")&amp;IF(WEEKDAY(B1916,2)&gt;5,"Weekend posting | ","")&amp;IF(COUNTIF(Settings!$A$14:$A$43,B1916)&gt;0,"Holiday posting | ","")&amp;IF(B1916&gt;Settings!$C$8,"Posted after close | ","")&amp;IF(OR(B1916&lt;Settings!$C$6,B1916&gt;Settings!$C$7),"Outside period | ","")&amp;IF(COUNTIF(Settings!$E$14:$E$43,C1916&amp;"")&gt;0,"Sensitive account | ","")&amp;IF(AND(MAX(N(E1916),N(F1916))&gt;=Settings!$C$9,MOD(MAX(N(E1916),N(F1916)),Settings!$C$10)=0),"Round amount | ",""),LEN(IF(K1916="No","Does not balance | ","")&amp;IF(I1916="","Not approved | ",IF(UPPER(TRIM(H1916))=UPPER(TRIM(I1916)),"Self-approved | ",""))&amp;IF(J1916="","No support | ","")&amp;IF(WEEKDAY(B1916,2)&gt;5,"Weekend posting | ","")&amp;IF(COUNTIF(Settings!$A$14:$A$43,B1916)&gt;0,"Holiday posting | ","")&amp;IF(B1916&gt;Settings!$C$8,"Posted after close | ","")&amp;IF(OR(B1916&lt;Settings!$C$6,B1916&gt;Settings!$C$7),"Outside period | ","")&amp;IF(COUNTIF(Settings!$E$14:$E$43,C1916&amp;"")&gt;0,"Sensitive account | ","")&amp;IF(AND(MAX(N(E1916),N(F1916))&gt;=Settings!$C$9,MOD(MAX(N(E1916),N(F1916)),Settings!$C$10)=0),"Round amount | ",""))-3)))</f>
        <v/>
      </c>
      <c r="M1916" s="21" t="str">
        <f aca="false">IF(A1916="","",IF(COUNTIF($A$9:A1916,A1916)=1,MAX($M$8:M1915)+1,""))</f>
        <v/>
      </c>
    </row>
    <row r="1917" customFormat="false" ht="15" hidden="false" customHeight="false" outlineLevel="0" collapsed="false">
      <c r="A1917" s="8"/>
      <c r="B1917" s="17"/>
      <c r="C1917" s="19"/>
      <c r="D1917" s="8"/>
      <c r="E1917" s="18"/>
      <c r="F1917" s="18"/>
      <c r="G1917" s="8"/>
      <c r="H1917" s="8"/>
      <c r="I1917" s="8"/>
      <c r="J1917" s="8"/>
      <c r="K1917" s="10" t="str">
        <f aca="false">IF(A1917="","",IF(ABS(SUMIFS($E$9:$E$2008,$A$9:$A$2008,A1917)-SUMIFS($F$9:$F$2008,$A$9:$A$2008,A1917))&lt;0.5,"Yes","No"))</f>
        <v/>
      </c>
      <c r="L1917" s="10" t="str">
        <f aca="false">IF(A1917="","",IF(IF(K1917="No","Does not balance | ","")&amp;IF(I1917="","Not approved | ",IF(UPPER(TRIM(H1917))=UPPER(TRIM(I1917)),"Self-approved | ",""))&amp;IF(J1917="","No support | ","")&amp;IF(WEEKDAY(B1917,2)&gt;5,"Weekend posting | ","")&amp;IF(COUNTIF(Settings!$A$14:$A$43,B1917)&gt;0,"Holiday posting | ","")&amp;IF(B1917&gt;Settings!$C$8,"Posted after close | ","")&amp;IF(OR(B1917&lt;Settings!$C$6,B1917&gt;Settings!$C$7),"Outside period | ","")&amp;IF(COUNTIF(Settings!$E$14:$E$43,C1917&amp;"")&gt;0,"Sensitive account | ","")&amp;IF(AND(MAX(N(E1917),N(F1917))&gt;=Settings!$C$9,MOD(MAX(N(E1917),N(F1917)),Settings!$C$10)=0),"Round amount | ","")="","",LEFT(IF(K1917="No","Does not balance | ","")&amp;IF(I1917="","Not approved | ",IF(UPPER(TRIM(H1917))=UPPER(TRIM(I1917)),"Self-approved | ",""))&amp;IF(J1917="","No support | ","")&amp;IF(WEEKDAY(B1917,2)&gt;5,"Weekend posting | ","")&amp;IF(COUNTIF(Settings!$A$14:$A$43,B1917)&gt;0,"Holiday posting | ","")&amp;IF(B1917&gt;Settings!$C$8,"Posted after close | ","")&amp;IF(OR(B1917&lt;Settings!$C$6,B1917&gt;Settings!$C$7),"Outside period | ","")&amp;IF(COUNTIF(Settings!$E$14:$E$43,C1917&amp;"")&gt;0,"Sensitive account | ","")&amp;IF(AND(MAX(N(E1917),N(F1917))&gt;=Settings!$C$9,MOD(MAX(N(E1917),N(F1917)),Settings!$C$10)=0),"Round amount | ",""),LEN(IF(K1917="No","Does not balance | ","")&amp;IF(I1917="","Not approved | ",IF(UPPER(TRIM(H1917))=UPPER(TRIM(I1917)),"Self-approved | ",""))&amp;IF(J1917="","No support | ","")&amp;IF(WEEKDAY(B1917,2)&gt;5,"Weekend posting | ","")&amp;IF(COUNTIF(Settings!$A$14:$A$43,B1917)&gt;0,"Holiday posting | ","")&amp;IF(B1917&gt;Settings!$C$8,"Posted after close | ","")&amp;IF(OR(B1917&lt;Settings!$C$6,B1917&gt;Settings!$C$7),"Outside period | ","")&amp;IF(COUNTIF(Settings!$E$14:$E$43,C1917&amp;"")&gt;0,"Sensitive account | ","")&amp;IF(AND(MAX(N(E1917),N(F1917))&gt;=Settings!$C$9,MOD(MAX(N(E1917),N(F1917)),Settings!$C$10)=0),"Round amount | ",""))-3)))</f>
        <v/>
      </c>
      <c r="M1917" s="21" t="str">
        <f aca="false">IF(A1917="","",IF(COUNTIF($A$9:A1917,A1917)=1,MAX($M$8:M1916)+1,""))</f>
        <v/>
      </c>
    </row>
    <row r="1918" customFormat="false" ht="15" hidden="false" customHeight="false" outlineLevel="0" collapsed="false">
      <c r="A1918" s="8"/>
      <c r="B1918" s="17"/>
      <c r="C1918" s="19"/>
      <c r="D1918" s="8"/>
      <c r="E1918" s="18"/>
      <c r="F1918" s="18"/>
      <c r="G1918" s="8"/>
      <c r="H1918" s="8"/>
      <c r="I1918" s="8"/>
      <c r="J1918" s="8"/>
      <c r="K1918" s="10" t="str">
        <f aca="false">IF(A1918="","",IF(ABS(SUMIFS($E$9:$E$2008,$A$9:$A$2008,A1918)-SUMIFS($F$9:$F$2008,$A$9:$A$2008,A1918))&lt;0.5,"Yes","No"))</f>
        <v/>
      </c>
      <c r="L1918" s="10" t="str">
        <f aca="false">IF(A1918="","",IF(IF(K1918="No","Does not balance | ","")&amp;IF(I1918="","Not approved | ",IF(UPPER(TRIM(H1918))=UPPER(TRIM(I1918)),"Self-approved | ",""))&amp;IF(J1918="","No support | ","")&amp;IF(WEEKDAY(B1918,2)&gt;5,"Weekend posting | ","")&amp;IF(COUNTIF(Settings!$A$14:$A$43,B1918)&gt;0,"Holiday posting | ","")&amp;IF(B1918&gt;Settings!$C$8,"Posted after close | ","")&amp;IF(OR(B1918&lt;Settings!$C$6,B1918&gt;Settings!$C$7),"Outside period | ","")&amp;IF(COUNTIF(Settings!$E$14:$E$43,C1918&amp;"")&gt;0,"Sensitive account | ","")&amp;IF(AND(MAX(N(E1918),N(F1918))&gt;=Settings!$C$9,MOD(MAX(N(E1918),N(F1918)),Settings!$C$10)=0),"Round amount | ","")="","",LEFT(IF(K1918="No","Does not balance | ","")&amp;IF(I1918="","Not approved | ",IF(UPPER(TRIM(H1918))=UPPER(TRIM(I1918)),"Self-approved | ",""))&amp;IF(J1918="","No support | ","")&amp;IF(WEEKDAY(B1918,2)&gt;5,"Weekend posting | ","")&amp;IF(COUNTIF(Settings!$A$14:$A$43,B1918)&gt;0,"Holiday posting | ","")&amp;IF(B1918&gt;Settings!$C$8,"Posted after close | ","")&amp;IF(OR(B1918&lt;Settings!$C$6,B1918&gt;Settings!$C$7),"Outside period | ","")&amp;IF(COUNTIF(Settings!$E$14:$E$43,C1918&amp;"")&gt;0,"Sensitive account | ","")&amp;IF(AND(MAX(N(E1918),N(F1918))&gt;=Settings!$C$9,MOD(MAX(N(E1918),N(F1918)),Settings!$C$10)=0),"Round amount | ",""),LEN(IF(K1918="No","Does not balance | ","")&amp;IF(I1918="","Not approved | ",IF(UPPER(TRIM(H1918))=UPPER(TRIM(I1918)),"Self-approved | ",""))&amp;IF(J1918="","No support | ","")&amp;IF(WEEKDAY(B1918,2)&gt;5,"Weekend posting | ","")&amp;IF(COUNTIF(Settings!$A$14:$A$43,B1918)&gt;0,"Holiday posting | ","")&amp;IF(B1918&gt;Settings!$C$8,"Posted after close | ","")&amp;IF(OR(B1918&lt;Settings!$C$6,B1918&gt;Settings!$C$7),"Outside period | ","")&amp;IF(COUNTIF(Settings!$E$14:$E$43,C1918&amp;"")&gt;0,"Sensitive account | ","")&amp;IF(AND(MAX(N(E1918),N(F1918))&gt;=Settings!$C$9,MOD(MAX(N(E1918),N(F1918)),Settings!$C$10)=0),"Round amount | ",""))-3)))</f>
        <v/>
      </c>
      <c r="M1918" s="21" t="str">
        <f aca="false">IF(A1918="","",IF(COUNTIF($A$9:A1918,A1918)=1,MAX($M$8:M1917)+1,""))</f>
        <v/>
      </c>
    </row>
    <row r="1919" customFormat="false" ht="15" hidden="false" customHeight="false" outlineLevel="0" collapsed="false">
      <c r="A1919" s="8"/>
      <c r="B1919" s="17"/>
      <c r="C1919" s="19"/>
      <c r="D1919" s="8"/>
      <c r="E1919" s="18"/>
      <c r="F1919" s="18"/>
      <c r="G1919" s="8"/>
      <c r="H1919" s="8"/>
      <c r="I1919" s="8"/>
      <c r="J1919" s="8"/>
      <c r="K1919" s="10" t="str">
        <f aca="false">IF(A1919="","",IF(ABS(SUMIFS($E$9:$E$2008,$A$9:$A$2008,A1919)-SUMIFS($F$9:$F$2008,$A$9:$A$2008,A1919))&lt;0.5,"Yes","No"))</f>
        <v/>
      </c>
      <c r="L1919" s="10" t="str">
        <f aca="false">IF(A1919="","",IF(IF(K1919="No","Does not balance | ","")&amp;IF(I1919="","Not approved | ",IF(UPPER(TRIM(H1919))=UPPER(TRIM(I1919)),"Self-approved | ",""))&amp;IF(J1919="","No support | ","")&amp;IF(WEEKDAY(B1919,2)&gt;5,"Weekend posting | ","")&amp;IF(COUNTIF(Settings!$A$14:$A$43,B1919)&gt;0,"Holiday posting | ","")&amp;IF(B1919&gt;Settings!$C$8,"Posted after close | ","")&amp;IF(OR(B1919&lt;Settings!$C$6,B1919&gt;Settings!$C$7),"Outside period | ","")&amp;IF(COUNTIF(Settings!$E$14:$E$43,C1919&amp;"")&gt;0,"Sensitive account | ","")&amp;IF(AND(MAX(N(E1919),N(F1919))&gt;=Settings!$C$9,MOD(MAX(N(E1919),N(F1919)),Settings!$C$10)=0),"Round amount | ","")="","",LEFT(IF(K1919="No","Does not balance | ","")&amp;IF(I1919="","Not approved | ",IF(UPPER(TRIM(H1919))=UPPER(TRIM(I1919)),"Self-approved | ",""))&amp;IF(J1919="","No support | ","")&amp;IF(WEEKDAY(B1919,2)&gt;5,"Weekend posting | ","")&amp;IF(COUNTIF(Settings!$A$14:$A$43,B1919)&gt;0,"Holiday posting | ","")&amp;IF(B1919&gt;Settings!$C$8,"Posted after close | ","")&amp;IF(OR(B1919&lt;Settings!$C$6,B1919&gt;Settings!$C$7),"Outside period | ","")&amp;IF(COUNTIF(Settings!$E$14:$E$43,C1919&amp;"")&gt;0,"Sensitive account | ","")&amp;IF(AND(MAX(N(E1919),N(F1919))&gt;=Settings!$C$9,MOD(MAX(N(E1919),N(F1919)),Settings!$C$10)=0),"Round amount | ",""),LEN(IF(K1919="No","Does not balance | ","")&amp;IF(I1919="","Not approved | ",IF(UPPER(TRIM(H1919))=UPPER(TRIM(I1919)),"Self-approved | ",""))&amp;IF(J1919="","No support | ","")&amp;IF(WEEKDAY(B1919,2)&gt;5,"Weekend posting | ","")&amp;IF(COUNTIF(Settings!$A$14:$A$43,B1919)&gt;0,"Holiday posting | ","")&amp;IF(B1919&gt;Settings!$C$8,"Posted after close | ","")&amp;IF(OR(B1919&lt;Settings!$C$6,B1919&gt;Settings!$C$7),"Outside period | ","")&amp;IF(COUNTIF(Settings!$E$14:$E$43,C1919&amp;"")&gt;0,"Sensitive account | ","")&amp;IF(AND(MAX(N(E1919),N(F1919))&gt;=Settings!$C$9,MOD(MAX(N(E1919),N(F1919)),Settings!$C$10)=0),"Round amount | ",""))-3)))</f>
        <v/>
      </c>
      <c r="M1919" s="21" t="str">
        <f aca="false">IF(A1919="","",IF(COUNTIF($A$9:A1919,A1919)=1,MAX($M$8:M1918)+1,""))</f>
        <v/>
      </c>
    </row>
    <row r="1920" customFormat="false" ht="15" hidden="false" customHeight="false" outlineLevel="0" collapsed="false">
      <c r="A1920" s="8"/>
      <c r="B1920" s="17"/>
      <c r="C1920" s="19"/>
      <c r="D1920" s="8"/>
      <c r="E1920" s="18"/>
      <c r="F1920" s="18"/>
      <c r="G1920" s="8"/>
      <c r="H1920" s="8"/>
      <c r="I1920" s="8"/>
      <c r="J1920" s="8"/>
      <c r="K1920" s="10" t="str">
        <f aca="false">IF(A1920="","",IF(ABS(SUMIFS($E$9:$E$2008,$A$9:$A$2008,A1920)-SUMIFS($F$9:$F$2008,$A$9:$A$2008,A1920))&lt;0.5,"Yes","No"))</f>
        <v/>
      </c>
      <c r="L1920" s="10" t="str">
        <f aca="false">IF(A1920="","",IF(IF(K1920="No","Does not balance | ","")&amp;IF(I1920="","Not approved | ",IF(UPPER(TRIM(H1920))=UPPER(TRIM(I1920)),"Self-approved | ",""))&amp;IF(J1920="","No support | ","")&amp;IF(WEEKDAY(B1920,2)&gt;5,"Weekend posting | ","")&amp;IF(COUNTIF(Settings!$A$14:$A$43,B1920)&gt;0,"Holiday posting | ","")&amp;IF(B1920&gt;Settings!$C$8,"Posted after close | ","")&amp;IF(OR(B1920&lt;Settings!$C$6,B1920&gt;Settings!$C$7),"Outside period | ","")&amp;IF(COUNTIF(Settings!$E$14:$E$43,C1920&amp;"")&gt;0,"Sensitive account | ","")&amp;IF(AND(MAX(N(E1920),N(F1920))&gt;=Settings!$C$9,MOD(MAX(N(E1920),N(F1920)),Settings!$C$10)=0),"Round amount | ","")="","",LEFT(IF(K1920="No","Does not balance | ","")&amp;IF(I1920="","Not approved | ",IF(UPPER(TRIM(H1920))=UPPER(TRIM(I1920)),"Self-approved | ",""))&amp;IF(J1920="","No support | ","")&amp;IF(WEEKDAY(B1920,2)&gt;5,"Weekend posting | ","")&amp;IF(COUNTIF(Settings!$A$14:$A$43,B1920)&gt;0,"Holiday posting | ","")&amp;IF(B1920&gt;Settings!$C$8,"Posted after close | ","")&amp;IF(OR(B1920&lt;Settings!$C$6,B1920&gt;Settings!$C$7),"Outside period | ","")&amp;IF(COUNTIF(Settings!$E$14:$E$43,C1920&amp;"")&gt;0,"Sensitive account | ","")&amp;IF(AND(MAX(N(E1920),N(F1920))&gt;=Settings!$C$9,MOD(MAX(N(E1920),N(F1920)),Settings!$C$10)=0),"Round amount | ",""),LEN(IF(K1920="No","Does not balance | ","")&amp;IF(I1920="","Not approved | ",IF(UPPER(TRIM(H1920))=UPPER(TRIM(I1920)),"Self-approved | ",""))&amp;IF(J1920="","No support | ","")&amp;IF(WEEKDAY(B1920,2)&gt;5,"Weekend posting | ","")&amp;IF(COUNTIF(Settings!$A$14:$A$43,B1920)&gt;0,"Holiday posting | ","")&amp;IF(B1920&gt;Settings!$C$8,"Posted after close | ","")&amp;IF(OR(B1920&lt;Settings!$C$6,B1920&gt;Settings!$C$7),"Outside period | ","")&amp;IF(COUNTIF(Settings!$E$14:$E$43,C1920&amp;"")&gt;0,"Sensitive account | ","")&amp;IF(AND(MAX(N(E1920),N(F1920))&gt;=Settings!$C$9,MOD(MAX(N(E1920),N(F1920)),Settings!$C$10)=0),"Round amount | ",""))-3)))</f>
        <v/>
      </c>
      <c r="M1920" s="21" t="str">
        <f aca="false">IF(A1920="","",IF(COUNTIF($A$9:A1920,A1920)=1,MAX($M$8:M1919)+1,""))</f>
        <v/>
      </c>
    </row>
    <row r="1921" customFormat="false" ht="15" hidden="false" customHeight="false" outlineLevel="0" collapsed="false">
      <c r="A1921" s="8"/>
      <c r="B1921" s="17"/>
      <c r="C1921" s="19"/>
      <c r="D1921" s="8"/>
      <c r="E1921" s="18"/>
      <c r="F1921" s="18"/>
      <c r="G1921" s="8"/>
      <c r="H1921" s="8"/>
      <c r="I1921" s="8"/>
      <c r="J1921" s="8"/>
      <c r="K1921" s="10" t="str">
        <f aca="false">IF(A1921="","",IF(ABS(SUMIFS($E$9:$E$2008,$A$9:$A$2008,A1921)-SUMIFS($F$9:$F$2008,$A$9:$A$2008,A1921))&lt;0.5,"Yes","No"))</f>
        <v/>
      </c>
      <c r="L1921" s="10" t="str">
        <f aca="false">IF(A1921="","",IF(IF(K1921="No","Does not balance | ","")&amp;IF(I1921="","Not approved | ",IF(UPPER(TRIM(H1921))=UPPER(TRIM(I1921)),"Self-approved | ",""))&amp;IF(J1921="","No support | ","")&amp;IF(WEEKDAY(B1921,2)&gt;5,"Weekend posting | ","")&amp;IF(COUNTIF(Settings!$A$14:$A$43,B1921)&gt;0,"Holiday posting | ","")&amp;IF(B1921&gt;Settings!$C$8,"Posted after close | ","")&amp;IF(OR(B1921&lt;Settings!$C$6,B1921&gt;Settings!$C$7),"Outside period | ","")&amp;IF(COUNTIF(Settings!$E$14:$E$43,C1921&amp;"")&gt;0,"Sensitive account | ","")&amp;IF(AND(MAX(N(E1921),N(F1921))&gt;=Settings!$C$9,MOD(MAX(N(E1921),N(F1921)),Settings!$C$10)=0),"Round amount | ","")="","",LEFT(IF(K1921="No","Does not balance | ","")&amp;IF(I1921="","Not approved | ",IF(UPPER(TRIM(H1921))=UPPER(TRIM(I1921)),"Self-approved | ",""))&amp;IF(J1921="","No support | ","")&amp;IF(WEEKDAY(B1921,2)&gt;5,"Weekend posting | ","")&amp;IF(COUNTIF(Settings!$A$14:$A$43,B1921)&gt;0,"Holiday posting | ","")&amp;IF(B1921&gt;Settings!$C$8,"Posted after close | ","")&amp;IF(OR(B1921&lt;Settings!$C$6,B1921&gt;Settings!$C$7),"Outside period | ","")&amp;IF(COUNTIF(Settings!$E$14:$E$43,C1921&amp;"")&gt;0,"Sensitive account | ","")&amp;IF(AND(MAX(N(E1921),N(F1921))&gt;=Settings!$C$9,MOD(MAX(N(E1921),N(F1921)),Settings!$C$10)=0),"Round amount | ",""),LEN(IF(K1921="No","Does not balance | ","")&amp;IF(I1921="","Not approved | ",IF(UPPER(TRIM(H1921))=UPPER(TRIM(I1921)),"Self-approved | ",""))&amp;IF(J1921="","No support | ","")&amp;IF(WEEKDAY(B1921,2)&gt;5,"Weekend posting | ","")&amp;IF(COUNTIF(Settings!$A$14:$A$43,B1921)&gt;0,"Holiday posting | ","")&amp;IF(B1921&gt;Settings!$C$8,"Posted after close | ","")&amp;IF(OR(B1921&lt;Settings!$C$6,B1921&gt;Settings!$C$7),"Outside period | ","")&amp;IF(COUNTIF(Settings!$E$14:$E$43,C1921&amp;"")&gt;0,"Sensitive account | ","")&amp;IF(AND(MAX(N(E1921),N(F1921))&gt;=Settings!$C$9,MOD(MAX(N(E1921),N(F1921)),Settings!$C$10)=0),"Round amount | ",""))-3)))</f>
        <v/>
      </c>
      <c r="M1921" s="21" t="str">
        <f aca="false">IF(A1921="","",IF(COUNTIF($A$9:A1921,A1921)=1,MAX($M$8:M1920)+1,""))</f>
        <v/>
      </c>
    </row>
    <row r="1922" customFormat="false" ht="15" hidden="false" customHeight="false" outlineLevel="0" collapsed="false">
      <c r="A1922" s="8"/>
      <c r="B1922" s="17"/>
      <c r="C1922" s="19"/>
      <c r="D1922" s="8"/>
      <c r="E1922" s="18"/>
      <c r="F1922" s="18"/>
      <c r="G1922" s="8"/>
      <c r="H1922" s="8"/>
      <c r="I1922" s="8"/>
      <c r="J1922" s="8"/>
      <c r="K1922" s="10" t="str">
        <f aca="false">IF(A1922="","",IF(ABS(SUMIFS($E$9:$E$2008,$A$9:$A$2008,A1922)-SUMIFS($F$9:$F$2008,$A$9:$A$2008,A1922))&lt;0.5,"Yes","No"))</f>
        <v/>
      </c>
      <c r="L1922" s="10" t="str">
        <f aca="false">IF(A1922="","",IF(IF(K1922="No","Does not balance | ","")&amp;IF(I1922="","Not approved | ",IF(UPPER(TRIM(H1922))=UPPER(TRIM(I1922)),"Self-approved | ",""))&amp;IF(J1922="","No support | ","")&amp;IF(WEEKDAY(B1922,2)&gt;5,"Weekend posting | ","")&amp;IF(COUNTIF(Settings!$A$14:$A$43,B1922)&gt;0,"Holiday posting | ","")&amp;IF(B1922&gt;Settings!$C$8,"Posted after close | ","")&amp;IF(OR(B1922&lt;Settings!$C$6,B1922&gt;Settings!$C$7),"Outside period | ","")&amp;IF(COUNTIF(Settings!$E$14:$E$43,C1922&amp;"")&gt;0,"Sensitive account | ","")&amp;IF(AND(MAX(N(E1922),N(F1922))&gt;=Settings!$C$9,MOD(MAX(N(E1922),N(F1922)),Settings!$C$10)=0),"Round amount | ","")="","",LEFT(IF(K1922="No","Does not balance | ","")&amp;IF(I1922="","Not approved | ",IF(UPPER(TRIM(H1922))=UPPER(TRIM(I1922)),"Self-approved | ",""))&amp;IF(J1922="","No support | ","")&amp;IF(WEEKDAY(B1922,2)&gt;5,"Weekend posting | ","")&amp;IF(COUNTIF(Settings!$A$14:$A$43,B1922)&gt;0,"Holiday posting | ","")&amp;IF(B1922&gt;Settings!$C$8,"Posted after close | ","")&amp;IF(OR(B1922&lt;Settings!$C$6,B1922&gt;Settings!$C$7),"Outside period | ","")&amp;IF(COUNTIF(Settings!$E$14:$E$43,C1922&amp;"")&gt;0,"Sensitive account | ","")&amp;IF(AND(MAX(N(E1922),N(F1922))&gt;=Settings!$C$9,MOD(MAX(N(E1922),N(F1922)),Settings!$C$10)=0),"Round amount | ",""),LEN(IF(K1922="No","Does not balance | ","")&amp;IF(I1922="","Not approved | ",IF(UPPER(TRIM(H1922))=UPPER(TRIM(I1922)),"Self-approved | ",""))&amp;IF(J1922="","No support | ","")&amp;IF(WEEKDAY(B1922,2)&gt;5,"Weekend posting | ","")&amp;IF(COUNTIF(Settings!$A$14:$A$43,B1922)&gt;0,"Holiday posting | ","")&amp;IF(B1922&gt;Settings!$C$8,"Posted after close | ","")&amp;IF(OR(B1922&lt;Settings!$C$6,B1922&gt;Settings!$C$7),"Outside period | ","")&amp;IF(COUNTIF(Settings!$E$14:$E$43,C1922&amp;"")&gt;0,"Sensitive account | ","")&amp;IF(AND(MAX(N(E1922),N(F1922))&gt;=Settings!$C$9,MOD(MAX(N(E1922),N(F1922)),Settings!$C$10)=0),"Round amount | ",""))-3)))</f>
        <v/>
      </c>
      <c r="M1922" s="21" t="str">
        <f aca="false">IF(A1922="","",IF(COUNTIF($A$9:A1922,A1922)=1,MAX($M$8:M1921)+1,""))</f>
        <v/>
      </c>
    </row>
    <row r="1923" customFormat="false" ht="15" hidden="false" customHeight="false" outlineLevel="0" collapsed="false">
      <c r="A1923" s="8"/>
      <c r="B1923" s="17"/>
      <c r="C1923" s="19"/>
      <c r="D1923" s="8"/>
      <c r="E1923" s="18"/>
      <c r="F1923" s="18"/>
      <c r="G1923" s="8"/>
      <c r="H1923" s="8"/>
      <c r="I1923" s="8"/>
      <c r="J1923" s="8"/>
      <c r="K1923" s="10" t="str">
        <f aca="false">IF(A1923="","",IF(ABS(SUMIFS($E$9:$E$2008,$A$9:$A$2008,A1923)-SUMIFS($F$9:$F$2008,$A$9:$A$2008,A1923))&lt;0.5,"Yes","No"))</f>
        <v/>
      </c>
      <c r="L1923" s="10" t="str">
        <f aca="false">IF(A1923="","",IF(IF(K1923="No","Does not balance | ","")&amp;IF(I1923="","Not approved | ",IF(UPPER(TRIM(H1923))=UPPER(TRIM(I1923)),"Self-approved | ",""))&amp;IF(J1923="","No support | ","")&amp;IF(WEEKDAY(B1923,2)&gt;5,"Weekend posting | ","")&amp;IF(COUNTIF(Settings!$A$14:$A$43,B1923)&gt;0,"Holiday posting | ","")&amp;IF(B1923&gt;Settings!$C$8,"Posted after close | ","")&amp;IF(OR(B1923&lt;Settings!$C$6,B1923&gt;Settings!$C$7),"Outside period | ","")&amp;IF(COUNTIF(Settings!$E$14:$E$43,C1923&amp;"")&gt;0,"Sensitive account | ","")&amp;IF(AND(MAX(N(E1923),N(F1923))&gt;=Settings!$C$9,MOD(MAX(N(E1923),N(F1923)),Settings!$C$10)=0),"Round amount | ","")="","",LEFT(IF(K1923="No","Does not balance | ","")&amp;IF(I1923="","Not approved | ",IF(UPPER(TRIM(H1923))=UPPER(TRIM(I1923)),"Self-approved | ",""))&amp;IF(J1923="","No support | ","")&amp;IF(WEEKDAY(B1923,2)&gt;5,"Weekend posting | ","")&amp;IF(COUNTIF(Settings!$A$14:$A$43,B1923)&gt;0,"Holiday posting | ","")&amp;IF(B1923&gt;Settings!$C$8,"Posted after close | ","")&amp;IF(OR(B1923&lt;Settings!$C$6,B1923&gt;Settings!$C$7),"Outside period | ","")&amp;IF(COUNTIF(Settings!$E$14:$E$43,C1923&amp;"")&gt;0,"Sensitive account | ","")&amp;IF(AND(MAX(N(E1923),N(F1923))&gt;=Settings!$C$9,MOD(MAX(N(E1923),N(F1923)),Settings!$C$10)=0),"Round amount | ",""),LEN(IF(K1923="No","Does not balance | ","")&amp;IF(I1923="","Not approved | ",IF(UPPER(TRIM(H1923))=UPPER(TRIM(I1923)),"Self-approved | ",""))&amp;IF(J1923="","No support | ","")&amp;IF(WEEKDAY(B1923,2)&gt;5,"Weekend posting | ","")&amp;IF(COUNTIF(Settings!$A$14:$A$43,B1923)&gt;0,"Holiday posting | ","")&amp;IF(B1923&gt;Settings!$C$8,"Posted after close | ","")&amp;IF(OR(B1923&lt;Settings!$C$6,B1923&gt;Settings!$C$7),"Outside period | ","")&amp;IF(COUNTIF(Settings!$E$14:$E$43,C1923&amp;"")&gt;0,"Sensitive account | ","")&amp;IF(AND(MAX(N(E1923),N(F1923))&gt;=Settings!$C$9,MOD(MAX(N(E1923),N(F1923)),Settings!$C$10)=0),"Round amount | ",""))-3)))</f>
        <v/>
      </c>
      <c r="M1923" s="21" t="str">
        <f aca="false">IF(A1923="","",IF(COUNTIF($A$9:A1923,A1923)=1,MAX($M$8:M1922)+1,""))</f>
        <v/>
      </c>
    </row>
    <row r="1924" customFormat="false" ht="15" hidden="false" customHeight="false" outlineLevel="0" collapsed="false">
      <c r="A1924" s="8"/>
      <c r="B1924" s="17"/>
      <c r="C1924" s="19"/>
      <c r="D1924" s="8"/>
      <c r="E1924" s="18"/>
      <c r="F1924" s="18"/>
      <c r="G1924" s="8"/>
      <c r="H1924" s="8"/>
      <c r="I1924" s="8"/>
      <c r="J1924" s="8"/>
      <c r="K1924" s="10" t="str">
        <f aca="false">IF(A1924="","",IF(ABS(SUMIFS($E$9:$E$2008,$A$9:$A$2008,A1924)-SUMIFS($F$9:$F$2008,$A$9:$A$2008,A1924))&lt;0.5,"Yes","No"))</f>
        <v/>
      </c>
      <c r="L1924" s="10" t="str">
        <f aca="false">IF(A1924="","",IF(IF(K1924="No","Does not balance | ","")&amp;IF(I1924="","Not approved | ",IF(UPPER(TRIM(H1924))=UPPER(TRIM(I1924)),"Self-approved | ",""))&amp;IF(J1924="","No support | ","")&amp;IF(WEEKDAY(B1924,2)&gt;5,"Weekend posting | ","")&amp;IF(COUNTIF(Settings!$A$14:$A$43,B1924)&gt;0,"Holiday posting | ","")&amp;IF(B1924&gt;Settings!$C$8,"Posted after close | ","")&amp;IF(OR(B1924&lt;Settings!$C$6,B1924&gt;Settings!$C$7),"Outside period | ","")&amp;IF(COUNTIF(Settings!$E$14:$E$43,C1924&amp;"")&gt;0,"Sensitive account | ","")&amp;IF(AND(MAX(N(E1924),N(F1924))&gt;=Settings!$C$9,MOD(MAX(N(E1924),N(F1924)),Settings!$C$10)=0),"Round amount | ","")="","",LEFT(IF(K1924="No","Does not balance | ","")&amp;IF(I1924="","Not approved | ",IF(UPPER(TRIM(H1924))=UPPER(TRIM(I1924)),"Self-approved | ",""))&amp;IF(J1924="","No support | ","")&amp;IF(WEEKDAY(B1924,2)&gt;5,"Weekend posting | ","")&amp;IF(COUNTIF(Settings!$A$14:$A$43,B1924)&gt;0,"Holiday posting | ","")&amp;IF(B1924&gt;Settings!$C$8,"Posted after close | ","")&amp;IF(OR(B1924&lt;Settings!$C$6,B1924&gt;Settings!$C$7),"Outside period | ","")&amp;IF(COUNTIF(Settings!$E$14:$E$43,C1924&amp;"")&gt;0,"Sensitive account | ","")&amp;IF(AND(MAX(N(E1924),N(F1924))&gt;=Settings!$C$9,MOD(MAX(N(E1924),N(F1924)),Settings!$C$10)=0),"Round amount | ",""),LEN(IF(K1924="No","Does not balance | ","")&amp;IF(I1924="","Not approved | ",IF(UPPER(TRIM(H1924))=UPPER(TRIM(I1924)),"Self-approved | ",""))&amp;IF(J1924="","No support | ","")&amp;IF(WEEKDAY(B1924,2)&gt;5,"Weekend posting | ","")&amp;IF(COUNTIF(Settings!$A$14:$A$43,B1924)&gt;0,"Holiday posting | ","")&amp;IF(B1924&gt;Settings!$C$8,"Posted after close | ","")&amp;IF(OR(B1924&lt;Settings!$C$6,B1924&gt;Settings!$C$7),"Outside period | ","")&amp;IF(COUNTIF(Settings!$E$14:$E$43,C1924&amp;"")&gt;0,"Sensitive account | ","")&amp;IF(AND(MAX(N(E1924),N(F1924))&gt;=Settings!$C$9,MOD(MAX(N(E1924),N(F1924)),Settings!$C$10)=0),"Round amount | ",""))-3)))</f>
        <v/>
      </c>
      <c r="M1924" s="21" t="str">
        <f aca="false">IF(A1924="","",IF(COUNTIF($A$9:A1924,A1924)=1,MAX($M$8:M1923)+1,""))</f>
        <v/>
      </c>
    </row>
    <row r="1925" customFormat="false" ht="15" hidden="false" customHeight="false" outlineLevel="0" collapsed="false">
      <c r="A1925" s="8"/>
      <c r="B1925" s="17"/>
      <c r="C1925" s="19"/>
      <c r="D1925" s="8"/>
      <c r="E1925" s="18"/>
      <c r="F1925" s="18"/>
      <c r="G1925" s="8"/>
      <c r="H1925" s="8"/>
      <c r="I1925" s="8"/>
      <c r="J1925" s="8"/>
      <c r="K1925" s="10" t="str">
        <f aca="false">IF(A1925="","",IF(ABS(SUMIFS($E$9:$E$2008,$A$9:$A$2008,A1925)-SUMIFS($F$9:$F$2008,$A$9:$A$2008,A1925))&lt;0.5,"Yes","No"))</f>
        <v/>
      </c>
      <c r="L1925" s="10" t="str">
        <f aca="false">IF(A1925="","",IF(IF(K1925="No","Does not balance | ","")&amp;IF(I1925="","Not approved | ",IF(UPPER(TRIM(H1925))=UPPER(TRIM(I1925)),"Self-approved | ",""))&amp;IF(J1925="","No support | ","")&amp;IF(WEEKDAY(B1925,2)&gt;5,"Weekend posting | ","")&amp;IF(COUNTIF(Settings!$A$14:$A$43,B1925)&gt;0,"Holiday posting | ","")&amp;IF(B1925&gt;Settings!$C$8,"Posted after close | ","")&amp;IF(OR(B1925&lt;Settings!$C$6,B1925&gt;Settings!$C$7),"Outside period | ","")&amp;IF(COUNTIF(Settings!$E$14:$E$43,C1925&amp;"")&gt;0,"Sensitive account | ","")&amp;IF(AND(MAX(N(E1925),N(F1925))&gt;=Settings!$C$9,MOD(MAX(N(E1925),N(F1925)),Settings!$C$10)=0),"Round amount | ","")="","",LEFT(IF(K1925="No","Does not balance | ","")&amp;IF(I1925="","Not approved | ",IF(UPPER(TRIM(H1925))=UPPER(TRIM(I1925)),"Self-approved | ",""))&amp;IF(J1925="","No support | ","")&amp;IF(WEEKDAY(B1925,2)&gt;5,"Weekend posting | ","")&amp;IF(COUNTIF(Settings!$A$14:$A$43,B1925)&gt;0,"Holiday posting | ","")&amp;IF(B1925&gt;Settings!$C$8,"Posted after close | ","")&amp;IF(OR(B1925&lt;Settings!$C$6,B1925&gt;Settings!$C$7),"Outside period | ","")&amp;IF(COUNTIF(Settings!$E$14:$E$43,C1925&amp;"")&gt;0,"Sensitive account | ","")&amp;IF(AND(MAX(N(E1925),N(F1925))&gt;=Settings!$C$9,MOD(MAX(N(E1925),N(F1925)),Settings!$C$10)=0),"Round amount | ",""),LEN(IF(K1925="No","Does not balance | ","")&amp;IF(I1925="","Not approved | ",IF(UPPER(TRIM(H1925))=UPPER(TRIM(I1925)),"Self-approved | ",""))&amp;IF(J1925="","No support | ","")&amp;IF(WEEKDAY(B1925,2)&gt;5,"Weekend posting | ","")&amp;IF(COUNTIF(Settings!$A$14:$A$43,B1925)&gt;0,"Holiday posting | ","")&amp;IF(B1925&gt;Settings!$C$8,"Posted after close | ","")&amp;IF(OR(B1925&lt;Settings!$C$6,B1925&gt;Settings!$C$7),"Outside period | ","")&amp;IF(COUNTIF(Settings!$E$14:$E$43,C1925&amp;"")&gt;0,"Sensitive account | ","")&amp;IF(AND(MAX(N(E1925),N(F1925))&gt;=Settings!$C$9,MOD(MAX(N(E1925),N(F1925)),Settings!$C$10)=0),"Round amount | ",""))-3)))</f>
        <v/>
      </c>
      <c r="M1925" s="21" t="str">
        <f aca="false">IF(A1925="","",IF(COUNTIF($A$9:A1925,A1925)=1,MAX($M$8:M1924)+1,""))</f>
        <v/>
      </c>
    </row>
    <row r="1926" customFormat="false" ht="15" hidden="false" customHeight="false" outlineLevel="0" collapsed="false">
      <c r="A1926" s="8"/>
      <c r="B1926" s="17"/>
      <c r="C1926" s="19"/>
      <c r="D1926" s="8"/>
      <c r="E1926" s="18"/>
      <c r="F1926" s="18"/>
      <c r="G1926" s="8"/>
      <c r="H1926" s="8"/>
      <c r="I1926" s="8"/>
      <c r="J1926" s="8"/>
      <c r="K1926" s="10" t="str">
        <f aca="false">IF(A1926="","",IF(ABS(SUMIFS($E$9:$E$2008,$A$9:$A$2008,A1926)-SUMIFS($F$9:$F$2008,$A$9:$A$2008,A1926))&lt;0.5,"Yes","No"))</f>
        <v/>
      </c>
      <c r="L1926" s="10" t="str">
        <f aca="false">IF(A1926="","",IF(IF(K1926="No","Does not balance | ","")&amp;IF(I1926="","Not approved | ",IF(UPPER(TRIM(H1926))=UPPER(TRIM(I1926)),"Self-approved | ",""))&amp;IF(J1926="","No support | ","")&amp;IF(WEEKDAY(B1926,2)&gt;5,"Weekend posting | ","")&amp;IF(COUNTIF(Settings!$A$14:$A$43,B1926)&gt;0,"Holiday posting | ","")&amp;IF(B1926&gt;Settings!$C$8,"Posted after close | ","")&amp;IF(OR(B1926&lt;Settings!$C$6,B1926&gt;Settings!$C$7),"Outside period | ","")&amp;IF(COUNTIF(Settings!$E$14:$E$43,C1926&amp;"")&gt;0,"Sensitive account | ","")&amp;IF(AND(MAX(N(E1926),N(F1926))&gt;=Settings!$C$9,MOD(MAX(N(E1926),N(F1926)),Settings!$C$10)=0),"Round amount | ","")="","",LEFT(IF(K1926="No","Does not balance | ","")&amp;IF(I1926="","Not approved | ",IF(UPPER(TRIM(H1926))=UPPER(TRIM(I1926)),"Self-approved | ",""))&amp;IF(J1926="","No support | ","")&amp;IF(WEEKDAY(B1926,2)&gt;5,"Weekend posting | ","")&amp;IF(COUNTIF(Settings!$A$14:$A$43,B1926)&gt;0,"Holiday posting | ","")&amp;IF(B1926&gt;Settings!$C$8,"Posted after close | ","")&amp;IF(OR(B1926&lt;Settings!$C$6,B1926&gt;Settings!$C$7),"Outside period | ","")&amp;IF(COUNTIF(Settings!$E$14:$E$43,C1926&amp;"")&gt;0,"Sensitive account | ","")&amp;IF(AND(MAX(N(E1926),N(F1926))&gt;=Settings!$C$9,MOD(MAX(N(E1926),N(F1926)),Settings!$C$10)=0),"Round amount | ",""),LEN(IF(K1926="No","Does not balance | ","")&amp;IF(I1926="","Not approved | ",IF(UPPER(TRIM(H1926))=UPPER(TRIM(I1926)),"Self-approved | ",""))&amp;IF(J1926="","No support | ","")&amp;IF(WEEKDAY(B1926,2)&gt;5,"Weekend posting | ","")&amp;IF(COUNTIF(Settings!$A$14:$A$43,B1926)&gt;0,"Holiday posting | ","")&amp;IF(B1926&gt;Settings!$C$8,"Posted after close | ","")&amp;IF(OR(B1926&lt;Settings!$C$6,B1926&gt;Settings!$C$7),"Outside period | ","")&amp;IF(COUNTIF(Settings!$E$14:$E$43,C1926&amp;"")&gt;0,"Sensitive account | ","")&amp;IF(AND(MAX(N(E1926),N(F1926))&gt;=Settings!$C$9,MOD(MAX(N(E1926),N(F1926)),Settings!$C$10)=0),"Round amount | ",""))-3)))</f>
        <v/>
      </c>
      <c r="M1926" s="21" t="str">
        <f aca="false">IF(A1926="","",IF(COUNTIF($A$9:A1926,A1926)=1,MAX($M$8:M1925)+1,""))</f>
        <v/>
      </c>
    </row>
    <row r="1927" customFormat="false" ht="15" hidden="false" customHeight="false" outlineLevel="0" collapsed="false">
      <c r="A1927" s="8"/>
      <c r="B1927" s="17"/>
      <c r="C1927" s="19"/>
      <c r="D1927" s="8"/>
      <c r="E1927" s="18"/>
      <c r="F1927" s="18"/>
      <c r="G1927" s="8"/>
      <c r="H1927" s="8"/>
      <c r="I1927" s="8"/>
      <c r="J1927" s="8"/>
      <c r="K1927" s="10" t="str">
        <f aca="false">IF(A1927="","",IF(ABS(SUMIFS($E$9:$E$2008,$A$9:$A$2008,A1927)-SUMIFS($F$9:$F$2008,$A$9:$A$2008,A1927))&lt;0.5,"Yes","No"))</f>
        <v/>
      </c>
      <c r="L1927" s="10" t="str">
        <f aca="false">IF(A1927="","",IF(IF(K1927="No","Does not balance | ","")&amp;IF(I1927="","Not approved | ",IF(UPPER(TRIM(H1927))=UPPER(TRIM(I1927)),"Self-approved | ",""))&amp;IF(J1927="","No support | ","")&amp;IF(WEEKDAY(B1927,2)&gt;5,"Weekend posting | ","")&amp;IF(COUNTIF(Settings!$A$14:$A$43,B1927)&gt;0,"Holiday posting | ","")&amp;IF(B1927&gt;Settings!$C$8,"Posted after close | ","")&amp;IF(OR(B1927&lt;Settings!$C$6,B1927&gt;Settings!$C$7),"Outside period | ","")&amp;IF(COUNTIF(Settings!$E$14:$E$43,C1927&amp;"")&gt;0,"Sensitive account | ","")&amp;IF(AND(MAX(N(E1927),N(F1927))&gt;=Settings!$C$9,MOD(MAX(N(E1927),N(F1927)),Settings!$C$10)=0),"Round amount | ","")="","",LEFT(IF(K1927="No","Does not balance | ","")&amp;IF(I1927="","Not approved | ",IF(UPPER(TRIM(H1927))=UPPER(TRIM(I1927)),"Self-approved | ",""))&amp;IF(J1927="","No support | ","")&amp;IF(WEEKDAY(B1927,2)&gt;5,"Weekend posting | ","")&amp;IF(COUNTIF(Settings!$A$14:$A$43,B1927)&gt;0,"Holiday posting | ","")&amp;IF(B1927&gt;Settings!$C$8,"Posted after close | ","")&amp;IF(OR(B1927&lt;Settings!$C$6,B1927&gt;Settings!$C$7),"Outside period | ","")&amp;IF(COUNTIF(Settings!$E$14:$E$43,C1927&amp;"")&gt;0,"Sensitive account | ","")&amp;IF(AND(MAX(N(E1927),N(F1927))&gt;=Settings!$C$9,MOD(MAX(N(E1927),N(F1927)),Settings!$C$10)=0),"Round amount | ",""),LEN(IF(K1927="No","Does not balance | ","")&amp;IF(I1927="","Not approved | ",IF(UPPER(TRIM(H1927))=UPPER(TRIM(I1927)),"Self-approved | ",""))&amp;IF(J1927="","No support | ","")&amp;IF(WEEKDAY(B1927,2)&gt;5,"Weekend posting | ","")&amp;IF(COUNTIF(Settings!$A$14:$A$43,B1927)&gt;0,"Holiday posting | ","")&amp;IF(B1927&gt;Settings!$C$8,"Posted after close | ","")&amp;IF(OR(B1927&lt;Settings!$C$6,B1927&gt;Settings!$C$7),"Outside period | ","")&amp;IF(COUNTIF(Settings!$E$14:$E$43,C1927&amp;"")&gt;0,"Sensitive account | ","")&amp;IF(AND(MAX(N(E1927),N(F1927))&gt;=Settings!$C$9,MOD(MAX(N(E1927),N(F1927)),Settings!$C$10)=0),"Round amount | ",""))-3)))</f>
        <v/>
      </c>
      <c r="M1927" s="21" t="str">
        <f aca="false">IF(A1927="","",IF(COUNTIF($A$9:A1927,A1927)=1,MAX($M$8:M1926)+1,""))</f>
        <v/>
      </c>
    </row>
    <row r="1928" customFormat="false" ht="15" hidden="false" customHeight="false" outlineLevel="0" collapsed="false">
      <c r="A1928" s="8"/>
      <c r="B1928" s="17"/>
      <c r="C1928" s="19"/>
      <c r="D1928" s="8"/>
      <c r="E1928" s="18"/>
      <c r="F1928" s="18"/>
      <c r="G1928" s="8"/>
      <c r="H1928" s="8"/>
      <c r="I1928" s="8"/>
      <c r="J1928" s="8"/>
      <c r="K1928" s="10" t="str">
        <f aca="false">IF(A1928="","",IF(ABS(SUMIFS($E$9:$E$2008,$A$9:$A$2008,A1928)-SUMIFS($F$9:$F$2008,$A$9:$A$2008,A1928))&lt;0.5,"Yes","No"))</f>
        <v/>
      </c>
      <c r="L1928" s="10" t="str">
        <f aca="false">IF(A1928="","",IF(IF(K1928="No","Does not balance | ","")&amp;IF(I1928="","Not approved | ",IF(UPPER(TRIM(H1928))=UPPER(TRIM(I1928)),"Self-approved | ",""))&amp;IF(J1928="","No support | ","")&amp;IF(WEEKDAY(B1928,2)&gt;5,"Weekend posting | ","")&amp;IF(COUNTIF(Settings!$A$14:$A$43,B1928)&gt;0,"Holiday posting | ","")&amp;IF(B1928&gt;Settings!$C$8,"Posted after close | ","")&amp;IF(OR(B1928&lt;Settings!$C$6,B1928&gt;Settings!$C$7),"Outside period | ","")&amp;IF(COUNTIF(Settings!$E$14:$E$43,C1928&amp;"")&gt;0,"Sensitive account | ","")&amp;IF(AND(MAX(N(E1928),N(F1928))&gt;=Settings!$C$9,MOD(MAX(N(E1928),N(F1928)),Settings!$C$10)=0),"Round amount | ","")="","",LEFT(IF(K1928="No","Does not balance | ","")&amp;IF(I1928="","Not approved | ",IF(UPPER(TRIM(H1928))=UPPER(TRIM(I1928)),"Self-approved | ",""))&amp;IF(J1928="","No support | ","")&amp;IF(WEEKDAY(B1928,2)&gt;5,"Weekend posting | ","")&amp;IF(COUNTIF(Settings!$A$14:$A$43,B1928)&gt;0,"Holiday posting | ","")&amp;IF(B1928&gt;Settings!$C$8,"Posted after close | ","")&amp;IF(OR(B1928&lt;Settings!$C$6,B1928&gt;Settings!$C$7),"Outside period | ","")&amp;IF(COUNTIF(Settings!$E$14:$E$43,C1928&amp;"")&gt;0,"Sensitive account | ","")&amp;IF(AND(MAX(N(E1928),N(F1928))&gt;=Settings!$C$9,MOD(MAX(N(E1928),N(F1928)),Settings!$C$10)=0),"Round amount | ",""),LEN(IF(K1928="No","Does not balance | ","")&amp;IF(I1928="","Not approved | ",IF(UPPER(TRIM(H1928))=UPPER(TRIM(I1928)),"Self-approved | ",""))&amp;IF(J1928="","No support | ","")&amp;IF(WEEKDAY(B1928,2)&gt;5,"Weekend posting | ","")&amp;IF(COUNTIF(Settings!$A$14:$A$43,B1928)&gt;0,"Holiday posting | ","")&amp;IF(B1928&gt;Settings!$C$8,"Posted after close | ","")&amp;IF(OR(B1928&lt;Settings!$C$6,B1928&gt;Settings!$C$7),"Outside period | ","")&amp;IF(COUNTIF(Settings!$E$14:$E$43,C1928&amp;"")&gt;0,"Sensitive account | ","")&amp;IF(AND(MAX(N(E1928),N(F1928))&gt;=Settings!$C$9,MOD(MAX(N(E1928),N(F1928)),Settings!$C$10)=0),"Round amount | ",""))-3)))</f>
        <v/>
      </c>
      <c r="M1928" s="21" t="str">
        <f aca="false">IF(A1928="","",IF(COUNTIF($A$9:A1928,A1928)=1,MAX($M$8:M1927)+1,""))</f>
        <v/>
      </c>
    </row>
    <row r="1929" customFormat="false" ht="15" hidden="false" customHeight="false" outlineLevel="0" collapsed="false">
      <c r="A1929" s="8"/>
      <c r="B1929" s="17"/>
      <c r="C1929" s="19"/>
      <c r="D1929" s="8"/>
      <c r="E1929" s="18"/>
      <c r="F1929" s="18"/>
      <c r="G1929" s="8"/>
      <c r="H1929" s="8"/>
      <c r="I1929" s="8"/>
      <c r="J1929" s="8"/>
      <c r="K1929" s="10" t="str">
        <f aca="false">IF(A1929="","",IF(ABS(SUMIFS($E$9:$E$2008,$A$9:$A$2008,A1929)-SUMIFS($F$9:$F$2008,$A$9:$A$2008,A1929))&lt;0.5,"Yes","No"))</f>
        <v/>
      </c>
      <c r="L1929" s="10" t="str">
        <f aca="false">IF(A1929="","",IF(IF(K1929="No","Does not balance | ","")&amp;IF(I1929="","Not approved | ",IF(UPPER(TRIM(H1929))=UPPER(TRIM(I1929)),"Self-approved | ",""))&amp;IF(J1929="","No support | ","")&amp;IF(WEEKDAY(B1929,2)&gt;5,"Weekend posting | ","")&amp;IF(COUNTIF(Settings!$A$14:$A$43,B1929)&gt;0,"Holiday posting | ","")&amp;IF(B1929&gt;Settings!$C$8,"Posted after close | ","")&amp;IF(OR(B1929&lt;Settings!$C$6,B1929&gt;Settings!$C$7),"Outside period | ","")&amp;IF(COUNTIF(Settings!$E$14:$E$43,C1929&amp;"")&gt;0,"Sensitive account | ","")&amp;IF(AND(MAX(N(E1929),N(F1929))&gt;=Settings!$C$9,MOD(MAX(N(E1929),N(F1929)),Settings!$C$10)=0),"Round amount | ","")="","",LEFT(IF(K1929="No","Does not balance | ","")&amp;IF(I1929="","Not approved | ",IF(UPPER(TRIM(H1929))=UPPER(TRIM(I1929)),"Self-approved | ",""))&amp;IF(J1929="","No support | ","")&amp;IF(WEEKDAY(B1929,2)&gt;5,"Weekend posting | ","")&amp;IF(COUNTIF(Settings!$A$14:$A$43,B1929)&gt;0,"Holiday posting | ","")&amp;IF(B1929&gt;Settings!$C$8,"Posted after close | ","")&amp;IF(OR(B1929&lt;Settings!$C$6,B1929&gt;Settings!$C$7),"Outside period | ","")&amp;IF(COUNTIF(Settings!$E$14:$E$43,C1929&amp;"")&gt;0,"Sensitive account | ","")&amp;IF(AND(MAX(N(E1929),N(F1929))&gt;=Settings!$C$9,MOD(MAX(N(E1929),N(F1929)),Settings!$C$10)=0),"Round amount | ",""),LEN(IF(K1929="No","Does not balance | ","")&amp;IF(I1929="","Not approved | ",IF(UPPER(TRIM(H1929))=UPPER(TRIM(I1929)),"Self-approved | ",""))&amp;IF(J1929="","No support | ","")&amp;IF(WEEKDAY(B1929,2)&gt;5,"Weekend posting | ","")&amp;IF(COUNTIF(Settings!$A$14:$A$43,B1929)&gt;0,"Holiday posting | ","")&amp;IF(B1929&gt;Settings!$C$8,"Posted after close | ","")&amp;IF(OR(B1929&lt;Settings!$C$6,B1929&gt;Settings!$C$7),"Outside period | ","")&amp;IF(COUNTIF(Settings!$E$14:$E$43,C1929&amp;"")&gt;0,"Sensitive account | ","")&amp;IF(AND(MAX(N(E1929),N(F1929))&gt;=Settings!$C$9,MOD(MAX(N(E1929),N(F1929)),Settings!$C$10)=0),"Round amount | ",""))-3)))</f>
        <v/>
      </c>
      <c r="M1929" s="21" t="str">
        <f aca="false">IF(A1929="","",IF(COUNTIF($A$9:A1929,A1929)=1,MAX($M$8:M1928)+1,""))</f>
        <v/>
      </c>
    </row>
    <row r="1930" customFormat="false" ht="15" hidden="false" customHeight="false" outlineLevel="0" collapsed="false">
      <c r="A1930" s="8"/>
      <c r="B1930" s="17"/>
      <c r="C1930" s="19"/>
      <c r="D1930" s="8"/>
      <c r="E1930" s="18"/>
      <c r="F1930" s="18"/>
      <c r="G1930" s="8"/>
      <c r="H1930" s="8"/>
      <c r="I1930" s="8"/>
      <c r="J1930" s="8"/>
      <c r="K1930" s="10" t="str">
        <f aca="false">IF(A1930="","",IF(ABS(SUMIFS($E$9:$E$2008,$A$9:$A$2008,A1930)-SUMIFS($F$9:$F$2008,$A$9:$A$2008,A1930))&lt;0.5,"Yes","No"))</f>
        <v/>
      </c>
      <c r="L1930" s="10" t="str">
        <f aca="false">IF(A1930="","",IF(IF(K1930="No","Does not balance | ","")&amp;IF(I1930="","Not approved | ",IF(UPPER(TRIM(H1930))=UPPER(TRIM(I1930)),"Self-approved | ",""))&amp;IF(J1930="","No support | ","")&amp;IF(WEEKDAY(B1930,2)&gt;5,"Weekend posting | ","")&amp;IF(COUNTIF(Settings!$A$14:$A$43,B1930)&gt;0,"Holiday posting | ","")&amp;IF(B1930&gt;Settings!$C$8,"Posted after close | ","")&amp;IF(OR(B1930&lt;Settings!$C$6,B1930&gt;Settings!$C$7),"Outside period | ","")&amp;IF(COUNTIF(Settings!$E$14:$E$43,C1930&amp;"")&gt;0,"Sensitive account | ","")&amp;IF(AND(MAX(N(E1930),N(F1930))&gt;=Settings!$C$9,MOD(MAX(N(E1930),N(F1930)),Settings!$C$10)=0),"Round amount | ","")="","",LEFT(IF(K1930="No","Does not balance | ","")&amp;IF(I1930="","Not approved | ",IF(UPPER(TRIM(H1930))=UPPER(TRIM(I1930)),"Self-approved | ",""))&amp;IF(J1930="","No support | ","")&amp;IF(WEEKDAY(B1930,2)&gt;5,"Weekend posting | ","")&amp;IF(COUNTIF(Settings!$A$14:$A$43,B1930)&gt;0,"Holiday posting | ","")&amp;IF(B1930&gt;Settings!$C$8,"Posted after close | ","")&amp;IF(OR(B1930&lt;Settings!$C$6,B1930&gt;Settings!$C$7),"Outside period | ","")&amp;IF(COUNTIF(Settings!$E$14:$E$43,C1930&amp;"")&gt;0,"Sensitive account | ","")&amp;IF(AND(MAX(N(E1930),N(F1930))&gt;=Settings!$C$9,MOD(MAX(N(E1930),N(F1930)),Settings!$C$10)=0),"Round amount | ",""),LEN(IF(K1930="No","Does not balance | ","")&amp;IF(I1930="","Not approved | ",IF(UPPER(TRIM(H1930))=UPPER(TRIM(I1930)),"Self-approved | ",""))&amp;IF(J1930="","No support | ","")&amp;IF(WEEKDAY(B1930,2)&gt;5,"Weekend posting | ","")&amp;IF(COUNTIF(Settings!$A$14:$A$43,B1930)&gt;0,"Holiday posting | ","")&amp;IF(B1930&gt;Settings!$C$8,"Posted after close | ","")&amp;IF(OR(B1930&lt;Settings!$C$6,B1930&gt;Settings!$C$7),"Outside period | ","")&amp;IF(COUNTIF(Settings!$E$14:$E$43,C1930&amp;"")&gt;0,"Sensitive account | ","")&amp;IF(AND(MAX(N(E1930),N(F1930))&gt;=Settings!$C$9,MOD(MAX(N(E1930),N(F1930)),Settings!$C$10)=0),"Round amount | ",""))-3)))</f>
        <v/>
      </c>
      <c r="M1930" s="21" t="str">
        <f aca="false">IF(A1930="","",IF(COUNTIF($A$9:A1930,A1930)=1,MAX($M$8:M1929)+1,""))</f>
        <v/>
      </c>
    </row>
    <row r="1931" customFormat="false" ht="15" hidden="false" customHeight="false" outlineLevel="0" collapsed="false">
      <c r="A1931" s="8"/>
      <c r="B1931" s="17"/>
      <c r="C1931" s="19"/>
      <c r="D1931" s="8"/>
      <c r="E1931" s="18"/>
      <c r="F1931" s="18"/>
      <c r="G1931" s="8"/>
      <c r="H1931" s="8"/>
      <c r="I1931" s="8"/>
      <c r="J1931" s="8"/>
      <c r="K1931" s="10" t="str">
        <f aca="false">IF(A1931="","",IF(ABS(SUMIFS($E$9:$E$2008,$A$9:$A$2008,A1931)-SUMIFS($F$9:$F$2008,$A$9:$A$2008,A1931))&lt;0.5,"Yes","No"))</f>
        <v/>
      </c>
      <c r="L1931" s="10" t="str">
        <f aca="false">IF(A1931="","",IF(IF(K1931="No","Does not balance | ","")&amp;IF(I1931="","Not approved | ",IF(UPPER(TRIM(H1931))=UPPER(TRIM(I1931)),"Self-approved | ",""))&amp;IF(J1931="","No support | ","")&amp;IF(WEEKDAY(B1931,2)&gt;5,"Weekend posting | ","")&amp;IF(COUNTIF(Settings!$A$14:$A$43,B1931)&gt;0,"Holiday posting | ","")&amp;IF(B1931&gt;Settings!$C$8,"Posted after close | ","")&amp;IF(OR(B1931&lt;Settings!$C$6,B1931&gt;Settings!$C$7),"Outside period | ","")&amp;IF(COUNTIF(Settings!$E$14:$E$43,C1931&amp;"")&gt;0,"Sensitive account | ","")&amp;IF(AND(MAX(N(E1931),N(F1931))&gt;=Settings!$C$9,MOD(MAX(N(E1931),N(F1931)),Settings!$C$10)=0),"Round amount | ","")="","",LEFT(IF(K1931="No","Does not balance | ","")&amp;IF(I1931="","Not approved | ",IF(UPPER(TRIM(H1931))=UPPER(TRIM(I1931)),"Self-approved | ",""))&amp;IF(J1931="","No support | ","")&amp;IF(WEEKDAY(B1931,2)&gt;5,"Weekend posting | ","")&amp;IF(COUNTIF(Settings!$A$14:$A$43,B1931)&gt;0,"Holiday posting | ","")&amp;IF(B1931&gt;Settings!$C$8,"Posted after close | ","")&amp;IF(OR(B1931&lt;Settings!$C$6,B1931&gt;Settings!$C$7),"Outside period | ","")&amp;IF(COUNTIF(Settings!$E$14:$E$43,C1931&amp;"")&gt;0,"Sensitive account | ","")&amp;IF(AND(MAX(N(E1931),N(F1931))&gt;=Settings!$C$9,MOD(MAX(N(E1931),N(F1931)),Settings!$C$10)=0),"Round amount | ",""),LEN(IF(K1931="No","Does not balance | ","")&amp;IF(I1931="","Not approved | ",IF(UPPER(TRIM(H1931))=UPPER(TRIM(I1931)),"Self-approved | ",""))&amp;IF(J1931="","No support | ","")&amp;IF(WEEKDAY(B1931,2)&gt;5,"Weekend posting | ","")&amp;IF(COUNTIF(Settings!$A$14:$A$43,B1931)&gt;0,"Holiday posting | ","")&amp;IF(B1931&gt;Settings!$C$8,"Posted after close | ","")&amp;IF(OR(B1931&lt;Settings!$C$6,B1931&gt;Settings!$C$7),"Outside period | ","")&amp;IF(COUNTIF(Settings!$E$14:$E$43,C1931&amp;"")&gt;0,"Sensitive account | ","")&amp;IF(AND(MAX(N(E1931),N(F1931))&gt;=Settings!$C$9,MOD(MAX(N(E1931),N(F1931)),Settings!$C$10)=0),"Round amount | ",""))-3)))</f>
        <v/>
      </c>
      <c r="M1931" s="21" t="str">
        <f aca="false">IF(A1931="","",IF(COUNTIF($A$9:A1931,A1931)=1,MAX($M$8:M1930)+1,""))</f>
        <v/>
      </c>
    </row>
    <row r="1932" customFormat="false" ht="15" hidden="false" customHeight="false" outlineLevel="0" collapsed="false">
      <c r="A1932" s="8"/>
      <c r="B1932" s="17"/>
      <c r="C1932" s="19"/>
      <c r="D1932" s="8"/>
      <c r="E1932" s="18"/>
      <c r="F1932" s="18"/>
      <c r="G1932" s="8"/>
      <c r="H1932" s="8"/>
      <c r="I1932" s="8"/>
      <c r="J1932" s="8"/>
      <c r="K1932" s="10" t="str">
        <f aca="false">IF(A1932="","",IF(ABS(SUMIFS($E$9:$E$2008,$A$9:$A$2008,A1932)-SUMIFS($F$9:$F$2008,$A$9:$A$2008,A1932))&lt;0.5,"Yes","No"))</f>
        <v/>
      </c>
      <c r="L1932" s="10" t="str">
        <f aca="false">IF(A1932="","",IF(IF(K1932="No","Does not balance | ","")&amp;IF(I1932="","Not approved | ",IF(UPPER(TRIM(H1932))=UPPER(TRIM(I1932)),"Self-approved | ",""))&amp;IF(J1932="","No support | ","")&amp;IF(WEEKDAY(B1932,2)&gt;5,"Weekend posting | ","")&amp;IF(COUNTIF(Settings!$A$14:$A$43,B1932)&gt;0,"Holiday posting | ","")&amp;IF(B1932&gt;Settings!$C$8,"Posted after close | ","")&amp;IF(OR(B1932&lt;Settings!$C$6,B1932&gt;Settings!$C$7),"Outside period | ","")&amp;IF(COUNTIF(Settings!$E$14:$E$43,C1932&amp;"")&gt;0,"Sensitive account | ","")&amp;IF(AND(MAX(N(E1932),N(F1932))&gt;=Settings!$C$9,MOD(MAX(N(E1932),N(F1932)),Settings!$C$10)=0),"Round amount | ","")="","",LEFT(IF(K1932="No","Does not balance | ","")&amp;IF(I1932="","Not approved | ",IF(UPPER(TRIM(H1932))=UPPER(TRIM(I1932)),"Self-approved | ",""))&amp;IF(J1932="","No support | ","")&amp;IF(WEEKDAY(B1932,2)&gt;5,"Weekend posting | ","")&amp;IF(COUNTIF(Settings!$A$14:$A$43,B1932)&gt;0,"Holiday posting | ","")&amp;IF(B1932&gt;Settings!$C$8,"Posted after close | ","")&amp;IF(OR(B1932&lt;Settings!$C$6,B1932&gt;Settings!$C$7),"Outside period | ","")&amp;IF(COUNTIF(Settings!$E$14:$E$43,C1932&amp;"")&gt;0,"Sensitive account | ","")&amp;IF(AND(MAX(N(E1932),N(F1932))&gt;=Settings!$C$9,MOD(MAX(N(E1932),N(F1932)),Settings!$C$10)=0),"Round amount | ",""),LEN(IF(K1932="No","Does not balance | ","")&amp;IF(I1932="","Not approved | ",IF(UPPER(TRIM(H1932))=UPPER(TRIM(I1932)),"Self-approved | ",""))&amp;IF(J1932="","No support | ","")&amp;IF(WEEKDAY(B1932,2)&gt;5,"Weekend posting | ","")&amp;IF(COUNTIF(Settings!$A$14:$A$43,B1932)&gt;0,"Holiday posting | ","")&amp;IF(B1932&gt;Settings!$C$8,"Posted after close | ","")&amp;IF(OR(B1932&lt;Settings!$C$6,B1932&gt;Settings!$C$7),"Outside period | ","")&amp;IF(COUNTIF(Settings!$E$14:$E$43,C1932&amp;"")&gt;0,"Sensitive account | ","")&amp;IF(AND(MAX(N(E1932),N(F1932))&gt;=Settings!$C$9,MOD(MAX(N(E1932),N(F1932)),Settings!$C$10)=0),"Round amount | ",""))-3)))</f>
        <v/>
      </c>
      <c r="M1932" s="21" t="str">
        <f aca="false">IF(A1932="","",IF(COUNTIF($A$9:A1932,A1932)=1,MAX($M$8:M1931)+1,""))</f>
        <v/>
      </c>
    </row>
    <row r="1933" customFormat="false" ht="15" hidden="false" customHeight="false" outlineLevel="0" collapsed="false">
      <c r="A1933" s="8"/>
      <c r="B1933" s="17"/>
      <c r="C1933" s="19"/>
      <c r="D1933" s="8"/>
      <c r="E1933" s="18"/>
      <c r="F1933" s="18"/>
      <c r="G1933" s="8"/>
      <c r="H1933" s="8"/>
      <c r="I1933" s="8"/>
      <c r="J1933" s="8"/>
      <c r="K1933" s="10" t="str">
        <f aca="false">IF(A1933="","",IF(ABS(SUMIFS($E$9:$E$2008,$A$9:$A$2008,A1933)-SUMIFS($F$9:$F$2008,$A$9:$A$2008,A1933))&lt;0.5,"Yes","No"))</f>
        <v/>
      </c>
      <c r="L1933" s="10" t="str">
        <f aca="false">IF(A1933="","",IF(IF(K1933="No","Does not balance | ","")&amp;IF(I1933="","Not approved | ",IF(UPPER(TRIM(H1933))=UPPER(TRIM(I1933)),"Self-approved | ",""))&amp;IF(J1933="","No support | ","")&amp;IF(WEEKDAY(B1933,2)&gt;5,"Weekend posting | ","")&amp;IF(COUNTIF(Settings!$A$14:$A$43,B1933)&gt;0,"Holiday posting | ","")&amp;IF(B1933&gt;Settings!$C$8,"Posted after close | ","")&amp;IF(OR(B1933&lt;Settings!$C$6,B1933&gt;Settings!$C$7),"Outside period | ","")&amp;IF(COUNTIF(Settings!$E$14:$E$43,C1933&amp;"")&gt;0,"Sensitive account | ","")&amp;IF(AND(MAX(N(E1933),N(F1933))&gt;=Settings!$C$9,MOD(MAX(N(E1933),N(F1933)),Settings!$C$10)=0),"Round amount | ","")="","",LEFT(IF(K1933="No","Does not balance | ","")&amp;IF(I1933="","Not approved | ",IF(UPPER(TRIM(H1933))=UPPER(TRIM(I1933)),"Self-approved | ",""))&amp;IF(J1933="","No support | ","")&amp;IF(WEEKDAY(B1933,2)&gt;5,"Weekend posting | ","")&amp;IF(COUNTIF(Settings!$A$14:$A$43,B1933)&gt;0,"Holiday posting | ","")&amp;IF(B1933&gt;Settings!$C$8,"Posted after close | ","")&amp;IF(OR(B1933&lt;Settings!$C$6,B1933&gt;Settings!$C$7),"Outside period | ","")&amp;IF(COUNTIF(Settings!$E$14:$E$43,C1933&amp;"")&gt;0,"Sensitive account | ","")&amp;IF(AND(MAX(N(E1933),N(F1933))&gt;=Settings!$C$9,MOD(MAX(N(E1933),N(F1933)),Settings!$C$10)=0),"Round amount | ",""),LEN(IF(K1933="No","Does not balance | ","")&amp;IF(I1933="","Not approved | ",IF(UPPER(TRIM(H1933))=UPPER(TRIM(I1933)),"Self-approved | ",""))&amp;IF(J1933="","No support | ","")&amp;IF(WEEKDAY(B1933,2)&gt;5,"Weekend posting | ","")&amp;IF(COUNTIF(Settings!$A$14:$A$43,B1933)&gt;0,"Holiday posting | ","")&amp;IF(B1933&gt;Settings!$C$8,"Posted after close | ","")&amp;IF(OR(B1933&lt;Settings!$C$6,B1933&gt;Settings!$C$7),"Outside period | ","")&amp;IF(COUNTIF(Settings!$E$14:$E$43,C1933&amp;"")&gt;0,"Sensitive account | ","")&amp;IF(AND(MAX(N(E1933),N(F1933))&gt;=Settings!$C$9,MOD(MAX(N(E1933),N(F1933)),Settings!$C$10)=0),"Round amount | ",""))-3)))</f>
        <v/>
      </c>
      <c r="M1933" s="21" t="str">
        <f aca="false">IF(A1933="","",IF(COUNTIF($A$9:A1933,A1933)=1,MAX($M$8:M1932)+1,""))</f>
        <v/>
      </c>
    </row>
    <row r="1934" customFormat="false" ht="15" hidden="false" customHeight="false" outlineLevel="0" collapsed="false">
      <c r="A1934" s="8"/>
      <c r="B1934" s="17"/>
      <c r="C1934" s="19"/>
      <c r="D1934" s="8"/>
      <c r="E1934" s="18"/>
      <c r="F1934" s="18"/>
      <c r="G1934" s="8"/>
      <c r="H1934" s="8"/>
      <c r="I1934" s="8"/>
      <c r="J1934" s="8"/>
      <c r="K1934" s="10" t="str">
        <f aca="false">IF(A1934="","",IF(ABS(SUMIFS($E$9:$E$2008,$A$9:$A$2008,A1934)-SUMIFS($F$9:$F$2008,$A$9:$A$2008,A1934))&lt;0.5,"Yes","No"))</f>
        <v/>
      </c>
      <c r="L1934" s="10" t="str">
        <f aca="false">IF(A1934="","",IF(IF(K1934="No","Does not balance | ","")&amp;IF(I1934="","Not approved | ",IF(UPPER(TRIM(H1934))=UPPER(TRIM(I1934)),"Self-approved | ",""))&amp;IF(J1934="","No support | ","")&amp;IF(WEEKDAY(B1934,2)&gt;5,"Weekend posting | ","")&amp;IF(COUNTIF(Settings!$A$14:$A$43,B1934)&gt;0,"Holiday posting | ","")&amp;IF(B1934&gt;Settings!$C$8,"Posted after close | ","")&amp;IF(OR(B1934&lt;Settings!$C$6,B1934&gt;Settings!$C$7),"Outside period | ","")&amp;IF(COUNTIF(Settings!$E$14:$E$43,C1934&amp;"")&gt;0,"Sensitive account | ","")&amp;IF(AND(MAX(N(E1934),N(F1934))&gt;=Settings!$C$9,MOD(MAX(N(E1934),N(F1934)),Settings!$C$10)=0),"Round amount | ","")="","",LEFT(IF(K1934="No","Does not balance | ","")&amp;IF(I1934="","Not approved | ",IF(UPPER(TRIM(H1934))=UPPER(TRIM(I1934)),"Self-approved | ",""))&amp;IF(J1934="","No support | ","")&amp;IF(WEEKDAY(B1934,2)&gt;5,"Weekend posting | ","")&amp;IF(COUNTIF(Settings!$A$14:$A$43,B1934)&gt;0,"Holiday posting | ","")&amp;IF(B1934&gt;Settings!$C$8,"Posted after close | ","")&amp;IF(OR(B1934&lt;Settings!$C$6,B1934&gt;Settings!$C$7),"Outside period | ","")&amp;IF(COUNTIF(Settings!$E$14:$E$43,C1934&amp;"")&gt;0,"Sensitive account | ","")&amp;IF(AND(MAX(N(E1934),N(F1934))&gt;=Settings!$C$9,MOD(MAX(N(E1934),N(F1934)),Settings!$C$10)=0),"Round amount | ",""),LEN(IF(K1934="No","Does not balance | ","")&amp;IF(I1934="","Not approved | ",IF(UPPER(TRIM(H1934))=UPPER(TRIM(I1934)),"Self-approved | ",""))&amp;IF(J1934="","No support | ","")&amp;IF(WEEKDAY(B1934,2)&gt;5,"Weekend posting | ","")&amp;IF(COUNTIF(Settings!$A$14:$A$43,B1934)&gt;0,"Holiday posting | ","")&amp;IF(B1934&gt;Settings!$C$8,"Posted after close | ","")&amp;IF(OR(B1934&lt;Settings!$C$6,B1934&gt;Settings!$C$7),"Outside period | ","")&amp;IF(COUNTIF(Settings!$E$14:$E$43,C1934&amp;"")&gt;0,"Sensitive account | ","")&amp;IF(AND(MAX(N(E1934),N(F1934))&gt;=Settings!$C$9,MOD(MAX(N(E1934),N(F1934)),Settings!$C$10)=0),"Round amount | ",""))-3)))</f>
        <v/>
      </c>
      <c r="M1934" s="21" t="str">
        <f aca="false">IF(A1934="","",IF(COUNTIF($A$9:A1934,A1934)=1,MAX($M$8:M1933)+1,""))</f>
        <v/>
      </c>
    </row>
    <row r="1935" customFormat="false" ht="15" hidden="false" customHeight="false" outlineLevel="0" collapsed="false">
      <c r="A1935" s="8"/>
      <c r="B1935" s="17"/>
      <c r="C1935" s="19"/>
      <c r="D1935" s="8"/>
      <c r="E1935" s="18"/>
      <c r="F1935" s="18"/>
      <c r="G1935" s="8"/>
      <c r="H1935" s="8"/>
      <c r="I1935" s="8"/>
      <c r="J1935" s="8"/>
      <c r="K1935" s="10" t="str">
        <f aca="false">IF(A1935="","",IF(ABS(SUMIFS($E$9:$E$2008,$A$9:$A$2008,A1935)-SUMIFS($F$9:$F$2008,$A$9:$A$2008,A1935))&lt;0.5,"Yes","No"))</f>
        <v/>
      </c>
      <c r="L1935" s="10" t="str">
        <f aca="false">IF(A1935="","",IF(IF(K1935="No","Does not balance | ","")&amp;IF(I1935="","Not approved | ",IF(UPPER(TRIM(H1935))=UPPER(TRIM(I1935)),"Self-approved | ",""))&amp;IF(J1935="","No support | ","")&amp;IF(WEEKDAY(B1935,2)&gt;5,"Weekend posting | ","")&amp;IF(COUNTIF(Settings!$A$14:$A$43,B1935)&gt;0,"Holiday posting | ","")&amp;IF(B1935&gt;Settings!$C$8,"Posted after close | ","")&amp;IF(OR(B1935&lt;Settings!$C$6,B1935&gt;Settings!$C$7),"Outside period | ","")&amp;IF(COUNTIF(Settings!$E$14:$E$43,C1935&amp;"")&gt;0,"Sensitive account | ","")&amp;IF(AND(MAX(N(E1935),N(F1935))&gt;=Settings!$C$9,MOD(MAX(N(E1935),N(F1935)),Settings!$C$10)=0),"Round amount | ","")="","",LEFT(IF(K1935="No","Does not balance | ","")&amp;IF(I1935="","Not approved | ",IF(UPPER(TRIM(H1935))=UPPER(TRIM(I1935)),"Self-approved | ",""))&amp;IF(J1935="","No support | ","")&amp;IF(WEEKDAY(B1935,2)&gt;5,"Weekend posting | ","")&amp;IF(COUNTIF(Settings!$A$14:$A$43,B1935)&gt;0,"Holiday posting | ","")&amp;IF(B1935&gt;Settings!$C$8,"Posted after close | ","")&amp;IF(OR(B1935&lt;Settings!$C$6,B1935&gt;Settings!$C$7),"Outside period | ","")&amp;IF(COUNTIF(Settings!$E$14:$E$43,C1935&amp;"")&gt;0,"Sensitive account | ","")&amp;IF(AND(MAX(N(E1935),N(F1935))&gt;=Settings!$C$9,MOD(MAX(N(E1935),N(F1935)),Settings!$C$10)=0),"Round amount | ",""),LEN(IF(K1935="No","Does not balance | ","")&amp;IF(I1935="","Not approved | ",IF(UPPER(TRIM(H1935))=UPPER(TRIM(I1935)),"Self-approved | ",""))&amp;IF(J1935="","No support | ","")&amp;IF(WEEKDAY(B1935,2)&gt;5,"Weekend posting | ","")&amp;IF(COUNTIF(Settings!$A$14:$A$43,B1935)&gt;0,"Holiday posting | ","")&amp;IF(B1935&gt;Settings!$C$8,"Posted after close | ","")&amp;IF(OR(B1935&lt;Settings!$C$6,B1935&gt;Settings!$C$7),"Outside period | ","")&amp;IF(COUNTIF(Settings!$E$14:$E$43,C1935&amp;"")&gt;0,"Sensitive account | ","")&amp;IF(AND(MAX(N(E1935),N(F1935))&gt;=Settings!$C$9,MOD(MAX(N(E1935),N(F1935)),Settings!$C$10)=0),"Round amount | ",""))-3)))</f>
        <v/>
      </c>
      <c r="M1935" s="21" t="str">
        <f aca="false">IF(A1935="","",IF(COUNTIF($A$9:A1935,A1935)=1,MAX($M$8:M1934)+1,""))</f>
        <v/>
      </c>
    </row>
    <row r="1936" customFormat="false" ht="15" hidden="false" customHeight="false" outlineLevel="0" collapsed="false">
      <c r="A1936" s="8"/>
      <c r="B1936" s="17"/>
      <c r="C1936" s="19"/>
      <c r="D1936" s="8"/>
      <c r="E1936" s="18"/>
      <c r="F1936" s="18"/>
      <c r="G1936" s="8"/>
      <c r="H1936" s="8"/>
      <c r="I1936" s="8"/>
      <c r="J1936" s="8"/>
      <c r="K1936" s="10" t="str">
        <f aca="false">IF(A1936="","",IF(ABS(SUMIFS($E$9:$E$2008,$A$9:$A$2008,A1936)-SUMIFS($F$9:$F$2008,$A$9:$A$2008,A1936))&lt;0.5,"Yes","No"))</f>
        <v/>
      </c>
      <c r="L1936" s="10" t="str">
        <f aca="false">IF(A1936="","",IF(IF(K1936="No","Does not balance | ","")&amp;IF(I1936="","Not approved | ",IF(UPPER(TRIM(H1936))=UPPER(TRIM(I1936)),"Self-approved | ",""))&amp;IF(J1936="","No support | ","")&amp;IF(WEEKDAY(B1936,2)&gt;5,"Weekend posting | ","")&amp;IF(COUNTIF(Settings!$A$14:$A$43,B1936)&gt;0,"Holiday posting | ","")&amp;IF(B1936&gt;Settings!$C$8,"Posted after close | ","")&amp;IF(OR(B1936&lt;Settings!$C$6,B1936&gt;Settings!$C$7),"Outside period | ","")&amp;IF(COUNTIF(Settings!$E$14:$E$43,C1936&amp;"")&gt;0,"Sensitive account | ","")&amp;IF(AND(MAX(N(E1936),N(F1936))&gt;=Settings!$C$9,MOD(MAX(N(E1936),N(F1936)),Settings!$C$10)=0),"Round amount | ","")="","",LEFT(IF(K1936="No","Does not balance | ","")&amp;IF(I1936="","Not approved | ",IF(UPPER(TRIM(H1936))=UPPER(TRIM(I1936)),"Self-approved | ",""))&amp;IF(J1936="","No support | ","")&amp;IF(WEEKDAY(B1936,2)&gt;5,"Weekend posting | ","")&amp;IF(COUNTIF(Settings!$A$14:$A$43,B1936)&gt;0,"Holiday posting | ","")&amp;IF(B1936&gt;Settings!$C$8,"Posted after close | ","")&amp;IF(OR(B1936&lt;Settings!$C$6,B1936&gt;Settings!$C$7),"Outside period | ","")&amp;IF(COUNTIF(Settings!$E$14:$E$43,C1936&amp;"")&gt;0,"Sensitive account | ","")&amp;IF(AND(MAX(N(E1936),N(F1936))&gt;=Settings!$C$9,MOD(MAX(N(E1936),N(F1936)),Settings!$C$10)=0),"Round amount | ",""),LEN(IF(K1936="No","Does not balance | ","")&amp;IF(I1936="","Not approved | ",IF(UPPER(TRIM(H1936))=UPPER(TRIM(I1936)),"Self-approved | ",""))&amp;IF(J1936="","No support | ","")&amp;IF(WEEKDAY(B1936,2)&gt;5,"Weekend posting | ","")&amp;IF(COUNTIF(Settings!$A$14:$A$43,B1936)&gt;0,"Holiday posting | ","")&amp;IF(B1936&gt;Settings!$C$8,"Posted after close | ","")&amp;IF(OR(B1936&lt;Settings!$C$6,B1936&gt;Settings!$C$7),"Outside period | ","")&amp;IF(COUNTIF(Settings!$E$14:$E$43,C1936&amp;"")&gt;0,"Sensitive account | ","")&amp;IF(AND(MAX(N(E1936),N(F1936))&gt;=Settings!$C$9,MOD(MAX(N(E1936),N(F1936)),Settings!$C$10)=0),"Round amount | ",""))-3)))</f>
        <v/>
      </c>
      <c r="M1936" s="21" t="str">
        <f aca="false">IF(A1936="","",IF(COUNTIF($A$9:A1936,A1936)=1,MAX($M$8:M1935)+1,""))</f>
        <v/>
      </c>
    </row>
    <row r="1937" customFormat="false" ht="15" hidden="false" customHeight="false" outlineLevel="0" collapsed="false">
      <c r="A1937" s="8"/>
      <c r="B1937" s="17"/>
      <c r="C1937" s="19"/>
      <c r="D1937" s="8"/>
      <c r="E1937" s="18"/>
      <c r="F1937" s="18"/>
      <c r="G1937" s="8"/>
      <c r="H1937" s="8"/>
      <c r="I1937" s="8"/>
      <c r="J1937" s="8"/>
      <c r="K1937" s="10" t="str">
        <f aca="false">IF(A1937="","",IF(ABS(SUMIFS($E$9:$E$2008,$A$9:$A$2008,A1937)-SUMIFS($F$9:$F$2008,$A$9:$A$2008,A1937))&lt;0.5,"Yes","No"))</f>
        <v/>
      </c>
      <c r="L1937" s="10" t="str">
        <f aca="false">IF(A1937="","",IF(IF(K1937="No","Does not balance | ","")&amp;IF(I1937="","Not approved | ",IF(UPPER(TRIM(H1937))=UPPER(TRIM(I1937)),"Self-approved | ",""))&amp;IF(J1937="","No support | ","")&amp;IF(WEEKDAY(B1937,2)&gt;5,"Weekend posting | ","")&amp;IF(COUNTIF(Settings!$A$14:$A$43,B1937)&gt;0,"Holiday posting | ","")&amp;IF(B1937&gt;Settings!$C$8,"Posted after close | ","")&amp;IF(OR(B1937&lt;Settings!$C$6,B1937&gt;Settings!$C$7),"Outside period | ","")&amp;IF(COUNTIF(Settings!$E$14:$E$43,C1937&amp;"")&gt;0,"Sensitive account | ","")&amp;IF(AND(MAX(N(E1937),N(F1937))&gt;=Settings!$C$9,MOD(MAX(N(E1937),N(F1937)),Settings!$C$10)=0),"Round amount | ","")="","",LEFT(IF(K1937="No","Does not balance | ","")&amp;IF(I1937="","Not approved | ",IF(UPPER(TRIM(H1937))=UPPER(TRIM(I1937)),"Self-approved | ",""))&amp;IF(J1937="","No support | ","")&amp;IF(WEEKDAY(B1937,2)&gt;5,"Weekend posting | ","")&amp;IF(COUNTIF(Settings!$A$14:$A$43,B1937)&gt;0,"Holiday posting | ","")&amp;IF(B1937&gt;Settings!$C$8,"Posted after close | ","")&amp;IF(OR(B1937&lt;Settings!$C$6,B1937&gt;Settings!$C$7),"Outside period | ","")&amp;IF(COUNTIF(Settings!$E$14:$E$43,C1937&amp;"")&gt;0,"Sensitive account | ","")&amp;IF(AND(MAX(N(E1937),N(F1937))&gt;=Settings!$C$9,MOD(MAX(N(E1937),N(F1937)),Settings!$C$10)=0),"Round amount | ",""),LEN(IF(K1937="No","Does not balance | ","")&amp;IF(I1937="","Not approved | ",IF(UPPER(TRIM(H1937))=UPPER(TRIM(I1937)),"Self-approved | ",""))&amp;IF(J1937="","No support | ","")&amp;IF(WEEKDAY(B1937,2)&gt;5,"Weekend posting | ","")&amp;IF(COUNTIF(Settings!$A$14:$A$43,B1937)&gt;0,"Holiday posting | ","")&amp;IF(B1937&gt;Settings!$C$8,"Posted after close | ","")&amp;IF(OR(B1937&lt;Settings!$C$6,B1937&gt;Settings!$C$7),"Outside period | ","")&amp;IF(COUNTIF(Settings!$E$14:$E$43,C1937&amp;"")&gt;0,"Sensitive account | ","")&amp;IF(AND(MAX(N(E1937),N(F1937))&gt;=Settings!$C$9,MOD(MAX(N(E1937),N(F1937)),Settings!$C$10)=0),"Round amount | ",""))-3)))</f>
        <v/>
      </c>
      <c r="M1937" s="21" t="str">
        <f aca="false">IF(A1937="","",IF(COUNTIF($A$9:A1937,A1937)=1,MAX($M$8:M1936)+1,""))</f>
        <v/>
      </c>
    </row>
    <row r="1938" customFormat="false" ht="15" hidden="false" customHeight="false" outlineLevel="0" collapsed="false">
      <c r="A1938" s="8"/>
      <c r="B1938" s="17"/>
      <c r="C1938" s="19"/>
      <c r="D1938" s="8"/>
      <c r="E1938" s="18"/>
      <c r="F1938" s="18"/>
      <c r="G1938" s="8"/>
      <c r="H1938" s="8"/>
      <c r="I1938" s="8"/>
      <c r="J1938" s="8"/>
      <c r="K1938" s="10" t="str">
        <f aca="false">IF(A1938="","",IF(ABS(SUMIFS($E$9:$E$2008,$A$9:$A$2008,A1938)-SUMIFS($F$9:$F$2008,$A$9:$A$2008,A1938))&lt;0.5,"Yes","No"))</f>
        <v/>
      </c>
      <c r="L1938" s="10" t="str">
        <f aca="false">IF(A1938="","",IF(IF(K1938="No","Does not balance | ","")&amp;IF(I1938="","Not approved | ",IF(UPPER(TRIM(H1938))=UPPER(TRIM(I1938)),"Self-approved | ",""))&amp;IF(J1938="","No support | ","")&amp;IF(WEEKDAY(B1938,2)&gt;5,"Weekend posting | ","")&amp;IF(COUNTIF(Settings!$A$14:$A$43,B1938)&gt;0,"Holiday posting | ","")&amp;IF(B1938&gt;Settings!$C$8,"Posted after close | ","")&amp;IF(OR(B1938&lt;Settings!$C$6,B1938&gt;Settings!$C$7),"Outside period | ","")&amp;IF(COUNTIF(Settings!$E$14:$E$43,C1938&amp;"")&gt;0,"Sensitive account | ","")&amp;IF(AND(MAX(N(E1938),N(F1938))&gt;=Settings!$C$9,MOD(MAX(N(E1938),N(F1938)),Settings!$C$10)=0),"Round amount | ","")="","",LEFT(IF(K1938="No","Does not balance | ","")&amp;IF(I1938="","Not approved | ",IF(UPPER(TRIM(H1938))=UPPER(TRIM(I1938)),"Self-approved | ",""))&amp;IF(J1938="","No support | ","")&amp;IF(WEEKDAY(B1938,2)&gt;5,"Weekend posting | ","")&amp;IF(COUNTIF(Settings!$A$14:$A$43,B1938)&gt;0,"Holiday posting | ","")&amp;IF(B1938&gt;Settings!$C$8,"Posted after close | ","")&amp;IF(OR(B1938&lt;Settings!$C$6,B1938&gt;Settings!$C$7),"Outside period | ","")&amp;IF(COUNTIF(Settings!$E$14:$E$43,C1938&amp;"")&gt;0,"Sensitive account | ","")&amp;IF(AND(MAX(N(E1938),N(F1938))&gt;=Settings!$C$9,MOD(MAX(N(E1938),N(F1938)),Settings!$C$10)=0),"Round amount | ",""),LEN(IF(K1938="No","Does not balance | ","")&amp;IF(I1938="","Not approved | ",IF(UPPER(TRIM(H1938))=UPPER(TRIM(I1938)),"Self-approved | ",""))&amp;IF(J1938="","No support | ","")&amp;IF(WEEKDAY(B1938,2)&gt;5,"Weekend posting | ","")&amp;IF(COUNTIF(Settings!$A$14:$A$43,B1938)&gt;0,"Holiday posting | ","")&amp;IF(B1938&gt;Settings!$C$8,"Posted after close | ","")&amp;IF(OR(B1938&lt;Settings!$C$6,B1938&gt;Settings!$C$7),"Outside period | ","")&amp;IF(COUNTIF(Settings!$E$14:$E$43,C1938&amp;"")&gt;0,"Sensitive account | ","")&amp;IF(AND(MAX(N(E1938),N(F1938))&gt;=Settings!$C$9,MOD(MAX(N(E1938),N(F1938)),Settings!$C$10)=0),"Round amount | ",""))-3)))</f>
        <v/>
      </c>
      <c r="M1938" s="21" t="str">
        <f aca="false">IF(A1938="","",IF(COUNTIF($A$9:A1938,A1938)=1,MAX($M$8:M1937)+1,""))</f>
        <v/>
      </c>
    </row>
    <row r="1939" customFormat="false" ht="15" hidden="false" customHeight="false" outlineLevel="0" collapsed="false">
      <c r="A1939" s="8"/>
      <c r="B1939" s="17"/>
      <c r="C1939" s="19"/>
      <c r="D1939" s="8"/>
      <c r="E1939" s="18"/>
      <c r="F1939" s="18"/>
      <c r="G1939" s="8"/>
      <c r="H1939" s="8"/>
      <c r="I1939" s="8"/>
      <c r="J1939" s="8"/>
      <c r="K1939" s="10" t="str">
        <f aca="false">IF(A1939="","",IF(ABS(SUMIFS($E$9:$E$2008,$A$9:$A$2008,A1939)-SUMIFS($F$9:$F$2008,$A$9:$A$2008,A1939))&lt;0.5,"Yes","No"))</f>
        <v/>
      </c>
      <c r="L1939" s="10" t="str">
        <f aca="false">IF(A1939="","",IF(IF(K1939="No","Does not balance | ","")&amp;IF(I1939="","Not approved | ",IF(UPPER(TRIM(H1939))=UPPER(TRIM(I1939)),"Self-approved | ",""))&amp;IF(J1939="","No support | ","")&amp;IF(WEEKDAY(B1939,2)&gt;5,"Weekend posting | ","")&amp;IF(COUNTIF(Settings!$A$14:$A$43,B1939)&gt;0,"Holiday posting | ","")&amp;IF(B1939&gt;Settings!$C$8,"Posted after close | ","")&amp;IF(OR(B1939&lt;Settings!$C$6,B1939&gt;Settings!$C$7),"Outside period | ","")&amp;IF(COUNTIF(Settings!$E$14:$E$43,C1939&amp;"")&gt;0,"Sensitive account | ","")&amp;IF(AND(MAX(N(E1939),N(F1939))&gt;=Settings!$C$9,MOD(MAX(N(E1939),N(F1939)),Settings!$C$10)=0),"Round amount | ","")="","",LEFT(IF(K1939="No","Does not balance | ","")&amp;IF(I1939="","Not approved | ",IF(UPPER(TRIM(H1939))=UPPER(TRIM(I1939)),"Self-approved | ",""))&amp;IF(J1939="","No support | ","")&amp;IF(WEEKDAY(B1939,2)&gt;5,"Weekend posting | ","")&amp;IF(COUNTIF(Settings!$A$14:$A$43,B1939)&gt;0,"Holiday posting | ","")&amp;IF(B1939&gt;Settings!$C$8,"Posted after close | ","")&amp;IF(OR(B1939&lt;Settings!$C$6,B1939&gt;Settings!$C$7),"Outside period | ","")&amp;IF(COUNTIF(Settings!$E$14:$E$43,C1939&amp;"")&gt;0,"Sensitive account | ","")&amp;IF(AND(MAX(N(E1939),N(F1939))&gt;=Settings!$C$9,MOD(MAX(N(E1939),N(F1939)),Settings!$C$10)=0),"Round amount | ",""),LEN(IF(K1939="No","Does not balance | ","")&amp;IF(I1939="","Not approved | ",IF(UPPER(TRIM(H1939))=UPPER(TRIM(I1939)),"Self-approved | ",""))&amp;IF(J1939="","No support | ","")&amp;IF(WEEKDAY(B1939,2)&gt;5,"Weekend posting | ","")&amp;IF(COUNTIF(Settings!$A$14:$A$43,B1939)&gt;0,"Holiday posting | ","")&amp;IF(B1939&gt;Settings!$C$8,"Posted after close | ","")&amp;IF(OR(B1939&lt;Settings!$C$6,B1939&gt;Settings!$C$7),"Outside period | ","")&amp;IF(COUNTIF(Settings!$E$14:$E$43,C1939&amp;"")&gt;0,"Sensitive account | ","")&amp;IF(AND(MAX(N(E1939),N(F1939))&gt;=Settings!$C$9,MOD(MAX(N(E1939),N(F1939)),Settings!$C$10)=0),"Round amount | ",""))-3)))</f>
        <v/>
      </c>
      <c r="M1939" s="21" t="str">
        <f aca="false">IF(A1939="","",IF(COUNTIF($A$9:A1939,A1939)=1,MAX($M$8:M1938)+1,""))</f>
        <v/>
      </c>
    </row>
    <row r="1940" customFormat="false" ht="15" hidden="false" customHeight="false" outlineLevel="0" collapsed="false">
      <c r="A1940" s="8"/>
      <c r="B1940" s="17"/>
      <c r="C1940" s="19"/>
      <c r="D1940" s="8"/>
      <c r="E1940" s="18"/>
      <c r="F1940" s="18"/>
      <c r="G1940" s="8"/>
      <c r="H1940" s="8"/>
      <c r="I1940" s="8"/>
      <c r="J1940" s="8"/>
      <c r="K1940" s="10" t="str">
        <f aca="false">IF(A1940="","",IF(ABS(SUMIFS($E$9:$E$2008,$A$9:$A$2008,A1940)-SUMIFS($F$9:$F$2008,$A$9:$A$2008,A1940))&lt;0.5,"Yes","No"))</f>
        <v/>
      </c>
      <c r="L1940" s="10" t="str">
        <f aca="false">IF(A1940="","",IF(IF(K1940="No","Does not balance | ","")&amp;IF(I1940="","Not approved | ",IF(UPPER(TRIM(H1940))=UPPER(TRIM(I1940)),"Self-approved | ",""))&amp;IF(J1940="","No support | ","")&amp;IF(WEEKDAY(B1940,2)&gt;5,"Weekend posting | ","")&amp;IF(COUNTIF(Settings!$A$14:$A$43,B1940)&gt;0,"Holiday posting | ","")&amp;IF(B1940&gt;Settings!$C$8,"Posted after close | ","")&amp;IF(OR(B1940&lt;Settings!$C$6,B1940&gt;Settings!$C$7),"Outside period | ","")&amp;IF(COUNTIF(Settings!$E$14:$E$43,C1940&amp;"")&gt;0,"Sensitive account | ","")&amp;IF(AND(MAX(N(E1940),N(F1940))&gt;=Settings!$C$9,MOD(MAX(N(E1940),N(F1940)),Settings!$C$10)=0),"Round amount | ","")="","",LEFT(IF(K1940="No","Does not balance | ","")&amp;IF(I1940="","Not approved | ",IF(UPPER(TRIM(H1940))=UPPER(TRIM(I1940)),"Self-approved | ",""))&amp;IF(J1940="","No support | ","")&amp;IF(WEEKDAY(B1940,2)&gt;5,"Weekend posting | ","")&amp;IF(COUNTIF(Settings!$A$14:$A$43,B1940)&gt;0,"Holiday posting | ","")&amp;IF(B1940&gt;Settings!$C$8,"Posted after close | ","")&amp;IF(OR(B1940&lt;Settings!$C$6,B1940&gt;Settings!$C$7),"Outside period | ","")&amp;IF(COUNTIF(Settings!$E$14:$E$43,C1940&amp;"")&gt;0,"Sensitive account | ","")&amp;IF(AND(MAX(N(E1940),N(F1940))&gt;=Settings!$C$9,MOD(MAX(N(E1940),N(F1940)),Settings!$C$10)=0),"Round amount | ",""),LEN(IF(K1940="No","Does not balance | ","")&amp;IF(I1940="","Not approved | ",IF(UPPER(TRIM(H1940))=UPPER(TRIM(I1940)),"Self-approved | ",""))&amp;IF(J1940="","No support | ","")&amp;IF(WEEKDAY(B1940,2)&gt;5,"Weekend posting | ","")&amp;IF(COUNTIF(Settings!$A$14:$A$43,B1940)&gt;0,"Holiday posting | ","")&amp;IF(B1940&gt;Settings!$C$8,"Posted after close | ","")&amp;IF(OR(B1940&lt;Settings!$C$6,B1940&gt;Settings!$C$7),"Outside period | ","")&amp;IF(COUNTIF(Settings!$E$14:$E$43,C1940&amp;"")&gt;0,"Sensitive account | ","")&amp;IF(AND(MAX(N(E1940),N(F1940))&gt;=Settings!$C$9,MOD(MAX(N(E1940),N(F1940)),Settings!$C$10)=0),"Round amount | ",""))-3)))</f>
        <v/>
      </c>
      <c r="M1940" s="21" t="str">
        <f aca="false">IF(A1940="","",IF(COUNTIF($A$9:A1940,A1940)=1,MAX($M$8:M1939)+1,""))</f>
        <v/>
      </c>
    </row>
    <row r="1941" customFormat="false" ht="15" hidden="false" customHeight="false" outlineLevel="0" collapsed="false">
      <c r="A1941" s="8"/>
      <c r="B1941" s="17"/>
      <c r="C1941" s="19"/>
      <c r="D1941" s="8"/>
      <c r="E1941" s="18"/>
      <c r="F1941" s="18"/>
      <c r="G1941" s="8"/>
      <c r="H1941" s="8"/>
      <c r="I1941" s="8"/>
      <c r="J1941" s="8"/>
      <c r="K1941" s="10" t="str">
        <f aca="false">IF(A1941="","",IF(ABS(SUMIFS($E$9:$E$2008,$A$9:$A$2008,A1941)-SUMIFS($F$9:$F$2008,$A$9:$A$2008,A1941))&lt;0.5,"Yes","No"))</f>
        <v/>
      </c>
      <c r="L1941" s="10" t="str">
        <f aca="false">IF(A1941="","",IF(IF(K1941="No","Does not balance | ","")&amp;IF(I1941="","Not approved | ",IF(UPPER(TRIM(H1941))=UPPER(TRIM(I1941)),"Self-approved | ",""))&amp;IF(J1941="","No support | ","")&amp;IF(WEEKDAY(B1941,2)&gt;5,"Weekend posting | ","")&amp;IF(COUNTIF(Settings!$A$14:$A$43,B1941)&gt;0,"Holiday posting | ","")&amp;IF(B1941&gt;Settings!$C$8,"Posted after close | ","")&amp;IF(OR(B1941&lt;Settings!$C$6,B1941&gt;Settings!$C$7),"Outside period | ","")&amp;IF(COUNTIF(Settings!$E$14:$E$43,C1941&amp;"")&gt;0,"Sensitive account | ","")&amp;IF(AND(MAX(N(E1941),N(F1941))&gt;=Settings!$C$9,MOD(MAX(N(E1941),N(F1941)),Settings!$C$10)=0),"Round amount | ","")="","",LEFT(IF(K1941="No","Does not balance | ","")&amp;IF(I1941="","Not approved | ",IF(UPPER(TRIM(H1941))=UPPER(TRIM(I1941)),"Self-approved | ",""))&amp;IF(J1941="","No support | ","")&amp;IF(WEEKDAY(B1941,2)&gt;5,"Weekend posting | ","")&amp;IF(COUNTIF(Settings!$A$14:$A$43,B1941)&gt;0,"Holiday posting | ","")&amp;IF(B1941&gt;Settings!$C$8,"Posted after close | ","")&amp;IF(OR(B1941&lt;Settings!$C$6,B1941&gt;Settings!$C$7),"Outside period | ","")&amp;IF(COUNTIF(Settings!$E$14:$E$43,C1941&amp;"")&gt;0,"Sensitive account | ","")&amp;IF(AND(MAX(N(E1941),N(F1941))&gt;=Settings!$C$9,MOD(MAX(N(E1941),N(F1941)),Settings!$C$10)=0),"Round amount | ",""),LEN(IF(K1941="No","Does not balance | ","")&amp;IF(I1941="","Not approved | ",IF(UPPER(TRIM(H1941))=UPPER(TRIM(I1941)),"Self-approved | ",""))&amp;IF(J1941="","No support | ","")&amp;IF(WEEKDAY(B1941,2)&gt;5,"Weekend posting | ","")&amp;IF(COUNTIF(Settings!$A$14:$A$43,B1941)&gt;0,"Holiday posting | ","")&amp;IF(B1941&gt;Settings!$C$8,"Posted after close | ","")&amp;IF(OR(B1941&lt;Settings!$C$6,B1941&gt;Settings!$C$7),"Outside period | ","")&amp;IF(COUNTIF(Settings!$E$14:$E$43,C1941&amp;"")&gt;0,"Sensitive account | ","")&amp;IF(AND(MAX(N(E1941),N(F1941))&gt;=Settings!$C$9,MOD(MAX(N(E1941),N(F1941)),Settings!$C$10)=0),"Round amount | ",""))-3)))</f>
        <v/>
      </c>
      <c r="M1941" s="21" t="str">
        <f aca="false">IF(A1941="","",IF(COUNTIF($A$9:A1941,A1941)=1,MAX($M$8:M1940)+1,""))</f>
        <v/>
      </c>
    </row>
    <row r="1942" customFormat="false" ht="15" hidden="false" customHeight="false" outlineLevel="0" collapsed="false">
      <c r="A1942" s="8"/>
      <c r="B1942" s="17"/>
      <c r="C1942" s="19"/>
      <c r="D1942" s="8"/>
      <c r="E1942" s="18"/>
      <c r="F1942" s="18"/>
      <c r="G1942" s="8"/>
      <c r="H1942" s="8"/>
      <c r="I1942" s="8"/>
      <c r="J1942" s="8"/>
      <c r="K1942" s="10" t="str">
        <f aca="false">IF(A1942="","",IF(ABS(SUMIFS($E$9:$E$2008,$A$9:$A$2008,A1942)-SUMIFS($F$9:$F$2008,$A$9:$A$2008,A1942))&lt;0.5,"Yes","No"))</f>
        <v/>
      </c>
      <c r="L1942" s="10" t="str">
        <f aca="false">IF(A1942="","",IF(IF(K1942="No","Does not balance | ","")&amp;IF(I1942="","Not approved | ",IF(UPPER(TRIM(H1942))=UPPER(TRIM(I1942)),"Self-approved | ",""))&amp;IF(J1942="","No support | ","")&amp;IF(WEEKDAY(B1942,2)&gt;5,"Weekend posting | ","")&amp;IF(COUNTIF(Settings!$A$14:$A$43,B1942)&gt;0,"Holiday posting | ","")&amp;IF(B1942&gt;Settings!$C$8,"Posted after close | ","")&amp;IF(OR(B1942&lt;Settings!$C$6,B1942&gt;Settings!$C$7),"Outside period | ","")&amp;IF(COUNTIF(Settings!$E$14:$E$43,C1942&amp;"")&gt;0,"Sensitive account | ","")&amp;IF(AND(MAX(N(E1942),N(F1942))&gt;=Settings!$C$9,MOD(MAX(N(E1942),N(F1942)),Settings!$C$10)=0),"Round amount | ","")="","",LEFT(IF(K1942="No","Does not balance | ","")&amp;IF(I1942="","Not approved | ",IF(UPPER(TRIM(H1942))=UPPER(TRIM(I1942)),"Self-approved | ",""))&amp;IF(J1942="","No support | ","")&amp;IF(WEEKDAY(B1942,2)&gt;5,"Weekend posting | ","")&amp;IF(COUNTIF(Settings!$A$14:$A$43,B1942)&gt;0,"Holiday posting | ","")&amp;IF(B1942&gt;Settings!$C$8,"Posted after close | ","")&amp;IF(OR(B1942&lt;Settings!$C$6,B1942&gt;Settings!$C$7),"Outside period | ","")&amp;IF(COUNTIF(Settings!$E$14:$E$43,C1942&amp;"")&gt;0,"Sensitive account | ","")&amp;IF(AND(MAX(N(E1942),N(F1942))&gt;=Settings!$C$9,MOD(MAX(N(E1942),N(F1942)),Settings!$C$10)=0),"Round amount | ",""),LEN(IF(K1942="No","Does not balance | ","")&amp;IF(I1942="","Not approved | ",IF(UPPER(TRIM(H1942))=UPPER(TRIM(I1942)),"Self-approved | ",""))&amp;IF(J1942="","No support | ","")&amp;IF(WEEKDAY(B1942,2)&gt;5,"Weekend posting | ","")&amp;IF(COUNTIF(Settings!$A$14:$A$43,B1942)&gt;0,"Holiday posting | ","")&amp;IF(B1942&gt;Settings!$C$8,"Posted after close | ","")&amp;IF(OR(B1942&lt;Settings!$C$6,B1942&gt;Settings!$C$7),"Outside period | ","")&amp;IF(COUNTIF(Settings!$E$14:$E$43,C1942&amp;"")&gt;0,"Sensitive account | ","")&amp;IF(AND(MAX(N(E1942),N(F1942))&gt;=Settings!$C$9,MOD(MAX(N(E1942),N(F1942)),Settings!$C$10)=0),"Round amount | ",""))-3)))</f>
        <v/>
      </c>
      <c r="M1942" s="21" t="str">
        <f aca="false">IF(A1942="","",IF(COUNTIF($A$9:A1942,A1942)=1,MAX($M$8:M1941)+1,""))</f>
        <v/>
      </c>
    </row>
    <row r="1943" customFormat="false" ht="15" hidden="false" customHeight="false" outlineLevel="0" collapsed="false">
      <c r="A1943" s="8"/>
      <c r="B1943" s="17"/>
      <c r="C1943" s="19"/>
      <c r="D1943" s="8"/>
      <c r="E1943" s="18"/>
      <c r="F1943" s="18"/>
      <c r="G1943" s="8"/>
      <c r="H1943" s="8"/>
      <c r="I1943" s="8"/>
      <c r="J1943" s="8"/>
      <c r="K1943" s="10" t="str">
        <f aca="false">IF(A1943="","",IF(ABS(SUMIFS($E$9:$E$2008,$A$9:$A$2008,A1943)-SUMIFS($F$9:$F$2008,$A$9:$A$2008,A1943))&lt;0.5,"Yes","No"))</f>
        <v/>
      </c>
      <c r="L1943" s="10" t="str">
        <f aca="false">IF(A1943="","",IF(IF(K1943="No","Does not balance | ","")&amp;IF(I1943="","Not approved | ",IF(UPPER(TRIM(H1943))=UPPER(TRIM(I1943)),"Self-approved | ",""))&amp;IF(J1943="","No support | ","")&amp;IF(WEEKDAY(B1943,2)&gt;5,"Weekend posting | ","")&amp;IF(COUNTIF(Settings!$A$14:$A$43,B1943)&gt;0,"Holiday posting | ","")&amp;IF(B1943&gt;Settings!$C$8,"Posted after close | ","")&amp;IF(OR(B1943&lt;Settings!$C$6,B1943&gt;Settings!$C$7),"Outside period | ","")&amp;IF(COUNTIF(Settings!$E$14:$E$43,C1943&amp;"")&gt;0,"Sensitive account | ","")&amp;IF(AND(MAX(N(E1943),N(F1943))&gt;=Settings!$C$9,MOD(MAX(N(E1943),N(F1943)),Settings!$C$10)=0),"Round amount | ","")="","",LEFT(IF(K1943="No","Does not balance | ","")&amp;IF(I1943="","Not approved | ",IF(UPPER(TRIM(H1943))=UPPER(TRIM(I1943)),"Self-approved | ",""))&amp;IF(J1943="","No support | ","")&amp;IF(WEEKDAY(B1943,2)&gt;5,"Weekend posting | ","")&amp;IF(COUNTIF(Settings!$A$14:$A$43,B1943)&gt;0,"Holiday posting | ","")&amp;IF(B1943&gt;Settings!$C$8,"Posted after close | ","")&amp;IF(OR(B1943&lt;Settings!$C$6,B1943&gt;Settings!$C$7),"Outside period | ","")&amp;IF(COUNTIF(Settings!$E$14:$E$43,C1943&amp;"")&gt;0,"Sensitive account | ","")&amp;IF(AND(MAX(N(E1943),N(F1943))&gt;=Settings!$C$9,MOD(MAX(N(E1943),N(F1943)),Settings!$C$10)=0),"Round amount | ",""),LEN(IF(K1943="No","Does not balance | ","")&amp;IF(I1943="","Not approved | ",IF(UPPER(TRIM(H1943))=UPPER(TRIM(I1943)),"Self-approved | ",""))&amp;IF(J1943="","No support | ","")&amp;IF(WEEKDAY(B1943,2)&gt;5,"Weekend posting | ","")&amp;IF(COUNTIF(Settings!$A$14:$A$43,B1943)&gt;0,"Holiday posting | ","")&amp;IF(B1943&gt;Settings!$C$8,"Posted after close | ","")&amp;IF(OR(B1943&lt;Settings!$C$6,B1943&gt;Settings!$C$7),"Outside period | ","")&amp;IF(COUNTIF(Settings!$E$14:$E$43,C1943&amp;"")&gt;0,"Sensitive account | ","")&amp;IF(AND(MAX(N(E1943),N(F1943))&gt;=Settings!$C$9,MOD(MAX(N(E1943),N(F1943)),Settings!$C$10)=0),"Round amount | ",""))-3)))</f>
        <v/>
      </c>
      <c r="M1943" s="21" t="str">
        <f aca="false">IF(A1943="","",IF(COUNTIF($A$9:A1943,A1943)=1,MAX($M$8:M1942)+1,""))</f>
        <v/>
      </c>
    </row>
    <row r="1944" customFormat="false" ht="15" hidden="false" customHeight="false" outlineLevel="0" collapsed="false">
      <c r="A1944" s="8"/>
      <c r="B1944" s="17"/>
      <c r="C1944" s="19"/>
      <c r="D1944" s="8"/>
      <c r="E1944" s="18"/>
      <c r="F1944" s="18"/>
      <c r="G1944" s="8"/>
      <c r="H1944" s="8"/>
      <c r="I1944" s="8"/>
      <c r="J1944" s="8"/>
      <c r="K1944" s="10" t="str">
        <f aca="false">IF(A1944="","",IF(ABS(SUMIFS($E$9:$E$2008,$A$9:$A$2008,A1944)-SUMIFS($F$9:$F$2008,$A$9:$A$2008,A1944))&lt;0.5,"Yes","No"))</f>
        <v/>
      </c>
      <c r="L1944" s="10" t="str">
        <f aca="false">IF(A1944="","",IF(IF(K1944="No","Does not balance | ","")&amp;IF(I1944="","Not approved | ",IF(UPPER(TRIM(H1944))=UPPER(TRIM(I1944)),"Self-approved | ",""))&amp;IF(J1944="","No support | ","")&amp;IF(WEEKDAY(B1944,2)&gt;5,"Weekend posting | ","")&amp;IF(COUNTIF(Settings!$A$14:$A$43,B1944)&gt;0,"Holiday posting | ","")&amp;IF(B1944&gt;Settings!$C$8,"Posted after close | ","")&amp;IF(OR(B1944&lt;Settings!$C$6,B1944&gt;Settings!$C$7),"Outside period | ","")&amp;IF(COUNTIF(Settings!$E$14:$E$43,C1944&amp;"")&gt;0,"Sensitive account | ","")&amp;IF(AND(MAX(N(E1944),N(F1944))&gt;=Settings!$C$9,MOD(MAX(N(E1944),N(F1944)),Settings!$C$10)=0),"Round amount | ","")="","",LEFT(IF(K1944="No","Does not balance | ","")&amp;IF(I1944="","Not approved | ",IF(UPPER(TRIM(H1944))=UPPER(TRIM(I1944)),"Self-approved | ",""))&amp;IF(J1944="","No support | ","")&amp;IF(WEEKDAY(B1944,2)&gt;5,"Weekend posting | ","")&amp;IF(COUNTIF(Settings!$A$14:$A$43,B1944)&gt;0,"Holiday posting | ","")&amp;IF(B1944&gt;Settings!$C$8,"Posted after close | ","")&amp;IF(OR(B1944&lt;Settings!$C$6,B1944&gt;Settings!$C$7),"Outside period | ","")&amp;IF(COUNTIF(Settings!$E$14:$E$43,C1944&amp;"")&gt;0,"Sensitive account | ","")&amp;IF(AND(MAX(N(E1944),N(F1944))&gt;=Settings!$C$9,MOD(MAX(N(E1944),N(F1944)),Settings!$C$10)=0),"Round amount | ",""),LEN(IF(K1944="No","Does not balance | ","")&amp;IF(I1944="","Not approved | ",IF(UPPER(TRIM(H1944))=UPPER(TRIM(I1944)),"Self-approved | ",""))&amp;IF(J1944="","No support | ","")&amp;IF(WEEKDAY(B1944,2)&gt;5,"Weekend posting | ","")&amp;IF(COUNTIF(Settings!$A$14:$A$43,B1944)&gt;0,"Holiday posting | ","")&amp;IF(B1944&gt;Settings!$C$8,"Posted after close | ","")&amp;IF(OR(B1944&lt;Settings!$C$6,B1944&gt;Settings!$C$7),"Outside period | ","")&amp;IF(COUNTIF(Settings!$E$14:$E$43,C1944&amp;"")&gt;0,"Sensitive account | ","")&amp;IF(AND(MAX(N(E1944),N(F1944))&gt;=Settings!$C$9,MOD(MAX(N(E1944),N(F1944)),Settings!$C$10)=0),"Round amount | ",""))-3)))</f>
        <v/>
      </c>
      <c r="M1944" s="21" t="str">
        <f aca="false">IF(A1944="","",IF(COUNTIF($A$9:A1944,A1944)=1,MAX($M$8:M1943)+1,""))</f>
        <v/>
      </c>
    </row>
    <row r="1945" customFormat="false" ht="15" hidden="false" customHeight="false" outlineLevel="0" collapsed="false">
      <c r="A1945" s="8"/>
      <c r="B1945" s="17"/>
      <c r="C1945" s="19"/>
      <c r="D1945" s="8"/>
      <c r="E1945" s="18"/>
      <c r="F1945" s="18"/>
      <c r="G1945" s="8"/>
      <c r="H1945" s="8"/>
      <c r="I1945" s="8"/>
      <c r="J1945" s="8"/>
      <c r="K1945" s="10" t="str">
        <f aca="false">IF(A1945="","",IF(ABS(SUMIFS($E$9:$E$2008,$A$9:$A$2008,A1945)-SUMIFS($F$9:$F$2008,$A$9:$A$2008,A1945))&lt;0.5,"Yes","No"))</f>
        <v/>
      </c>
      <c r="L1945" s="10" t="str">
        <f aca="false">IF(A1945="","",IF(IF(K1945="No","Does not balance | ","")&amp;IF(I1945="","Not approved | ",IF(UPPER(TRIM(H1945))=UPPER(TRIM(I1945)),"Self-approved | ",""))&amp;IF(J1945="","No support | ","")&amp;IF(WEEKDAY(B1945,2)&gt;5,"Weekend posting | ","")&amp;IF(COUNTIF(Settings!$A$14:$A$43,B1945)&gt;0,"Holiday posting | ","")&amp;IF(B1945&gt;Settings!$C$8,"Posted after close | ","")&amp;IF(OR(B1945&lt;Settings!$C$6,B1945&gt;Settings!$C$7),"Outside period | ","")&amp;IF(COUNTIF(Settings!$E$14:$E$43,C1945&amp;"")&gt;0,"Sensitive account | ","")&amp;IF(AND(MAX(N(E1945),N(F1945))&gt;=Settings!$C$9,MOD(MAX(N(E1945),N(F1945)),Settings!$C$10)=0),"Round amount | ","")="","",LEFT(IF(K1945="No","Does not balance | ","")&amp;IF(I1945="","Not approved | ",IF(UPPER(TRIM(H1945))=UPPER(TRIM(I1945)),"Self-approved | ",""))&amp;IF(J1945="","No support | ","")&amp;IF(WEEKDAY(B1945,2)&gt;5,"Weekend posting | ","")&amp;IF(COUNTIF(Settings!$A$14:$A$43,B1945)&gt;0,"Holiday posting | ","")&amp;IF(B1945&gt;Settings!$C$8,"Posted after close | ","")&amp;IF(OR(B1945&lt;Settings!$C$6,B1945&gt;Settings!$C$7),"Outside period | ","")&amp;IF(COUNTIF(Settings!$E$14:$E$43,C1945&amp;"")&gt;0,"Sensitive account | ","")&amp;IF(AND(MAX(N(E1945),N(F1945))&gt;=Settings!$C$9,MOD(MAX(N(E1945),N(F1945)),Settings!$C$10)=0),"Round amount | ",""),LEN(IF(K1945="No","Does not balance | ","")&amp;IF(I1945="","Not approved | ",IF(UPPER(TRIM(H1945))=UPPER(TRIM(I1945)),"Self-approved | ",""))&amp;IF(J1945="","No support | ","")&amp;IF(WEEKDAY(B1945,2)&gt;5,"Weekend posting | ","")&amp;IF(COUNTIF(Settings!$A$14:$A$43,B1945)&gt;0,"Holiday posting | ","")&amp;IF(B1945&gt;Settings!$C$8,"Posted after close | ","")&amp;IF(OR(B1945&lt;Settings!$C$6,B1945&gt;Settings!$C$7),"Outside period | ","")&amp;IF(COUNTIF(Settings!$E$14:$E$43,C1945&amp;"")&gt;0,"Sensitive account | ","")&amp;IF(AND(MAX(N(E1945),N(F1945))&gt;=Settings!$C$9,MOD(MAX(N(E1945),N(F1945)),Settings!$C$10)=0),"Round amount | ",""))-3)))</f>
        <v/>
      </c>
      <c r="M1945" s="21" t="str">
        <f aca="false">IF(A1945="","",IF(COUNTIF($A$9:A1945,A1945)=1,MAX($M$8:M1944)+1,""))</f>
        <v/>
      </c>
    </row>
    <row r="1946" customFormat="false" ht="15" hidden="false" customHeight="false" outlineLevel="0" collapsed="false">
      <c r="A1946" s="8"/>
      <c r="B1946" s="17"/>
      <c r="C1946" s="19"/>
      <c r="D1946" s="8"/>
      <c r="E1946" s="18"/>
      <c r="F1946" s="18"/>
      <c r="G1946" s="8"/>
      <c r="H1946" s="8"/>
      <c r="I1946" s="8"/>
      <c r="J1946" s="8"/>
      <c r="K1946" s="10" t="str">
        <f aca="false">IF(A1946="","",IF(ABS(SUMIFS($E$9:$E$2008,$A$9:$A$2008,A1946)-SUMIFS($F$9:$F$2008,$A$9:$A$2008,A1946))&lt;0.5,"Yes","No"))</f>
        <v/>
      </c>
      <c r="L1946" s="10" t="str">
        <f aca="false">IF(A1946="","",IF(IF(K1946="No","Does not balance | ","")&amp;IF(I1946="","Not approved | ",IF(UPPER(TRIM(H1946))=UPPER(TRIM(I1946)),"Self-approved | ",""))&amp;IF(J1946="","No support | ","")&amp;IF(WEEKDAY(B1946,2)&gt;5,"Weekend posting | ","")&amp;IF(COUNTIF(Settings!$A$14:$A$43,B1946)&gt;0,"Holiday posting | ","")&amp;IF(B1946&gt;Settings!$C$8,"Posted after close | ","")&amp;IF(OR(B1946&lt;Settings!$C$6,B1946&gt;Settings!$C$7),"Outside period | ","")&amp;IF(COUNTIF(Settings!$E$14:$E$43,C1946&amp;"")&gt;0,"Sensitive account | ","")&amp;IF(AND(MAX(N(E1946),N(F1946))&gt;=Settings!$C$9,MOD(MAX(N(E1946),N(F1946)),Settings!$C$10)=0),"Round amount | ","")="","",LEFT(IF(K1946="No","Does not balance | ","")&amp;IF(I1946="","Not approved | ",IF(UPPER(TRIM(H1946))=UPPER(TRIM(I1946)),"Self-approved | ",""))&amp;IF(J1946="","No support | ","")&amp;IF(WEEKDAY(B1946,2)&gt;5,"Weekend posting | ","")&amp;IF(COUNTIF(Settings!$A$14:$A$43,B1946)&gt;0,"Holiday posting | ","")&amp;IF(B1946&gt;Settings!$C$8,"Posted after close | ","")&amp;IF(OR(B1946&lt;Settings!$C$6,B1946&gt;Settings!$C$7),"Outside period | ","")&amp;IF(COUNTIF(Settings!$E$14:$E$43,C1946&amp;"")&gt;0,"Sensitive account | ","")&amp;IF(AND(MAX(N(E1946),N(F1946))&gt;=Settings!$C$9,MOD(MAX(N(E1946),N(F1946)),Settings!$C$10)=0),"Round amount | ",""),LEN(IF(K1946="No","Does not balance | ","")&amp;IF(I1946="","Not approved | ",IF(UPPER(TRIM(H1946))=UPPER(TRIM(I1946)),"Self-approved | ",""))&amp;IF(J1946="","No support | ","")&amp;IF(WEEKDAY(B1946,2)&gt;5,"Weekend posting | ","")&amp;IF(COUNTIF(Settings!$A$14:$A$43,B1946)&gt;0,"Holiday posting | ","")&amp;IF(B1946&gt;Settings!$C$8,"Posted after close | ","")&amp;IF(OR(B1946&lt;Settings!$C$6,B1946&gt;Settings!$C$7),"Outside period | ","")&amp;IF(COUNTIF(Settings!$E$14:$E$43,C1946&amp;"")&gt;0,"Sensitive account | ","")&amp;IF(AND(MAX(N(E1946),N(F1946))&gt;=Settings!$C$9,MOD(MAX(N(E1946),N(F1946)),Settings!$C$10)=0),"Round amount | ",""))-3)))</f>
        <v/>
      </c>
      <c r="M1946" s="21" t="str">
        <f aca="false">IF(A1946="","",IF(COUNTIF($A$9:A1946,A1946)=1,MAX($M$8:M1945)+1,""))</f>
        <v/>
      </c>
    </row>
    <row r="1947" customFormat="false" ht="15" hidden="false" customHeight="false" outlineLevel="0" collapsed="false">
      <c r="A1947" s="8"/>
      <c r="B1947" s="17"/>
      <c r="C1947" s="19"/>
      <c r="D1947" s="8"/>
      <c r="E1947" s="18"/>
      <c r="F1947" s="18"/>
      <c r="G1947" s="8"/>
      <c r="H1947" s="8"/>
      <c r="I1947" s="8"/>
      <c r="J1947" s="8"/>
      <c r="K1947" s="10" t="str">
        <f aca="false">IF(A1947="","",IF(ABS(SUMIFS($E$9:$E$2008,$A$9:$A$2008,A1947)-SUMIFS($F$9:$F$2008,$A$9:$A$2008,A1947))&lt;0.5,"Yes","No"))</f>
        <v/>
      </c>
      <c r="L1947" s="10" t="str">
        <f aca="false">IF(A1947="","",IF(IF(K1947="No","Does not balance | ","")&amp;IF(I1947="","Not approved | ",IF(UPPER(TRIM(H1947))=UPPER(TRIM(I1947)),"Self-approved | ",""))&amp;IF(J1947="","No support | ","")&amp;IF(WEEKDAY(B1947,2)&gt;5,"Weekend posting | ","")&amp;IF(COUNTIF(Settings!$A$14:$A$43,B1947)&gt;0,"Holiday posting | ","")&amp;IF(B1947&gt;Settings!$C$8,"Posted after close | ","")&amp;IF(OR(B1947&lt;Settings!$C$6,B1947&gt;Settings!$C$7),"Outside period | ","")&amp;IF(COUNTIF(Settings!$E$14:$E$43,C1947&amp;"")&gt;0,"Sensitive account | ","")&amp;IF(AND(MAX(N(E1947),N(F1947))&gt;=Settings!$C$9,MOD(MAX(N(E1947),N(F1947)),Settings!$C$10)=0),"Round amount | ","")="","",LEFT(IF(K1947="No","Does not balance | ","")&amp;IF(I1947="","Not approved | ",IF(UPPER(TRIM(H1947))=UPPER(TRIM(I1947)),"Self-approved | ",""))&amp;IF(J1947="","No support | ","")&amp;IF(WEEKDAY(B1947,2)&gt;5,"Weekend posting | ","")&amp;IF(COUNTIF(Settings!$A$14:$A$43,B1947)&gt;0,"Holiday posting | ","")&amp;IF(B1947&gt;Settings!$C$8,"Posted after close | ","")&amp;IF(OR(B1947&lt;Settings!$C$6,B1947&gt;Settings!$C$7),"Outside period | ","")&amp;IF(COUNTIF(Settings!$E$14:$E$43,C1947&amp;"")&gt;0,"Sensitive account | ","")&amp;IF(AND(MAX(N(E1947),N(F1947))&gt;=Settings!$C$9,MOD(MAX(N(E1947),N(F1947)),Settings!$C$10)=0),"Round amount | ",""),LEN(IF(K1947="No","Does not balance | ","")&amp;IF(I1947="","Not approved | ",IF(UPPER(TRIM(H1947))=UPPER(TRIM(I1947)),"Self-approved | ",""))&amp;IF(J1947="","No support | ","")&amp;IF(WEEKDAY(B1947,2)&gt;5,"Weekend posting | ","")&amp;IF(COUNTIF(Settings!$A$14:$A$43,B1947)&gt;0,"Holiday posting | ","")&amp;IF(B1947&gt;Settings!$C$8,"Posted after close | ","")&amp;IF(OR(B1947&lt;Settings!$C$6,B1947&gt;Settings!$C$7),"Outside period | ","")&amp;IF(COUNTIF(Settings!$E$14:$E$43,C1947&amp;"")&gt;0,"Sensitive account | ","")&amp;IF(AND(MAX(N(E1947),N(F1947))&gt;=Settings!$C$9,MOD(MAX(N(E1947),N(F1947)),Settings!$C$10)=0),"Round amount | ",""))-3)))</f>
        <v/>
      </c>
      <c r="M1947" s="21" t="str">
        <f aca="false">IF(A1947="","",IF(COUNTIF($A$9:A1947,A1947)=1,MAX($M$8:M1946)+1,""))</f>
        <v/>
      </c>
    </row>
    <row r="1948" customFormat="false" ht="15" hidden="false" customHeight="false" outlineLevel="0" collapsed="false">
      <c r="A1948" s="8"/>
      <c r="B1948" s="17"/>
      <c r="C1948" s="19"/>
      <c r="D1948" s="8"/>
      <c r="E1948" s="18"/>
      <c r="F1948" s="18"/>
      <c r="G1948" s="8"/>
      <c r="H1948" s="8"/>
      <c r="I1948" s="8"/>
      <c r="J1948" s="8"/>
      <c r="K1948" s="10" t="str">
        <f aca="false">IF(A1948="","",IF(ABS(SUMIFS($E$9:$E$2008,$A$9:$A$2008,A1948)-SUMIFS($F$9:$F$2008,$A$9:$A$2008,A1948))&lt;0.5,"Yes","No"))</f>
        <v/>
      </c>
      <c r="L1948" s="10" t="str">
        <f aca="false">IF(A1948="","",IF(IF(K1948="No","Does not balance | ","")&amp;IF(I1948="","Not approved | ",IF(UPPER(TRIM(H1948))=UPPER(TRIM(I1948)),"Self-approved | ",""))&amp;IF(J1948="","No support | ","")&amp;IF(WEEKDAY(B1948,2)&gt;5,"Weekend posting | ","")&amp;IF(COUNTIF(Settings!$A$14:$A$43,B1948)&gt;0,"Holiday posting | ","")&amp;IF(B1948&gt;Settings!$C$8,"Posted after close | ","")&amp;IF(OR(B1948&lt;Settings!$C$6,B1948&gt;Settings!$C$7),"Outside period | ","")&amp;IF(COUNTIF(Settings!$E$14:$E$43,C1948&amp;"")&gt;0,"Sensitive account | ","")&amp;IF(AND(MAX(N(E1948),N(F1948))&gt;=Settings!$C$9,MOD(MAX(N(E1948),N(F1948)),Settings!$C$10)=0),"Round amount | ","")="","",LEFT(IF(K1948="No","Does not balance | ","")&amp;IF(I1948="","Not approved | ",IF(UPPER(TRIM(H1948))=UPPER(TRIM(I1948)),"Self-approved | ",""))&amp;IF(J1948="","No support | ","")&amp;IF(WEEKDAY(B1948,2)&gt;5,"Weekend posting | ","")&amp;IF(COUNTIF(Settings!$A$14:$A$43,B1948)&gt;0,"Holiday posting | ","")&amp;IF(B1948&gt;Settings!$C$8,"Posted after close | ","")&amp;IF(OR(B1948&lt;Settings!$C$6,B1948&gt;Settings!$C$7),"Outside period | ","")&amp;IF(COUNTIF(Settings!$E$14:$E$43,C1948&amp;"")&gt;0,"Sensitive account | ","")&amp;IF(AND(MAX(N(E1948),N(F1948))&gt;=Settings!$C$9,MOD(MAX(N(E1948),N(F1948)),Settings!$C$10)=0),"Round amount | ",""),LEN(IF(K1948="No","Does not balance | ","")&amp;IF(I1948="","Not approved | ",IF(UPPER(TRIM(H1948))=UPPER(TRIM(I1948)),"Self-approved | ",""))&amp;IF(J1948="","No support | ","")&amp;IF(WEEKDAY(B1948,2)&gt;5,"Weekend posting | ","")&amp;IF(COUNTIF(Settings!$A$14:$A$43,B1948)&gt;0,"Holiday posting | ","")&amp;IF(B1948&gt;Settings!$C$8,"Posted after close | ","")&amp;IF(OR(B1948&lt;Settings!$C$6,B1948&gt;Settings!$C$7),"Outside period | ","")&amp;IF(COUNTIF(Settings!$E$14:$E$43,C1948&amp;"")&gt;0,"Sensitive account | ","")&amp;IF(AND(MAX(N(E1948),N(F1948))&gt;=Settings!$C$9,MOD(MAX(N(E1948),N(F1948)),Settings!$C$10)=0),"Round amount | ",""))-3)))</f>
        <v/>
      </c>
      <c r="M1948" s="21" t="str">
        <f aca="false">IF(A1948="","",IF(COUNTIF($A$9:A1948,A1948)=1,MAX($M$8:M1947)+1,""))</f>
        <v/>
      </c>
    </row>
    <row r="1949" customFormat="false" ht="15" hidden="false" customHeight="false" outlineLevel="0" collapsed="false">
      <c r="A1949" s="8"/>
      <c r="B1949" s="17"/>
      <c r="C1949" s="19"/>
      <c r="D1949" s="8"/>
      <c r="E1949" s="18"/>
      <c r="F1949" s="18"/>
      <c r="G1949" s="8"/>
      <c r="H1949" s="8"/>
      <c r="I1949" s="8"/>
      <c r="J1949" s="8"/>
      <c r="K1949" s="10" t="str">
        <f aca="false">IF(A1949="","",IF(ABS(SUMIFS($E$9:$E$2008,$A$9:$A$2008,A1949)-SUMIFS($F$9:$F$2008,$A$9:$A$2008,A1949))&lt;0.5,"Yes","No"))</f>
        <v/>
      </c>
      <c r="L1949" s="10" t="str">
        <f aca="false">IF(A1949="","",IF(IF(K1949="No","Does not balance | ","")&amp;IF(I1949="","Not approved | ",IF(UPPER(TRIM(H1949))=UPPER(TRIM(I1949)),"Self-approved | ",""))&amp;IF(J1949="","No support | ","")&amp;IF(WEEKDAY(B1949,2)&gt;5,"Weekend posting | ","")&amp;IF(COUNTIF(Settings!$A$14:$A$43,B1949)&gt;0,"Holiday posting | ","")&amp;IF(B1949&gt;Settings!$C$8,"Posted after close | ","")&amp;IF(OR(B1949&lt;Settings!$C$6,B1949&gt;Settings!$C$7),"Outside period | ","")&amp;IF(COUNTIF(Settings!$E$14:$E$43,C1949&amp;"")&gt;0,"Sensitive account | ","")&amp;IF(AND(MAX(N(E1949),N(F1949))&gt;=Settings!$C$9,MOD(MAX(N(E1949),N(F1949)),Settings!$C$10)=0),"Round amount | ","")="","",LEFT(IF(K1949="No","Does not balance | ","")&amp;IF(I1949="","Not approved | ",IF(UPPER(TRIM(H1949))=UPPER(TRIM(I1949)),"Self-approved | ",""))&amp;IF(J1949="","No support | ","")&amp;IF(WEEKDAY(B1949,2)&gt;5,"Weekend posting | ","")&amp;IF(COUNTIF(Settings!$A$14:$A$43,B1949)&gt;0,"Holiday posting | ","")&amp;IF(B1949&gt;Settings!$C$8,"Posted after close | ","")&amp;IF(OR(B1949&lt;Settings!$C$6,B1949&gt;Settings!$C$7),"Outside period | ","")&amp;IF(COUNTIF(Settings!$E$14:$E$43,C1949&amp;"")&gt;0,"Sensitive account | ","")&amp;IF(AND(MAX(N(E1949),N(F1949))&gt;=Settings!$C$9,MOD(MAX(N(E1949),N(F1949)),Settings!$C$10)=0),"Round amount | ",""),LEN(IF(K1949="No","Does not balance | ","")&amp;IF(I1949="","Not approved | ",IF(UPPER(TRIM(H1949))=UPPER(TRIM(I1949)),"Self-approved | ",""))&amp;IF(J1949="","No support | ","")&amp;IF(WEEKDAY(B1949,2)&gt;5,"Weekend posting | ","")&amp;IF(COUNTIF(Settings!$A$14:$A$43,B1949)&gt;0,"Holiday posting | ","")&amp;IF(B1949&gt;Settings!$C$8,"Posted after close | ","")&amp;IF(OR(B1949&lt;Settings!$C$6,B1949&gt;Settings!$C$7),"Outside period | ","")&amp;IF(COUNTIF(Settings!$E$14:$E$43,C1949&amp;"")&gt;0,"Sensitive account | ","")&amp;IF(AND(MAX(N(E1949),N(F1949))&gt;=Settings!$C$9,MOD(MAX(N(E1949),N(F1949)),Settings!$C$10)=0),"Round amount | ",""))-3)))</f>
        <v/>
      </c>
      <c r="M1949" s="21" t="str">
        <f aca="false">IF(A1949="","",IF(COUNTIF($A$9:A1949,A1949)=1,MAX($M$8:M1948)+1,""))</f>
        <v/>
      </c>
    </row>
    <row r="1950" customFormat="false" ht="15" hidden="false" customHeight="false" outlineLevel="0" collapsed="false">
      <c r="A1950" s="8"/>
      <c r="B1950" s="17"/>
      <c r="C1950" s="19"/>
      <c r="D1950" s="8"/>
      <c r="E1950" s="18"/>
      <c r="F1950" s="18"/>
      <c r="G1950" s="8"/>
      <c r="H1950" s="8"/>
      <c r="I1950" s="8"/>
      <c r="J1950" s="8"/>
      <c r="K1950" s="10" t="str">
        <f aca="false">IF(A1950="","",IF(ABS(SUMIFS($E$9:$E$2008,$A$9:$A$2008,A1950)-SUMIFS($F$9:$F$2008,$A$9:$A$2008,A1950))&lt;0.5,"Yes","No"))</f>
        <v/>
      </c>
      <c r="L1950" s="10" t="str">
        <f aca="false">IF(A1950="","",IF(IF(K1950="No","Does not balance | ","")&amp;IF(I1950="","Not approved | ",IF(UPPER(TRIM(H1950))=UPPER(TRIM(I1950)),"Self-approved | ",""))&amp;IF(J1950="","No support | ","")&amp;IF(WEEKDAY(B1950,2)&gt;5,"Weekend posting | ","")&amp;IF(COUNTIF(Settings!$A$14:$A$43,B1950)&gt;0,"Holiday posting | ","")&amp;IF(B1950&gt;Settings!$C$8,"Posted after close | ","")&amp;IF(OR(B1950&lt;Settings!$C$6,B1950&gt;Settings!$C$7),"Outside period | ","")&amp;IF(COUNTIF(Settings!$E$14:$E$43,C1950&amp;"")&gt;0,"Sensitive account | ","")&amp;IF(AND(MAX(N(E1950),N(F1950))&gt;=Settings!$C$9,MOD(MAX(N(E1950),N(F1950)),Settings!$C$10)=0),"Round amount | ","")="","",LEFT(IF(K1950="No","Does not balance | ","")&amp;IF(I1950="","Not approved | ",IF(UPPER(TRIM(H1950))=UPPER(TRIM(I1950)),"Self-approved | ",""))&amp;IF(J1950="","No support | ","")&amp;IF(WEEKDAY(B1950,2)&gt;5,"Weekend posting | ","")&amp;IF(COUNTIF(Settings!$A$14:$A$43,B1950)&gt;0,"Holiday posting | ","")&amp;IF(B1950&gt;Settings!$C$8,"Posted after close | ","")&amp;IF(OR(B1950&lt;Settings!$C$6,B1950&gt;Settings!$C$7),"Outside period | ","")&amp;IF(COUNTIF(Settings!$E$14:$E$43,C1950&amp;"")&gt;0,"Sensitive account | ","")&amp;IF(AND(MAX(N(E1950),N(F1950))&gt;=Settings!$C$9,MOD(MAX(N(E1950),N(F1950)),Settings!$C$10)=0),"Round amount | ",""),LEN(IF(K1950="No","Does not balance | ","")&amp;IF(I1950="","Not approved | ",IF(UPPER(TRIM(H1950))=UPPER(TRIM(I1950)),"Self-approved | ",""))&amp;IF(J1950="","No support | ","")&amp;IF(WEEKDAY(B1950,2)&gt;5,"Weekend posting | ","")&amp;IF(COUNTIF(Settings!$A$14:$A$43,B1950)&gt;0,"Holiday posting | ","")&amp;IF(B1950&gt;Settings!$C$8,"Posted after close | ","")&amp;IF(OR(B1950&lt;Settings!$C$6,B1950&gt;Settings!$C$7),"Outside period | ","")&amp;IF(COUNTIF(Settings!$E$14:$E$43,C1950&amp;"")&gt;0,"Sensitive account | ","")&amp;IF(AND(MAX(N(E1950),N(F1950))&gt;=Settings!$C$9,MOD(MAX(N(E1950),N(F1950)),Settings!$C$10)=0),"Round amount | ",""))-3)))</f>
        <v/>
      </c>
      <c r="M1950" s="21" t="str">
        <f aca="false">IF(A1950="","",IF(COUNTIF($A$9:A1950,A1950)=1,MAX($M$8:M1949)+1,""))</f>
        <v/>
      </c>
    </row>
    <row r="1951" customFormat="false" ht="15" hidden="false" customHeight="false" outlineLevel="0" collapsed="false">
      <c r="A1951" s="8"/>
      <c r="B1951" s="17"/>
      <c r="C1951" s="19"/>
      <c r="D1951" s="8"/>
      <c r="E1951" s="18"/>
      <c r="F1951" s="18"/>
      <c r="G1951" s="8"/>
      <c r="H1951" s="8"/>
      <c r="I1951" s="8"/>
      <c r="J1951" s="8"/>
      <c r="K1951" s="10" t="str">
        <f aca="false">IF(A1951="","",IF(ABS(SUMIFS($E$9:$E$2008,$A$9:$A$2008,A1951)-SUMIFS($F$9:$F$2008,$A$9:$A$2008,A1951))&lt;0.5,"Yes","No"))</f>
        <v/>
      </c>
      <c r="L1951" s="10" t="str">
        <f aca="false">IF(A1951="","",IF(IF(K1951="No","Does not balance | ","")&amp;IF(I1951="","Not approved | ",IF(UPPER(TRIM(H1951))=UPPER(TRIM(I1951)),"Self-approved | ",""))&amp;IF(J1951="","No support | ","")&amp;IF(WEEKDAY(B1951,2)&gt;5,"Weekend posting | ","")&amp;IF(COUNTIF(Settings!$A$14:$A$43,B1951)&gt;0,"Holiday posting | ","")&amp;IF(B1951&gt;Settings!$C$8,"Posted after close | ","")&amp;IF(OR(B1951&lt;Settings!$C$6,B1951&gt;Settings!$C$7),"Outside period | ","")&amp;IF(COUNTIF(Settings!$E$14:$E$43,C1951&amp;"")&gt;0,"Sensitive account | ","")&amp;IF(AND(MAX(N(E1951),N(F1951))&gt;=Settings!$C$9,MOD(MAX(N(E1951),N(F1951)),Settings!$C$10)=0),"Round amount | ","")="","",LEFT(IF(K1951="No","Does not balance | ","")&amp;IF(I1951="","Not approved | ",IF(UPPER(TRIM(H1951))=UPPER(TRIM(I1951)),"Self-approved | ",""))&amp;IF(J1951="","No support | ","")&amp;IF(WEEKDAY(B1951,2)&gt;5,"Weekend posting | ","")&amp;IF(COUNTIF(Settings!$A$14:$A$43,B1951)&gt;0,"Holiday posting | ","")&amp;IF(B1951&gt;Settings!$C$8,"Posted after close | ","")&amp;IF(OR(B1951&lt;Settings!$C$6,B1951&gt;Settings!$C$7),"Outside period | ","")&amp;IF(COUNTIF(Settings!$E$14:$E$43,C1951&amp;"")&gt;0,"Sensitive account | ","")&amp;IF(AND(MAX(N(E1951),N(F1951))&gt;=Settings!$C$9,MOD(MAX(N(E1951),N(F1951)),Settings!$C$10)=0),"Round amount | ",""),LEN(IF(K1951="No","Does not balance | ","")&amp;IF(I1951="","Not approved | ",IF(UPPER(TRIM(H1951))=UPPER(TRIM(I1951)),"Self-approved | ",""))&amp;IF(J1951="","No support | ","")&amp;IF(WEEKDAY(B1951,2)&gt;5,"Weekend posting | ","")&amp;IF(COUNTIF(Settings!$A$14:$A$43,B1951)&gt;0,"Holiday posting | ","")&amp;IF(B1951&gt;Settings!$C$8,"Posted after close | ","")&amp;IF(OR(B1951&lt;Settings!$C$6,B1951&gt;Settings!$C$7),"Outside period | ","")&amp;IF(COUNTIF(Settings!$E$14:$E$43,C1951&amp;"")&gt;0,"Sensitive account | ","")&amp;IF(AND(MAX(N(E1951),N(F1951))&gt;=Settings!$C$9,MOD(MAX(N(E1951),N(F1951)),Settings!$C$10)=0),"Round amount | ",""))-3)))</f>
        <v/>
      </c>
      <c r="M1951" s="21" t="str">
        <f aca="false">IF(A1951="","",IF(COUNTIF($A$9:A1951,A1951)=1,MAX($M$8:M1950)+1,""))</f>
        <v/>
      </c>
    </row>
    <row r="1952" customFormat="false" ht="15" hidden="false" customHeight="false" outlineLevel="0" collapsed="false">
      <c r="A1952" s="8"/>
      <c r="B1952" s="17"/>
      <c r="C1952" s="19"/>
      <c r="D1952" s="8"/>
      <c r="E1952" s="18"/>
      <c r="F1952" s="18"/>
      <c r="G1952" s="8"/>
      <c r="H1952" s="8"/>
      <c r="I1952" s="8"/>
      <c r="J1952" s="8"/>
      <c r="K1952" s="10" t="str">
        <f aca="false">IF(A1952="","",IF(ABS(SUMIFS($E$9:$E$2008,$A$9:$A$2008,A1952)-SUMIFS($F$9:$F$2008,$A$9:$A$2008,A1952))&lt;0.5,"Yes","No"))</f>
        <v/>
      </c>
      <c r="L1952" s="10" t="str">
        <f aca="false">IF(A1952="","",IF(IF(K1952="No","Does not balance | ","")&amp;IF(I1952="","Not approved | ",IF(UPPER(TRIM(H1952))=UPPER(TRIM(I1952)),"Self-approved | ",""))&amp;IF(J1952="","No support | ","")&amp;IF(WEEKDAY(B1952,2)&gt;5,"Weekend posting | ","")&amp;IF(COUNTIF(Settings!$A$14:$A$43,B1952)&gt;0,"Holiday posting | ","")&amp;IF(B1952&gt;Settings!$C$8,"Posted after close | ","")&amp;IF(OR(B1952&lt;Settings!$C$6,B1952&gt;Settings!$C$7),"Outside period | ","")&amp;IF(COUNTIF(Settings!$E$14:$E$43,C1952&amp;"")&gt;0,"Sensitive account | ","")&amp;IF(AND(MAX(N(E1952),N(F1952))&gt;=Settings!$C$9,MOD(MAX(N(E1952),N(F1952)),Settings!$C$10)=0),"Round amount | ","")="","",LEFT(IF(K1952="No","Does not balance | ","")&amp;IF(I1952="","Not approved | ",IF(UPPER(TRIM(H1952))=UPPER(TRIM(I1952)),"Self-approved | ",""))&amp;IF(J1952="","No support | ","")&amp;IF(WEEKDAY(B1952,2)&gt;5,"Weekend posting | ","")&amp;IF(COUNTIF(Settings!$A$14:$A$43,B1952)&gt;0,"Holiday posting | ","")&amp;IF(B1952&gt;Settings!$C$8,"Posted after close | ","")&amp;IF(OR(B1952&lt;Settings!$C$6,B1952&gt;Settings!$C$7),"Outside period | ","")&amp;IF(COUNTIF(Settings!$E$14:$E$43,C1952&amp;"")&gt;0,"Sensitive account | ","")&amp;IF(AND(MAX(N(E1952),N(F1952))&gt;=Settings!$C$9,MOD(MAX(N(E1952),N(F1952)),Settings!$C$10)=0),"Round amount | ",""),LEN(IF(K1952="No","Does not balance | ","")&amp;IF(I1952="","Not approved | ",IF(UPPER(TRIM(H1952))=UPPER(TRIM(I1952)),"Self-approved | ",""))&amp;IF(J1952="","No support | ","")&amp;IF(WEEKDAY(B1952,2)&gt;5,"Weekend posting | ","")&amp;IF(COUNTIF(Settings!$A$14:$A$43,B1952)&gt;0,"Holiday posting | ","")&amp;IF(B1952&gt;Settings!$C$8,"Posted after close | ","")&amp;IF(OR(B1952&lt;Settings!$C$6,B1952&gt;Settings!$C$7),"Outside period | ","")&amp;IF(COUNTIF(Settings!$E$14:$E$43,C1952&amp;"")&gt;0,"Sensitive account | ","")&amp;IF(AND(MAX(N(E1952),N(F1952))&gt;=Settings!$C$9,MOD(MAX(N(E1952),N(F1952)),Settings!$C$10)=0),"Round amount | ",""))-3)))</f>
        <v/>
      </c>
      <c r="M1952" s="21" t="str">
        <f aca="false">IF(A1952="","",IF(COUNTIF($A$9:A1952,A1952)=1,MAX($M$8:M1951)+1,""))</f>
        <v/>
      </c>
    </row>
    <row r="1953" customFormat="false" ht="15" hidden="false" customHeight="false" outlineLevel="0" collapsed="false">
      <c r="A1953" s="8"/>
      <c r="B1953" s="17"/>
      <c r="C1953" s="19"/>
      <c r="D1953" s="8"/>
      <c r="E1953" s="18"/>
      <c r="F1953" s="18"/>
      <c r="G1953" s="8"/>
      <c r="H1953" s="8"/>
      <c r="I1953" s="8"/>
      <c r="J1953" s="8"/>
      <c r="K1953" s="10" t="str">
        <f aca="false">IF(A1953="","",IF(ABS(SUMIFS($E$9:$E$2008,$A$9:$A$2008,A1953)-SUMIFS($F$9:$F$2008,$A$9:$A$2008,A1953))&lt;0.5,"Yes","No"))</f>
        <v/>
      </c>
      <c r="L1953" s="10" t="str">
        <f aca="false">IF(A1953="","",IF(IF(K1953="No","Does not balance | ","")&amp;IF(I1953="","Not approved | ",IF(UPPER(TRIM(H1953))=UPPER(TRIM(I1953)),"Self-approved | ",""))&amp;IF(J1953="","No support | ","")&amp;IF(WEEKDAY(B1953,2)&gt;5,"Weekend posting | ","")&amp;IF(COUNTIF(Settings!$A$14:$A$43,B1953)&gt;0,"Holiday posting | ","")&amp;IF(B1953&gt;Settings!$C$8,"Posted after close | ","")&amp;IF(OR(B1953&lt;Settings!$C$6,B1953&gt;Settings!$C$7),"Outside period | ","")&amp;IF(COUNTIF(Settings!$E$14:$E$43,C1953&amp;"")&gt;0,"Sensitive account | ","")&amp;IF(AND(MAX(N(E1953),N(F1953))&gt;=Settings!$C$9,MOD(MAX(N(E1953),N(F1953)),Settings!$C$10)=0),"Round amount | ","")="","",LEFT(IF(K1953="No","Does not balance | ","")&amp;IF(I1953="","Not approved | ",IF(UPPER(TRIM(H1953))=UPPER(TRIM(I1953)),"Self-approved | ",""))&amp;IF(J1953="","No support | ","")&amp;IF(WEEKDAY(B1953,2)&gt;5,"Weekend posting | ","")&amp;IF(COUNTIF(Settings!$A$14:$A$43,B1953)&gt;0,"Holiday posting | ","")&amp;IF(B1953&gt;Settings!$C$8,"Posted after close | ","")&amp;IF(OR(B1953&lt;Settings!$C$6,B1953&gt;Settings!$C$7),"Outside period | ","")&amp;IF(COUNTIF(Settings!$E$14:$E$43,C1953&amp;"")&gt;0,"Sensitive account | ","")&amp;IF(AND(MAX(N(E1953),N(F1953))&gt;=Settings!$C$9,MOD(MAX(N(E1953),N(F1953)),Settings!$C$10)=0),"Round amount | ",""),LEN(IF(K1953="No","Does not balance | ","")&amp;IF(I1953="","Not approved | ",IF(UPPER(TRIM(H1953))=UPPER(TRIM(I1953)),"Self-approved | ",""))&amp;IF(J1953="","No support | ","")&amp;IF(WEEKDAY(B1953,2)&gt;5,"Weekend posting | ","")&amp;IF(COUNTIF(Settings!$A$14:$A$43,B1953)&gt;0,"Holiday posting | ","")&amp;IF(B1953&gt;Settings!$C$8,"Posted after close | ","")&amp;IF(OR(B1953&lt;Settings!$C$6,B1953&gt;Settings!$C$7),"Outside period | ","")&amp;IF(COUNTIF(Settings!$E$14:$E$43,C1953&amp;"")&gt;0,"Sensitive account | ","")&amp;IF(AND(MAX(N(E1953),N(F1953))&gt;=Settings!$C$9,MOD(MAX(N(E1953),N(F1953)),Settings!$C$10)=0),"Round amount | ",""))-3)))</f>
        <v/>
      </c>
      <c r="M1953" s="21" t="str">
        <f aca="false">IF(A1953="","",IF(COUNTIF($A$9:A1953,A1953)=1,MAX($M$8:M1952)+1,""))</f>
        <v/>
      </c>
    </row>
    <row r="1954" customFormat="false" ht="15" hidden="false" customHeight="false" outlineLevel="0" collapsed="false">
      <c r="A1954" s="8"/>
      <c r="B1954" s="17"/>
      <c r="C1954" s="19"/>
      <c r="D1954" s="8"/>
      <c r="E1954" s="18"/>
      <c r="F1954" s="18"/>
      <c r="G1954" s="8"/>
      <c r="H1954" s="8"/>
      <c r="I1954" s="8"/>
      <c r="J1954" s="8"/>
      <c r="K1954" s="10" t="str">
        <f aca="false">IF(A1954="","",IF(ABS(SUMIFS($E$9:$E$2008,$A$9:$A$2008,A1954)-SUMIFS($F$9:$F$2008,$A$9:$A$2008,A1954))&lt;0.5,"Yes","No"))</f>
        <v/>
      </c>
      <c r="L1954" s="10" t="str">
        <f aca="false">IF(A1954="","",IF(IF(K1954="No","Does not balance | ","")&amp;IF(I1954="","Not approved | ",IF(UPPER(TRIM(H1954))=UPPER(TRIM(I1954)),"Self-approved | ",""))&amp;IF(J1954="","No support | ","")&amp;IF(WEEKDAY(B1954,2)&gt;5,"Weekend posting | ","")&amp;IF(COUNTIF(Settings!$A$14:$A$43,B1954)&gt;0,"Holiday posting | ","")&amp;IF(B1954&gt;Settings!$C$8,"Posted after close | ","")&amp;IF(OR(B1954&lt;Settings!$C$6,B1954&gt;Settings!$C$7),"Outside period | ","")&amp;IF(COUNTIF(Settings!$E$14:$E$43,C1954&amp;"")&gt;0,"Sensitive account | ","")&amp;IF(AND(MAX(N(E1954),N(F1954))&gt;=Settings!$C$9,MOD(MAX(N(E1954),N(F1954)),Settings!$C$10)=0),"Round amount | ","")="","",LEFT(IF(K1954="No","Does not balance | ","")&amp;IF(I1954="","Not approved | ",IF(UPPER(TRIM(H1954))=UPPER(TRIM(I1954)),"Self-approved | ",""))&amp;IF(J1954="","No support | ","")&amp;IF(WEEKDAY(B1954,2)&gt;5,"Weekend posting | ","")&amp;IF(COUNTIF(Settings!$A$14:$A$43,B1954)&gt;0,"Holiday posting | ","")&amp;IF(B1954&gt;Settings!$C$8,"Posted after close | ","")&amp;IF(OR(B1954&lt;Settings!$C$6,B1954&gt;Settings!$C$7),"Outside period | ","")&amp;IF(COUNTIF(Settings!$E$14:$E$43,C1954&amp;"")&gt;0,"Sensitive account | ","")&amp;IF(AND(MAX(N(E1954),N(F1954))&gt;=Settings!$C$9,MOD(MAX(N(E1954),N(F1954)),Settings!$C$10)=0),"Round amount | ",""),LEN(IF(K1954="No","Does not balance | ","")&amp;IF(I1954="","Not approved | ",IF(UPPER(TRIM(H1954))=UPPER(TRIM(I1954)),"Self-approved | ",""))&amp;IF(J1954="","No support | ","")&amp;IF(WEEKDAY(B1954,2)&gt;5,"Weekend posting | ","")&amp;IF(COUNTIF(Settings!$A$14:$A$43,B1954)&gt;0,"Holiday posting | ","")&amp;IF(B1954&gt;Settings!$C$8,"Posted after close | ","")&amp;IF(OR(B1954&lt;Settings!$C$6,B1954&gt;Settings!$C$7),"Outside period | ","")&amp;IF(COUNTIF(Settings!$E$14:$E$43,C1954&amp;"")&gt;0,"Sensitive account | ","")&amp;IF(AND(MAX(N(E1954),N(F1954))&gt;=Settings!$C$9,MOD(MAX(N(E1954),N(F1954)),Settings!$C$10)=0),"Round amount | ",""))-3)))</f>
        <v/>
      </c>
      <c r="M1954" s="21" t="str">
        <f aca="false">IF(A1954="","",IF(COUNTIF($A$9:A1954,A1954)=1,MAX($M$8:M1953)+1,""))</f>
        <v/>
      </c>
    </row>
    <row r="1955" customFormat="false" ht="15" hidden="false" customHeight="false" outlineLevel="0" collapsed="false">
      <c r="A1955" s="8"/>
      <c r="B1955" s="17"/>
      <c r="C1955" s="19"/>
      <c r="D1955" s="8"/>
      <c r="E1955" s="18"/>
      <c r="F1955" s="18"/>
      <c r="G1955" s="8"/>
      <c r="H1955" s="8"/>
      <c r="I1955" s="8"/>
      <c r="J1955" s="8"/>
      <c r="K1955" s="10" t="str">
        <f aca="false">IF(A1955="","",IF(ABS(SUMIFS($E$9:$E$2008,$A$9:$A$2008,A1955)-SUMIFS($F$9:$F$2008,$A$9:$A$2008,A1955))&lt;0.5,"Yes","No"))</f>
        <v/>
      </c>
      <c r="L1955" s="10" t="str">
        <f aca="false">IF(A1955="","",IF(IF(K1955="No","Does not balance | ","")&amp;IF(I1955="","Not approved | ",IF(UPPER(TRIM(H1955))=UPPER(TRIM(I1955)),"Self-approved | ",""))&amp;IF(J1955="","No support | ","")&amp;IF(WEEKDAY(B1955,2)&gt;5,"Weekend posting | ","")&amp;IF(COUNTIF(Settings!$A$14:$A$43,B1955)&gt;0,"Holiday posting | ","")&amp;IF(B1955&gt;Settings!$C$8,"Posted after close | ","")&amp;IF(OR(B1955&lt;Settings!$C$6,B1955&gt;Settings!$C$7),"Outside period | ","")&amp;IF(COUNTIF(Settings!$E$14:$E$43,C1955&amp;"")&gt;0,"Sensitive account | ","")&amp;IF(AND(MAX(N(E1955),N(F1955))&gt;=Settings!$C$9,MOD(MAX(N(E1955),N(F1955)),Settings!$C$10)=0),"Round amount | ","")="","",LEFT(IF(K1955="No","Does not balance | ","")&amp;IF(I1955="","Not approved | ",IF(UPPER(TRIM(H1955))=UPPER(TRIM(I1955)),"Self-approved | ",""))&amp;IF(J1955="","No support | ","")&amp;IF(WEEKDAY(B1955,2)&gt;5,"Weekend posting | ","")&amp;IF(COUNTIF(Settings!$A$14:$A$43,B1955)&gt;0,"Holiday posting | ","")&amp;IF(B1955&gt;Settings!$C$8,"Posted after close | ","")&amp;IF(OR(B1955&lt;Settings!$C$6,B1955&gt;Settings!$C$7),"Outside period | ","")&amp;IF(COUNTIF(Settings!$E$14:$E$43,C1955&amp;"")&gt;0,"Sensitive account | ","")&amp;IF(AND(MAX(N(E1955),N(F1955))&gt;=Settings!$C$9,MOD(MAX(N(E1955),N(F1955)),Settings!$C$10)=0),"Round amount | ",""),LEN(IF(K1955="No","Does not balance | ","")&amp;IF(I1955="","Not approved | ",IF(UPPER(TRIM(H1955))=UPPER(TRIM(I1955)),"Self-approved | ",""))&amp;IF(J1955="","No support | ","")&amp;IF(WEEKDAY(B1955,2)&gt;5,"Weekend posting | ","")&amp;IF(COUNTIF(Settings!$A$14:$A$43,B1955)&gt;0,"Holiday posting | ","")&amp;IF(B1955&gt;Settings!$C$8,"Posted after close | ","")&amp;IF(OR(B1955&lt;Settings!$C$6,B1955&gt;Settings!$C$7),"Outside period | ","")&amp;IF(COUNTIF(Settings!$E$14:$E$43,C1955&amp;"")&gt;0,"Sensitive account | ","")&amp;IF(AND(MAX(N(E1955),N(F1955))&gt;=Settings!$C$9,MOD(MAX(N(E1955),N(F1955)),Settings!$C$10)=0),"Round amount | ",""))-3)))</f>
        <v/>
      </c>
      <c r="M1955" s="21" t="str">
        <f aca="false">IF(A1955="","",IF(COUNTIF($A$9:A1955,A1955)=1,MAX($M$8:M1954)+1,""))</f>
        <v/>
      </c>
    </row>
    <row r="1956" customFormat="false" ht="15" hidden="false" customHeight="false" outlineLevel="0" collapsed="false">
      <c r="A1956" s="8"/>
      <c r="B1956" s="17"/>
      <c r="C1956" s="19"/>
      <c r="D1956" s="8"/>
      <c r="E1956" s="18"/>
      <c r="F1956" s="18"/>
      <c r="G1956" s="8"/>
      <c r="H1956" s="8"/>
      <c r="I1956" s="8"/>
      <c r="J1956" s="8"/>
      <c r="K1956" s="10" t="str">
        <f aca="false">IF(A1956="","",IF(ABS(SUMIFS($E$9:$E$2008,$A$9:$A$2008,A1956)-SUMIFS($F$9:$F$2008,$A$9:$A$2008,A1956))&lt;0.5,"Yes","No"))</f>
        <v/>
      </c>
      <c r="L1956" s="10" t="str">
        <f aca="false">IF(A1956="","",IF(IF(K1956="No","Does not balance | ","")&amp;IF(I1956="","Not approved | ",IF(UPPER(TRIM(H1956))=UPPER(TRIM(I1956)),"Self-approved | ",""))&amp;IF(J1956="","No support | ","")&amp;IF(WEEKDAY(B1956,2)&gt;5,"Weekend posting | ","")&amp;IF(COUNTIF(Settings!$A$14:$A$43,B1956)&gt;0,"Holiday posting | ","")&amp;IF(B1956&gt;Settings!$C$8,"Posted after close | ","")&amp;IF(OR(B1956&lt;Settings!$C$6,B1956&gt;Settings!$C$7),"Outside period | ","")&amp;IF(COUNTIF(Settings!$E$14:$E$43,C1956&amp;"")&gt;0,"Sensitive account | ","")&amp;IF(AND(MAX(N(E1956),N(F1956))&gt;=Settings!$C$9,MOD(MAX(N(E1956),N(F1956)),Settings!$C$10)=0),"Round amount | ","")="","",LEFT(IF(K1956="No","Does not balance | ","")&amp;IF(I1956="","Not approved | ",IF(UPPER(TRIM(H1956))=UPPER(TRIM(I1956)),"Self-approved | ",""))&amp;IF(J1956="","No support | ","")&amp;IF(WEEKDAY(B1956,2)&gt;5,"Weekend posting | ","")&amp;IF(COUNTIF(Settings!$A$14:$A$43,B1956)&gt;0,"Holiday posting | ","")&amp;IF(B1956&gt;Settings!$C$8,"Posted after close | ","")&amp;IF(OR(B1956&lt;Settings!$C$6,B1956&gt;Settings!$C$7),"Outside period | ","")&amp;IF(COUNTIF(Settings!$E$14:$E$43,C1956&amp;"")&gt;0,"Sensitive account | ","")&amp;IF(AND(MAX(N(E1956),N(F1956))&gt;=Settings!$C$9,MOD(MAX(N(E1956),N(F1956)),Settings!$C$10)=0),"Round amount | ",""),LEN(IF(K1956="No","Does not balance | ","")&amp;IF(I1956="","Not approved | ",IF(UPPER(TRIM(H1956))=UPPER(TRIM(I1956)),"Self-approved | ",""))&amp;IF(J1956="","No support | ","")&amp;IF(WEEKDAY(B1956,2)&gt;5,"Weekend posting | ","")&amp;IF(COUNTIF(Settings!$A$14:$A$43,B1956)&gt;0,"Holiday posting | ","")&amp;IF(B1956&gt;Settings!$C$8,"Posted after close | ","")&amp;IF(OR(B1956&lt;Settings!$C$6,B1956&gt;Settings!$C$7),"Outside period | ","")&amp;IF(COUNTIF(Settings!$E$14:$E$43,C1956&amp;"")&gt;0,"Sensitive account | ","")&amp;IF(AND(MAX(N(E1956),N(F1956))&gt;=Settings!$C$9,MOD(MAX(N(E1956),N(F1956)),Settings!$C$10)=0),"Round amount | ",""))-3)))</f>
        <v/>
      </c>
      <c r="M1956" s="21" t="str">
        <f aca="false">IF(A1956="","",IF(COUNTIF($A$9:A1956,A1956)=1,MAX($M$8:M1955)+1,""))</f>
        <v/>
      </c>
    </row>
    <row r="1957" customFormat="false" ht="15" hidden="false" customHeight="false" outlineLevel="0" collapsed="false">
      <c r="A1957" s="8"/>
      <c r="B1957" s="17"/>
      <c r="C1957" s="19"/>
      <c r="D1957" s="8"/>
      <c r="E1957" s="18"/>
      <c r="F1957" s="18"/>
      <c r="G1957" s="8"/>
      <c r="H1957" s="8"/>
      <c r="I1957" s="8"/>
      <c r="J1957" s="8"/>
      <c r="K1957" s="10" t="str">
        <f aca="false">IF(A1957="","",IF(ABS(SUMIFS($E$9:$E$2008,$A$9:$A$2008,A1957)-SUMIFS($F$9:$F$2008,$A$9:$A$2008,A1957))&lt;0.5,"Yes","No"))</f>
        <v/>
      </c>
      <c r="L1957" s="10" t="str">
        <f aca="false">IF(A1957="","",IF(IF(K1957="No","Does not balance | ","")&amp;IF(I1957="","Not approved | ",IF(UPPER(TRIM(H1957))=UPPER(TRIM(I1957)),"Self-approved | ",""))&amp;IF(J1957="","No support | ","")&amp;IF(WEEKDAY(B1957,2)&gt;5,"Weekend posting | ","")&amp;IF(COUNTIF(Settings!$A$14:$A$43,B1957)&gt;0,"Holiday posting | ","")&amp;IF(B1957&gt;Settings!$C$8,"Posted after close | ","")&amp;IF(OR(B1957&lt;Settings!$C$6,B1957&gt;Settings!$C$7),"Outside period | ","")&amp;IF(COUNTIF(Settings!$E$14:$E$43,C1957&amp;"")&gt;0,"Sensitive account | ","")&amp;IF(AND(MAX(N(E1957),N(F1957))&gt;=Settings!$C$9,MOD(MAX(N(E1957),N(F1957)),Settings!$C$10)=0),"Round amount | ","")="","",LEFT(IF(K1957="No","Does not balance | ","")&amp;IF(I1957="","Not approved | ",IF(UPPER(TRIM(H1957))=UPPER(TRIM(I1957)),"Self-approved | ",""))&amp;IF(J1957="","No support | ","")&amp;IF(WEEKDAY(B1957,2)&gt;5,"Weekend posting | ","")&amp;IF(COUNTIF(Settings!$A$14:$A$43,B1957)&gt;0,"Holiday posting | ","")&amp;IF(B1957&gt;Settings!$C$8,"Posted after close | ","")&amp;IF(OR(B1957&lt;Settings!$C$6,B1957&gt;Settings!$C$7),"Outside period | ","")&amp;IF(COUNTIF(Settings!$E$14:$E$43,C1957&amp;"")&gt;0,"Sensitive account | ","")&amp;IF(AND(MAX(N(E1957),N(F1957))&gt;=Settings!$C$9,MOD(MAX(N(E1957),N(F1957)),Settings!$C$10)=0),"Round amount | ",""),LEN(IF(K1957="No","Does not balance | ","")&amp;IF(I1957="","Not approved | ",IF(UPPER(TRIM(H1957))=UPPER(TRIM(I1957)),"Self-approved | ",""))&amp;IF(J1957="","No support | ","")&amp;IF(WEEKDAY(B1957,2)&gt;5,"Weekend posting | ","")&amp;IF(COUNTIF(Settings!$A$14:$A$43,B1957)&gt;0,"Holiday posting | ","")&amp;IF(B1957&gt;Settings!$C$8,"Posted after close | ","")&amp;IF(OR(B1957&lt;Settings!$C$6,B1957&gt;Settings!$C$7),"Outside period | ","")&amp;IF(COUNTIF(Settings!$E$14:$E$43,C1957&amp;"")&gt;0,"Sensitive account | ","")&amp;IF(AND(MAX(N(E1957),N(F1957))&gt;=Settings!$C$9,MOD(MAX(N(E1957),N(F1957)),Settings!$C$10)=0),"Round amount | ",""))-3)))</f>
        <v/>
      </c>
      <c r="M1957" s="21" t="str">
        <f aca="false">IF(A1957="","",IF(COUNTIF($A$9:A1957,A1957)=1,MAX($M$8:M1956)+1,""))</f>
        <v/>
      </c>
    </row>
    <row r="1958" customFormat="false" ht="15" hidden="false" customHeight="false" outlineLevel="0" collapsed="false">
      <c r="A1958" s="8"/>
      <c r="B1958" s="17"/>
      <c r="C1958" s="19"/>
      <c r="D1958" s="8"/>
      <c r="E1958" s="18"/>
      <c r="F1958" s="18"/>
      <c r="G1958" s="8"/>
      <c r="H1958" s="8"/>
      <c r="I1958" s="8"/>
      <c r="J1958" s="8"/>
      <c r="K1958" s="10" t="str">
        <f aca="false">IF(A1958="","",IF(ABS(SUMIFS($E$9:$E$2008,$A$9:$A$2008,A1958)-SUMIFS($F$9:$F$2008,$A$9:$A$2008,A1958))&lt;0.5,"Yes","No"))</f>
        <v/>
      </c>
      <c r="L1958" s="10" t="str">
        <f aca="false">IF(A1958="","",IF(IF(K1958="No","Does not balance | ","")&amp;IF(I1958="","Not approved | ",IF(UPPER(TRIM(H1958))=UPPER(TRIM(I1958)),"Self-approved | ",""))&amp;IF(J1958="","No support | ","")&amp;IF(WEEKDAY(B1958,2)&gt;5,"Weekend posting | ","")&amp;IF(COUNTIF(Settings!$A$14:$A$43,B1958)&gt;0,"Holiday posting | ","")&amp;IF(B1958&gt;Settings!$C$8,"Posted after close | ","")&amp;IF(OR(B1958&lt;Settings!$C$6,B1958&gt;Settings!$C$7),"Outside period | ","")&amp;IF(COUNTIF(Settings!$E$14:$E$43,C1958&amp;"")&gt;0,"Sensitive account | ","")&amp;IF(AND(MAX(N(E1958),N(F1958))&gt;=Settings!$C$9,MOD(MAX(N(E1958),N(F1958)),Settings!$C$10)=0),"Round amount | ","")="","",LEFT(IF(K1958="No","Does not balance | ","")&amp;IF(I1958="","Not approved | ",IF(UPPER(TRIM(H1958))=UPPER(TRIM(I1958)),"Self-approved | ",""))&amp;IF(J1958="","No support | ","")&amp;IF(WEEKDAY(B1958,2)&gt;5,"Weekend posting | ","")&amp;IF(COUNTIF(Settings!$A$14:$A$43,B1958)&gt;0,"Holiday posting | ","")&amp;IF(B1958&gt;Settings!$C$8,"Posted after close | ","")&amp;IF(OR(B1958&lt;Settings!$C$6,B1958&gt;Settings!$C$7),"Outside period | ","")&amp;IF(COUNTIF(Settings!$E$14:$E$43,C1958&amp;"")&gt;0,"Sensitive account | ","")&amp;IF(AND(MAX(N(E1958),N(F1958))&gt;=Settings!$C$9,MOD(MAX(N(E1958),N(F1958)),Settings!$C$10)=0),"Round amount | ",""),LEN(IF(K1958="No","Does not balance | ","")&amp;IF(I1958="","Not approved | ",IF(UPPER(TRIM(H1958))=UPPER(TRIM(I1958)),"Self-approved | ",""))&amp;IF(J1958="","No support | ","")&amp;IF(WEEKDAY(B1958,2)&gt;5,"Weekend posting | ","")&amp;IF(COUNTIF(Settings!$A$14:$A$43,B1958)&gt;0,"Holiday posting | ","")&amp;IF(B1958&gt;Settings!$C$8,"Posted after close | ","")&amp;IF(OR(B1958&lt;Settings!$C$6,B1958&gt;Settings!$C$7),"Outside period | ","")&amp;IF(COUNTIF(Settings!$E$14:$E$43,C1958&amp;"")&gt;0,"Sensitive account | ","")&amp;IF(AND(MAX(N(E1958),N(F1958))&gt;=Settings!$C$9,MOD(MAX(N(E1958),N(F1958)),Settings!$C$10)=0),"Round amount | ",""))-3)))</f>
        <v/>
      </c>
      <c r="M1958" s="21" t="str">
        <f aca="false">IF(A1958="","",IF(COUNTIF($A$9:A1958,A1958)=1,MAX($M$8:M1957)+1,""))</f>
        <v/>
      </c>
    </row>
    <row r="1959" customFormat="false" ht="15" hidden="false" customHeight="false" outlineLevel="0" collapsed="false">
      <c r="A1959" s="8"/>
      <c r="B1959" s="17"/>
      <c r="C1959" s="19"/>
      <c r="D1959" s="8"/>
      <c r="E1959" s="18"/>
      <c r="F1959" s="18"/>
      <c r="G1959" s="8"/>
      <c r="H1959" s="8"/>
      <c r="I1959" s="8"/>
      <c r="J1959" s="8"/>
      <c r="K1959" s="10" t="str">
        <f aca="false">IF(A1959="","",IF(ABS(SUMIFS($E$9:$E$2008,$A$9:$A$2008,A1959)-SUMIFS($F$9:$F$2008,$A$9:$A$2008,A1959))&lt;0.5,"Yes","No"))</f>
        <v/>
      </c>
      <c r="L1959" s="10" t="str">
        <f aca="false">IF(A1959="","",IF(IF(K1959="No","Does not balance | ","")&amp;IF(I1959="","Not approved | ",IF(UPPER(TRIM(H1959))=UPPER(TRIM(I1959)),"Self-approved | ",""))&amp;IF(J1959="","No support | ","")&amp;IF(WEEKDAY(B1959,2)&gt;5,"Weekend posting | ","")&amp;IF(COUNTIF(Settings!$A$14:$A$43,B1959)&gt;0,"Holiday posting | ","")&amp;IF(B1959&gt;Settings!$C$8,"Posted after close | ","")&amp;IF(OR(B1959&lt;Settings!$C$6,B1959&gt;Settings!$C$7),"Outside period | ","")&amp;IF(COUNTIF(Settings!$E$14:$E$43,C1959&amp;"")&gt;0,"Sensitive account | ","")&amp;IF(AND(MAX(N(E1959),N(F1959))&gt;=Settings!$C$9,MOD(MAX(N(E1959),N(F1959)),Settings!$C$10)=0),"Round amount | ","")="","",LEFT(IF(K1959="No","Does not balance | ","")&amp;IF(I1959="","Not approved | ",IF(UPPER(TRIM(H1959))=UPPER(TRIM(I1959)),"Self-approved | ",""))&amp;IF(J1959="","No support | ","")&amp;IF(WEEKDAY(B1959,2)&gt;5,"Weekend posting | ","")&amp;IF(COUNTIF(Settings!$A$14:$A$43,B1959)&gt;0,"Holiday posting | ","")&amp;IF(B1959&gt;Settings!$C$8,"Posted after close | ","")&amp;IF(OR(B1959&lt;Settings!$C$6,B1959&gt;Settings!$C$7),"Outside period | ","")&amp;IF(COUNTIF(Settings!$E$14:$E$43,C1959&amp;"")&gt;0,"Sensitive account | ","")&amp;IF(AND(MAX(N(E1959),N(F1959))&gt;=Settings!$C$9,MOD(MAX(N(E1959),N(F1959)),Settings!$C$10)=0),"Round amount | ",""),LEN(IF(K1959="No","Does not balance | ","")&amp;IF(I1959="","Not approved | ",IF(UPPER(TRIM(H1959))=UPPER(TRIM(I1959)),"Self-approved | ",""))&amp;IF(J1959="","No support | ","")&amp;IF(WEEKDAY(B1959,2)&gt;5,"Weekend posting | ","")&amp;IF(COUNTIF(Settings!$A$14:$A$43,B1959)&gt;0,"Holiday posting | ","")&amp;IF(B1959&gt;Settings!$C$8,"Posted after close | ","")&amp;IF(OR(B1959&lt;Settings!$C$6,B1959&gt;Settings!$C$7),"Outside period | ","")&amp;IF(COUNTIF(Settings!$E$14:$E$43,C1959&amp;"")&gt;0,"Sensitive account | ","")&amp;IF(AND(MAX(N(E1959),N(F1959))&gt;=Settings!$C$9,MOD(MAX(N(E1959),N(F1959)),Settings!$C$10)=0),"Round amount | ",""))-3)))</f>
        <v/>
      </c>
      <c r="M1959" s="21" t="str">
        <f aca="false">IF(A1959="","",IF(COUNTIF($A$9:A1959,A1959)=1,MAX($M$8:M1958)+1,""))</f>
        <v/>
      </c>
    </row>
    <row r="1960" customFormat="false" ht="15" hidden="false" customHeight="false" outlineLevel="0" collapsed="false">
      <c r="A1960" s="8"/>
      <c r="B1960" s="17"/>
      <c r="C1960" s="19"/>
      <c r="D1960" s="8"/>
      <c r="E1960" s="18"/>
      <c r="F1960" s="18"/>
      <c r="G1960" s="8"/>
      <c r="H1960" s="8"/>
      <c r="I1960" s="8"/>
      <c r="J1960" s="8"/>
      <c r="K1960" s="10" t="str">
        <f aca="false">IF(A1960="","",IF(ABS(SUMIFS($E$9:$E$2008,$A$9:$A$2008,A1960)-SUMIFS($F$9:$F$2008,$A$9:$A$2008,A1960))&lt;0.5,"Yes","No"))</f>
        <v/>
      </c>
      <c r="L1960" s="10" t="str">
        <f aca="false">IF(A1960="","",IF(IF(K1960="No","Does not balance | ","")&amp;IF(I1960="","Not approved | ",IF(UPPER(TRIM(H1960))=UPPER(TRIM(I1960)),"Self-approved | ",""))&amp;IF(J1960="","No support | ","")&amp;IF(WEEKDAY(B1960,2)&gt;5,"Weekend posting | ","")&amp;IF(COUNTIF(Settings!$A$14:$A$43,B1960)&gt;0,"Holiday posting | ","")&amp;IF(B1960&gt;Settings!$C$8,"Posted after close | ","")&amp;IF(OR(B1960&lt;Settings!$C$6,B1960&gt;Settings!$C$7),"Outside period | ","")&amp;IF(COUNTIF(Settings!$E$14:$E$43,C1960&amp;"")&gt;0,"Sensitive account | ","")&amp;IF(AND(MAX(N(E1960),N(F1960))&gt;=Settings!$C$9,MOD(MAX(N(E1960),N(F1960)),Settings!$C$10)=0),"Round amount | ","")="","",LEFT(IF(K1960="No","Does not balance | ","")&amp;IF(I1960="","Not approved | ",IF(UPPER(TRIM(H1960))=UPPER(TRIM(I1960)),"Self-approved | ",""))&amp;IF(J1960="","No support | ","")&amp;IF(WEEKDAY(B1960,2)&gt;5,"Weekend posting | ","")&amp;IF(COUNTIF(Settings!$A$14:$A$43,B1960)&gt;0,"Holiday posting | ","")&amp;IF(B1960&gt;Settings!$C$8,"Posted after close | ","")&amp;IF(OR(B1960&lt;Settings!$C$6,B1960&gt;Settings!$C$7),"Outside period | ","")&amp;IF(COUNTIF(Settings!$E$14:$E$43,C1960&amp;"")&gt;0,"Sensitive account | ","")&amp;IF(AND(MAX(N(E1960),N(F1960))&gt;=Settings!$C$9,MOD(MAX(N(E1960),N(F1960)),Settings!$C$10)=0),"Round amount | ",""),LEN(IF(K1960="No","Does not balance | ","")&amp;IF(I1960="","Not approved | ",IF(UPPER(TRIM(H1960))=UPPER(TRIM(I1960)),"Self-approved | ",""))&amp;IF(J1960="","No support | ","")&amp;IF(WEEKDAY(B1960,2)&gt;5,"Weekend posting | ","")&amp;IF(COUNTIF(Settings!$A$14:$A$43,B1960)&gt;0,"Holiday posting | ","")&amp;IF(B1960&gt;Settings!$C$8,"Posted after close | ","")&amp;IF(OR(B1960&lt;Settings!$C$6,B1960&gt;Settings!$C$7),"Outside period | ","")&amp;IF(COUNTIF(Settings!$E$14:$E$43,C1960&amp;"")&gt;0,"Sensitive account | ","")&amp;IF(AND(MAX(N(E1960),N(F1960))&gt;=Settings!$C$9,MOD(MAX(N(E1960),N(F1960)),Settings!$C$10)=0),"Round amount | ",""))-3)))</f>
        <v/>
      </c>
      <c r="M1960" s="21" t="str">
        <f aca="false">IF(A1960="","",IF(COUNTIF($A$9:A1960,A1960)=1,MAX($M$8:M1959)+1,""))</f>
        <v/>
      </c>
    </row>
    <row r="1961" customFormat="false" ht="15" hidden="false" customHeight="false" outlineLevel="0" collapsed="false">
      <c r="A1961" s="8"/>
      <c r="B1961" s="17"/>
      <c r="C1961" s="19"/>
      <c r="D1961" s="8"/>
      <c r="E1961" s="18"/>
      <c r="F1961" s="18"/>
      <c r="G1961" s="8"/>
      <c r="H1961" s="8"/>
      <c r="I1961" s="8"/>
      <c r="J1961" s="8"/>
      <c r="K1961" s="10" t="str">
        <f aca="false">IF(A1961="","",IF(ABS(SUMIFS($E$9:$E$2008,$A$9:$A$2008,A1961)-SUMIFS($F$9:$F$2008,$A$9:$A$2008,A1961))&lt;0.5,"Yes","No"))</f>
        <v/>
      </c>
      <c r="L1961" s="10" t="str">
        <f aca="false">IF(A1961="","",IF(IF(K1961="No","Does not balance | ","")&amp;IF(I1961="","Not approved | ",IF(UPPER(TRIM(H1961))=UPPER(TRIM(I1961)),"Self-approved | ",""))&amp;IF(J1961="","No support | ","")&amp;IF(WEEKDAY(B1961,2)&gt;5,"Weekend posting | ","")&amp;IF(COUNTIF(Settings!$A$14:$A$43,B1961)&gt;0,"Holiday posting | ","")&amp;IF(B1961&gt;Settings!$C$8,"Posted after close | ","")&amp;IF(OR(B1961&lt;Settings!$C$6,B1961&gt;Settings!$C$7),"Outside period | ","")&amp;IF(COUNTIF(Settings!$E$14:$E$43,C1961&amp;"")&gt;0,"Sensitive account | ","")&amp;IF(AND(MAX(N(E1961),N(F1961))&gt;=Settings!$C$9,MOD(MAX(N(E1961),N(F1961)),Settings!$C$10)=0),"Round amount | ","")="","",LEFT(IF(K1961="No","Does not balance | ","")&amp;IF(I1961="","Not approved | ",IF(UPPER(TRIM(H1961))=UPPER(TRIM(I1961)),"Self-approved | ",""))&amp;IF(J1961="","No support | ","")&amp;IF(WEEKDAY(B1961,2)&gt;5,"Weekend posting | ","")&amp;IF(COUNTIF(Settings!$A$14:$A$43,B1961)&gt;0,"Holiday posting | ","")&amp;IF(B1961&gt;Settings!$C$8,"Posted after close | ","")&amp;IF(OR(B1961&lt;Settings!$C$6,B1961&gt;Settings!$C$7),"Outside period | ","")&amp;IF(COUNTIF(Settings!$E$14:$E$43,C1961&amp;"")&gt;0,"Sensitive account | ","")&amp;IF(AND(MAX(N(E1961),N(F1961))&gt;=Settings!$C$9,MOD(MAX(N(E1961),N(F1961)),Settings!$C$10)=0),"Round amount | ",""),LEN(IF(K1961="No","Does not balance | ","")&amp;IF(I1961="","Not approved | ",IF(UPPER(TRIM(H1961))=UPPER(TRIM(I1961)),"Self-approved | ",""))&amp;IF(J1961="","No support | ","")&amp;IF(WEEKDAY(B1961,2)&gt;5,"Weekend posting | ","")&amp;IF(COUNTIF(Settings!$A$14:$A$43,B1961)&gt;0,"Holiday posting | ","")&amp;IF(B1961&gt;Settings!$C$8,"Posted after close | ","")&amp;IF(OR(B1961&lt;Settings!$C$6,B1961&gt;Settings!$C$7),"Outside period | ","")&amp;IF(COUNTIF(Settings!$E$14:$E$43,C1961&amp;"")&gt;0,"Sensitive account | ","")&amp;IF(AND(MAX(N(E1961),N(F1961))&gt;=Settings!$C$9,MOD(MAX(N(E1961),N(F1961)),Settings!$C$10)=0),"Round amount | ",""))-3)))</f>
        <v/>
      </c>
      <c r="M1961" s="21" t="str">
        <f aca="false">IF(A1961="","",IF(COUNTIF($A$9:A1961,A1961)=1,MAX($M$8:M1960)+1,""))</f>
        <v/>
      </c>
    </row>
    <row r="1962" customFormat="false" ht="15" hidden="false" customHeight="false" outlineLevel="0" collapsed="false">
      <c r="A1962" s="8"/>
      <c r="B1962" s="17"/>
      <c r="C1962" s="19"/>
      <c r="D1962" s="8"/>
      <c r="E1962" s="18"/>
      <c r="F1962" s="18"/>
      <c r="G1962" s="8"/>
      <c r="H1962" s="8"/>
      <c r="I1962" s="8"/>
      <c r="J1962" s="8"/>
      <c r="K1962" s="10" t="str">
        <f aca="false">IF(A1962="","",IF(ABS(SUMIFS($E$9:$E$2008,$A$9:$A$2008,A1962)-SUMIFS($F$9:$F$2008,$A$9:$A$2008,A1962))&lt;0.5,"Yes","No"))</f>
        <v/>
      </c>
      <c r="L1962" s="10" t="str">
        <f aca="false">IF(A1962="","",IF(IF(K1962="No","Does not balance | ","")&amp;IF(I1962="","Not approved | ",IF(UPPER(TRIM(H1962))=UPPER(TRIM(I1962)),"Self-approved | ",""))&amp;IF(J1962="","No support | ","")&amp;IF(WEEKDAY(B1962,2)&gt;5,"Weekend posting | ","")&amp;IF(COUNTIF(Settings!$A$14:$A$43,B1962)&gt;0,"Holiday posting | ","")&amp;IF(B1962&gt;Settings!$C$8,"Posted after close | ","")&amp;IF(OR(B1962&lt;Settings!$C$6,B1962&gt;Settings!$C$7),"Outside period | ","")&amp;IF(COUNTIF(Settings!$E$14:$E$43,C1962&amp;"")&gt;0,"Sensitive account | ","")&amp;IF(AND(MAX(N(E1962),N(F1962))&gt;=Settings!$C$9,MOD(MAX(N(E1962),N(F1962)),Settings!$C$10)=0),"Round amount | ","")="","",LEFT(IF(K1962="No","Does not balance | ","")&amp;IF(I1962="","Not approved | ",IF(UPPER(TRIM(H1962))=UPPER(TRIM(I1962)),"Self-approved | ",""))&amp;IF(J1962="","No support | ","")&amp;IF(WEEKDAY(B1962,2)&gt;5,"Weekend posting | ","")&amp;IF(COUNTIF(Settings!$A$14:$A$43,B1962)&gt;0,"Holiday posting | ","")&amp;IF(B1962&gt;Settings!$C$8,"Posted after close | ","")&amp;IF(OR(B1962&lt;Settings!$C$6,B1962&gt;Settings!$C$7),"Outside period | ","")&amp;IF(COUNTIF(Settings!$E$14:$E$43,C1962&amp;"")&gt;0,"Sensitive account | ","")&amp;IF(AND(MAX(N(E1962),N(F1962))&gt;=Settings!$C$9,MOD(MAX(N(E1962),N(F1962)),Settings!$C$10)=0),"Round amount | ",""),LEN(IF(K1962="No","Does not balance | ","")&amp;IF(I1962="","Not approved | ",IF(UPPER(TRIM(H1962))=UPPER(TRIM(I1962)),"Self-approved | ",""))&amp;IF(J1962="","No support | ","")&amp;IF(WEEKDAY(B1962,2)&gt;5,"Weekend posting | ","")&amp;IF(COUNTIF(Settings!$A$14:$A$43,B1962)&gt;0,"Holiday posting | ","")&amp;IF(B1962&gt;Settings!$C$8,"Posted after close | ","")&amp;IF(OR(B1962&lt;Settings!$C$6,B1962&gt;Settings!$C$7),"Outside period | ","")&amp;IF(COUNTIF(Settings!$E$14:$E$43,C1962&amp;"")&gt;0,"Sensitive account | ","")&amp;IF(AND(MAX(N(E1962),N(F1962))&gt;=Settings!$C$9,MOD(MAX(N(E1962),N(F1962)),Settings!$C$10)=0),"Round amount | ",""))-3)))</f>
        <v/>
      </c>
      <c r="M1962" s="21" t="str">
        <f aca="false">IF(A1962="","",IF(COUNTIF($A$9:A1962,A1962)=1,MAX($M$8:M1961)+1,""))</f>
        <v/>
      </c>
    </row>
    <row r="1963" customFormat="false" ht="15" hidden="false" customHeight="false" outlineLevel="0" collapsed="false">
      <c r="A1963" s="8"/>
      <c r="B1963" s="17"/>
      <c r="C1963" s="19"/>
      <c r="D1963" s="8"/>
      <c r="E1963" s="18"/>
      <c r="F1963" s="18"/>
      <c r="G1963" s="8"/>
      <c r="H1963" s="8"/>
      <c r="I1963" s="8"/>
      <c r="J1963" s="8"/>
      <c r="K1963" s="10" t="str">
        <f aca="false">IF(A1963="","",IF(ABS(SUMIFS($E$9:$E$2008,$A$9:$A$2008,A1963)-SUMIFS($F$9:$F$2008,$A$9:$A$2008,A1963))&lt;0.5,"Yes","No"))</f>
        <v/>
      </c>
      <c r="L1963" s="10" t="str">
        <f aca="false">IF(A1963="","",IF(IF(K1963="No","Does not balance | ","")&amp;IF(I1963="","Not approved | ",IF(UPPER(TRIM(H1963))=UPPER(TRIM(I1963)),"Self-approved | ",""))&amp;IF(J1963="","No support | ","")&amp;IF(WEEKDAY(B1963,2)&gt;5,"Weekend posting | ","")&amp;IF(COUNTIF(Settings!$A$14:$A$43,B1963)&gt;0,"Holiday posting | ","")&amp;IF(B1963&gt;Settings!$C$8,"Posted after close | ","")&amp;IF(OR(B1963&lt;Settings!$C$6,B1963&gt;Settings!$C$7),"Outside period | ","")&amp;IF(COUNTIF(Settings!$E$14:$E$43,C1963&amp;"")&gt;0,"Sensitive account | ","")&amp;IF(AND(MAX(N(E1963),N(F1963))&gt;=Settings!$C$9,MOD(MAX(N(E1963),N(F1963)),Settings!$C$10)=0),"Round amount | ","")="","",LEFT(IF(K1963="No","Does not balance | ","")&amp;IF(I1963="","Not approved | ",IF(UPPER(TRIM(H1963))=UPPER(TRIM(I1963)),"Self-approved | ",""))&amp;IF(J1963="","No support | ","")&amp;IF(WEEKDAY(B1963,2)&gt;5,"Weekend posting | ","")&amp;IF(COUNTIF(Settings!$A$14:$A$43,B1963)&gt;0,"Holiday posting | ","")&amp;IF(B1963&gt;Settings!$C$8,"Posted after close | ","")&amp;IF(OR(B1963&lt;Settings!$C$6,B1963&gt;Settings!$C$7),"Outside period | ","")&amp;IF(COUNTIF(Settings!$E$14:$E$43,C1963&amp;"")&gt;0,"Sensitive account | ","")&amp;IF(AND(MAX(N(E1963),N(F1963))&gt;=Settings!$C$9,MOD(MAX(N(E1963),N(F1963)),Settings!$C$10)=0),"Round amount | ",""),LEN(IF(K1963="No","Does not balance | ","")&amp;IF(I1963="","Not approved | ",IF(UPPER(TRIM(H1963))=UPPER(TRIM(I1963)),"Self-approved | ",""))&amp;IF(J1963="","No support | ","")&amp;IF(WEEKDAY(B1963,2)&gt;5,"Weekend posting | ","")&amp;IF(COUNTIF(Settings!$A$14:$A$43,B1963)&gt;0,"Holiday posting | ","")&amp;IF(B1963&gt;Settings!$C$8,"Posted after close | ","")&amp;IF(OR(B1963&lt;Settings!$C$6,B1963&gt;Settings!$C$7),"Outside period | ","")&amp;IF(COUNTIF(Settings!$E$14:$E$43,C1963&amp;"")&gt;0,"Sensitive account | ","")&amp;IF(AND(MAX(N(E1963),N(F1963))&gt;=Settings!$C$9,MOD(MAX(N(E1963),N(F1963)),Settings!$C$10)=0),"Round amount | ",""))-3)))</f>
        <v/>
      </c>
      <c r="M1963" s="21" t="str">
        <f aca="false">IF(A1963="","",IF(COUNTIF($A$9:A1963,A1963)=1,MAX($M$8:M1962)+1,""))</f>
        <v/>
      </c>
    </row>
    <row r="1964" customFormat="false" ht="15" hidden="false" customHeight="false" outlineLevel="0" collapsed="false">
      <c r="A1964" s="8"/>
      <c r="B1964" s="17"/>
      <c r="C1964" s="19"/>
      <c r="D1964" s="8"/>
      <c r="E1964" s="18"/>
      <c r="F1964" s="18"/>
      <c r="G1964" s="8"/>
      <c r="H1964" s="8"/>
      <c r="I1964" s="8"/>
      <c r="J1964" s="8"/>
      <c r="K1964" s="10" t="str">
        <f aca="false">IF(A1964="","",IF(ABS(SUMIFS($E$9:$E$2008,$A$9:$A$2008,A1964)-SUMIFS($F$9:$F$2008,$A$9:$A$2008,A1964))&lt;0.5,"Yes","No"))</f>
        <v/>
      </c>
      <c r="L1964" s="10" t="str">
        <f aca="false">IF(A1964="","",IF(IF(K1964="No","Does not balance | ","")&amp;IF(I1964="","Not approved | ",IF(UPPER(TRIM(H1964))=UPPER(TRIM(I1964)),"Self-approved | ",""))&amp;IF(J1964="","No support | ","")&amp;IF(WEEKDAY(B1964,2)&gt;5,"Weekend posting | ","")&amp;IF(COUNTIF(Settings!$A$14:$A$43,B1964)&gt;0,"Holiday posting | ","")&amp;IF(B1964&gt;Settings!$C$8,"Posted after close | ","")&amp;IF(OR(B1964&lt;Settings!$C$6,B1964&gt;Settings!$C$7),"Outside period | ","")&amp;IF(COUNTIF(Settings!$E$14:$E$43,C1964&amp;"")&gt;0,"Sensitive account | ","")&amp;IF(AND(MAX(N(E1964),N(F1964))&gt;=Settings!$C$9,MOD(MAX(N(E1964),N(F1964)),Settings!$C$10)=0),"Round amount | ","")="","",LEFT(IF(K1964="No","Does not balance | ","")&amp;IF(I1964="","Not approved | ",IF(UPPER(TRIM(H1964))=UPPER(TRIM(I1964)),"Self-approved | ",""))&amp;IF(J1964="","No support | ","")&amp;IF(WEEKDAY(B1964,2)&gt;5,"Weekend posting | ","")&amp;IF(COUNTIF(Settings!$A$14:$A$43,B1964)&gt;0,"Holiday posting | ","")&amp;IF(B1964&gt;Settings!$C$8,"Posted after close | ","")&amp;IF(OR(B1964&lt;Settings!$C$6,B1964&gt;Settings!$C$7),"Outside period | ","")&amp;IF(COUNTIF(Settings!$E$14:$E$43,C1964&amp;"")&gt;0,"Sensitive account | ","")&amp;IF(AND(MAX(N(E1964),N(F1964))&gt;=Settings!$C$9,MOD(MAX(N(E1964),N(F1964)),Settings!$C$10)=0),"Round amount | ",""),LEN(IF(K1964="No","Does not balance | ","")&amp;IF(I1964="","Not approved | ",IF(UPPER(TRIM(H1964))=UPPER(TRIM(I1964)),"Self-approved | ",""))&amp;IF(J1964="","No support | ","")&amp;IF(WEEKDAY(B1964,2)&gt;5,"Weekend posting | ","")&amp;IF(COUNTIF(Settings!$A$14:$A$43,B1964)&gt;0,"Holiday posting | ","")&amp;IF(B1964&gt;Settings!$C$8,"Posted after close | ","")&amp;IF(OR(B1964&lt;Settings!$C$6,B1964&gt;Settings!$C$7),"Outside period | ","")&amp;IF(COUNTIF(Settings!$E$14:$E$43,C1964&amp;"")&gt;0,"Sensitive account | ","")&amp;IF(AND(MAX(N(E1964),N(F1964))&gt;=Settings!$C$9,MOD(MAX(N(E1964),N(F1964)),Settings!$C$10)=0),"Round amount | ",""))-3)))</f>
        <v/>
      </c>
      <c r="M1964" s="21" t="str">
        <f aca="false">IF(A1964="","",IF(COUNTIF($A$9:A1964,A1964)=1,MAX($M$8:M1963)+1,""))</f>
        <v/>
      </c>
    </row>
    <row r="1965" customFormat="false" ht="15" hidden="false" customHeight="false" outlineLevel="0" collapsed="false">
      <c r="A1965" s="8"/>
      <c r="B1965" s="17"/>
      <c r="C1965" s="19"/>
      <c r="D1965" s="8"/>
      <c r="E1965" s="18"/>
      <c r="F1965" s="18"/>
      <c r="G1965" s="8"/>
      <c r="H1965" s="8"/>
      <c r="I1965" s="8"/>
      <c r="J1965" s="8"/>
      <c r="K1965" s="10" t="str">
        <f aca="false">IF(A1965="","",IF(ABS(SUMIFS($E$9:$E$2008,$A$9:$A$2008,A1965)-SUMIFS($F$9:$F$2008,$A$9:$A$2008,A1965))&lt;0.5,"Yes","No"))</f>
        <v/>
      </c>
      <c r="L1965" s="10" t="str">
        <f aca="false">IF(A1965="","",IF(IF(K1965="No","Does not balance | ","")&amp;IF(I1965="","Not approved | ",IF(UPPER(TRIM(H1965))=UPPER(TRIM(I1965)),"Self-approved | ",""))&amp;IF(J1965="","No support | ","")&amp;IF(WEEKDAY(B1965,2)&gt;5,"Weekend posting | ","")&amp;IF(COUNTIF(Settings!$A$14:$A$43,B1965)&gt;0,"Holiday posting | ","")&amp;IF(B1965&gt;Settings!$C$8,"Posted after close | ","")&amp;IF(OR(B1965&lt;Settings!$C$6,B1965&gt;Settings!$C$7),"Outside period | ","")&amp;IF(COUNTIF(Settings!$E$14:$E$43,C1965&amp;"")&gt;0,"Sensitive account | ","")&amp;IF(AND(MAX(N(E1965),N(F1965))&gt;=Settings!$C$9,MOD(MAX(N(E1965),N(F1965)),Settings!$C$10)=0),"Round amount | ","")="","",LEFT(IF(K1965="No","Does not balance | ","")&amp;IF(I1965="","Not approved | ",IF(UPPER(TRIM(H1965))=UPPER(TRIM(I1965)),"Self-approved | ",""))&amp;IF(J1965="","No support | ","")&amp;IF(WEEKDAY(B1965,2)&gt;5,"Weekend posting | ","")&amp;IF(COUNTIF(Settings!$A$14:$A$43,B1965)&gt;0,"Holiday posting | ","")&amp;IF(B1965&gt;Settings!$C$8,"Posted after close | ","")&amp;IF(OR(B1965&lt;Settings!$C$6,B1965&gt;Settings!$C$7),"Outside period | ","")&amp;IF(COUNTIF(Settings!$E$14:$E$43,C1965&amp;"")&gt;0,"Sensitive account | ","")&amp;IF(AND(MAX(N(E1965),N(F1965))&gt;=Settings!$C$9,MOD(MAX(N(E1965),N(F1965)),Settings!$C$10)=0),"Round amount | ",""),LEN(IF(K1965="No","Does not balance | ","")&amp;IF(I1965="","Not approved | ",IF(UPPER(TRIM(H1965))=UPPER(TRIM(I1965)),"Self-approved | ",""))&amp;IF(J1965="","No support | ","")&amp;IF(WEEKDAY(B1965,2)&gt;5,"Weekend posting | ","")&amp;IF(COUNTIF(Settings!$A$14:$A$43,B1965)&gt;0,"Holiday posting | ","")&amp;IF(B1965&gt;Settings!$C$8,"Posted after close | ","")&amp;IF(OR(B1965&lt;Settings!$C$6,B1965&gt;Settings!$C$7),"Outside period | ","")&amp;IF(COUNTIF(Settings!$E$14:$E$43,C1965&amp;"")&gt;0,"Sensitive account | ","")&amp;IF(AND(MAX(N(E1965),N(F1965))&gt;=Settings!$C$9,MOD(MAX(N(E1965),N(F1965)),Settings!$C$10)=0),"Round amount | ",""))-3)))</f>
        <v/>
      </c>
      <c r="M1965" s="21" t="str">
        <f aca="false">IF(A1965="","",IF(COUNTIF($A$9:A1965,A1965)=1,MAX($M$8:M1964)+1,""))</f>
        <v/>
      </c>
    </row>
    <row r="1966" customFormat="false" ht="15" hidden="false" customHeight="false" outlineLevel="0" collapsed="false">
      <c r="A1966" s="8"/>
      <c r="B1966" s="17"/>
      <c r="C1966" s="19"/>
      <c r="D1966" s="8"/>
      <c r="E1966" s="18"/>
      <c r="F1966" s="18"/>
      <c r="G1966" s="8"/>
      <c r="H1966" s="8"/>
      <c r="I1966" s="8"/>
      <c r="J1966" s="8"/>
      <c r="K1966" s="10" t="str">
        <f aca="false">IF(A1966="","",IF(ABS(SUMIFS($E$9:$E$2008,$A$9:$A$2008,A1966)-SUMIFS($F$9:$F$2008,$A$9:$A$2008,A1966))&lt;0.5,"Yes","No"))</f>
        <v/>
      </c>
      <c r="L1966" s="10" t="str">
        <f aca="false">IF(A1966="","",IF(IF(K1966="No","Does not balance | ","")&amp;IF(I1966="","Not approved | ",IF(UPPER(TRIM(H1966))=UPPER(TRIM(I1966)),"Self-approved | ",""))&amp;IF(J1966="","No support | ","")&amp;IF(WEEKDAY(B1966,2)&gt;5,"Weekend posting | ","")&amp;IF(COUNTIF(Settings!$A$14:$A$43,B1966)&gt;0,"Holiday posting | ","")&amp;IF(B1966&gt;Settings!$C$8,"Posted after close | ","")&amp;IF(OR(B1966&lt;Settings!$C$6,B1966&gt;Settings!$C$7),"Outside period | ","")&amp;IF(COUNTIF(Settings!$E$14:$E$43,C1966&amp;"")&gt;0,"Sensitive account | ","")&amp;IF(AND(MAX(N(E1966),N(F1966))&gt;=Settings!$C$9,MOD(MAX(N(E1966),N(F1966)),Settings!$C$10)=0),"Round amount | ","")="","",LEFT(IF(K1966="No","Does not balance | ","")&amp;IF(I1966="","Not approved | ",IF(UPPER(TRIM(H1966))=UPPER(TRIM(I1966)),"Self-approved | ",""))&amp;IF(J1966="","No support | ","")&amp;IF(WEEKDAY(B1966,2)&gt;5,"Weekend posting | ","")&amp;IF(COUNTIF(Settings!$A$14:$A$43,B1966)&gt;0,"Holiday posting | ","")&amp;IF(B1966&gt;Settings!$C$8,"Posted after close | ","")&amp;IF(OR(B1966&lt;Settings!$C$6,B1966&gt;Settings!$C$7),"Outside period | ","")&amp;IF(COUNTIF(Settings!$E$14:$E$43,C1966&amp;"")&gt;0,"Sensitive account | ","")&amp;IF(AND(MAX(N(E1966),N(F1966))&gt;=Settings!$C$9,MOD(MAX(N(E1966),N(F1966)),Settings!$C$10)=0),"Round amount | ",""),LEN(IF(K1966="No","Does not balance | ","")&amp;IF(I1966="","Not approved | ",IF(UPPER(TRIM(H1966))=UPPER(TRIM(I1966)),"Self-approved | ",""))&amp;IF(J1966="","No support | ","")&amp;IF(WEEKDAY(B1966,2)&gt;5,"Weekend posting | ","")&amp;IF(COUNTIF(Settings!$A$14:$A$43,B1966)&gt;0,"Holiday posting | ","")&amp;IF(B1966&gt;Settings!$C$8,"Posted after close | ","")&amp;IF(OR(B1966&lt;Settings!$C$6,B1966&gt;Settings!$C$7),"Outside period | ","")&amp;IF(COUNTIF(Settings!$E$14:$E$43,C1966&amp;"")&gt;0,"Sensitive account | ","")&amp;IF(AND(MAX(N(E1966),N(F1966))&gt;=Settings!$C$9,MOD(MAX(N(E1966),N(F1966)),Settings!$C$10)=0),"Round amount | ",""))-3)))</f>
        <v/>
      </c>
      <c r="M1966" s="21" t="str">
        <f aca="false">IF(A1966="","",IF(COUNTIF($A$9:A1966,A1966)=1,MAX($M$8:M1965)+1,""))</f>
        <v/>
      </c>
    </row>
    <row r="1967" customFormat="false" ht="15" hidden="false" customHeight="false" outlineLevel="0" collapsed="false">
      <c r="A1967" s="8"/>
      <c r="B1967" s="17"/>
      <c r="C1967" s="19"/>
      <c r="D1967" s="8"/>
      <c r="E1967" s="18"/>
      <c r="F1967" s="18"/>
      <c r="G1967" s="8"/>
      <c r="H1967" s="8"/>
      <c r="I1967" s="8"/>
      <c r="J1967" s="8"/>
      <c r="K1967" s="10" t="str">
        <f aca="false">IF(A1967="","",IF(ABS(SUMIFS($E$9:$E$2008,$A$9:$A$2008,A1967)-SUMIFS($F$9:$F$2008,$A$9:$A$2008,A1967))&lt;0.5,"Yes","No"))</f>
        <v/>
      </c>
      <c r="L1967" s="10" t="str">
        <f aca="false">IF(A1967="","",IF(IF(K1967="No","Does not balance | ","")&amp;IF(I1967="","Not approved | ",IF(UPPER(TRIM(H1967))=UPPER(TRIM(I1967)),"Self-approved | ",""))&amp;IF(J1967="","No support | ","")&amp;IF(WEEKDAY(B1967,2)&gt;5,"Weekend posting | ","")&amp;IF(COUNTIF(Settings!$A$14:$A$43,B1967)&gt;0,"Holiday posting | ","")&amp;IF(B1967&gt;Settings!$C$8,"Posted after close | ","")&amp;IF(OR(B1967&lt;Settings!$C$6,B1967&gt;Settings!$C$7),"Outside period | ","")&amp;IF(COUNTIF(Settings!$E$14:$E$43,C1967&amp;"")&gt;0,"Sensitive account | ","")&amp;IF(AND(MAX(N(E1967),N(F1967))&gt;=Settings!$C$9,MOD(MAX(N(E1967),N(F1967)),Settings!$C$10)=0),"Round amount | ","")="","",LEFT(IF(K1967="No","Does not balance | ","")&amp;IF(I1967="","Not approved | ",IF(UPPER(TRIM(H1967))=UPPER(TRIM(I1967)),"Self-approved | ",""))&amp;IF(J1967="","No support | ","")&amp;IF(WEEKDAY(B1967,2)&gt;5,"Weekend posting | ","")&amp;IF(COUNTIF(Settings!$A$14:$A$43,B1967)&gt;0,"Holiday posting | ","")&amp;IF(B1967&gt;Settings!$C$8,"Posted after close | ","")&amp;IF(OR(B1967&lt;Settings!$C$6,B1967&gt;Settings!$C$7),"Outside period | ","")&amp;IF(COUNTIF(Settings!$E$14:$E$43,C1967&amp;"")&gt;0,"Sensitive account | ","")&amp;IF(AND(MAX(N(E1967),N(F1967))&gt;=Settings!$C$9,MOD(MAX(N(E1967),N(F1967)),Settings!$C$10)=0),"Round amount | ",""),LEN(IF(K1967="No","Does not balance | ","")&amp;IF(I1967="","Not approved | ",IF(UPPER(TRIM(H1967))=UPPER(TRIM(I1967)),"Self-approved | ",""))&amp;IF(J1967="","No support | ","")&amp;IF(WEEKDAY(B1967,2)&gt;5,"Weekend posting | ","")&amp;IF(COUNTIF(Settings!$A$14:$A$43,B1967)&gt;0,"Holiday posting | ","")&amp;IF(B1967&gt;Settings!$C$8,"Posted after close | ","")&amp;IF(OR(B1967&lt;Settings!$C$6,B1967&gt;Settings!$C$7),"Outside period | ","")&amp;IF(COUNTIF(Settings!$E$14:$E$43,C1967&amp;"")&gt;0,"Sensitive account | ","")&amp;IF(AND(MAX(N(E1967),N(F1967))&gt;=Settings!$C$9,MOD(MAX(N(E1967),N(F1967)),Settings!$C$10)=0),"Round amount | ",""))-3)))</f>
        <v/>
      </c>
      <c r="M1967" s="21" t="str">
        <f aca="false">IF(A1967="","",IF(COUNTIF($A$9:A1967,A1967)=1,MAX($M$8:M1966)+1,""))</f>
        <v/>
      </c>
    </row>
    <row r="1968" customFormat="false" ht="15" hidden="false" customHeight="false" outlineLevel="0" collapsed="false">
      <c r="A1968" s="8"/>
      <c r="B1968" s="17"/>
      <c r="C1968" s="19"/>
      <c r="D1968" s="8"/>
      <c r="E1968" s="18"/>
      <c r="F1968" s="18"/>
      <c r="G1968" s="8"/>
      <c r="H1968" s="8"/>
      <c r="I1968" s="8"/>
      <c r="J1968" s="8"/>
      <c r="K1968" s="10" t="str">
        <f aca="false">IF(A1968="","",IF(ABS(SUMIFS($E$9:$E$2008,$A$9:$A$2008,A1968)-SUMIFS($F$9:$F$2008,$A$9:$A$2008,A1968))&lt;0.5,"Yes","No"))</f>
        <v/>
      </c>
      <c r="L1968" s="10" t="str">
        <f aca="false">IF(A1968="","",IF(IF(K1968="No","Does not balance | ","")&amp;IF(I1968="","Not approved | ",IF(UPPER(TRIM(H1968))=UPPER(TRIM(I1968)),"Self-approved | ",""))&amp;IF(J1968="","No support | ","")&amp;IF(WEEKDAY(B1968,2)&gt;5,"Weekend posting | ","")&amp;IF(COUNTIF(Settings!$A$14:$A$43,B1968)&gt;0,"Holiday posting | ","")&amp;IF(B1968&gt;Settings!$C$8,"Posted after close | ","")&amp;IF(OR(B1968&lt;Settings!$C$6,B1968&gt;Settings!$C$7),"Outside period | ","")&amp;IF(COUNTIF(Settings!$E$14:$E$43,C1968&amp;"")&gt;0,"Sensitive account | ","")&amp;IF(AND(MAX(N(E1968),N(F1968))&gt;=Settings!$C$9,MOD(MAX(N(E1968),N(F1968)),Settings!$C$10)=0),"Round amount | ","")="","",LEFT(IF(K1968="No","Does not balance | ","")&amp;IF(I1968="","Not approved | ",IF(UPPER(TRIM(H1968))=UPPER(TRIM(I1968)),"Self-approved | ",""))&amp;IF(J1968="","No support | ","")&amp;IF(WEEKDAY(B1968,2)&gt;5,"Weekend posting | ","")&amp;IF(COUNTIF(Settings!$A$14:$A$43,B1968)&gt;0,"Holiday posting | ","")&amp;IF(B1968&gt;Settings!$C$8,"Posted after close | ","")&amp;IF(OR(B1968&lt;Settings!$C$6,B1968&gt;Settings!$C$7),"Outside period | ","")&amp;IF(COUNTIF(Settings!$E$14:$E$43,C1968&amp;"")&gt;0,"Sensitive account | ","")&amp;IF(AND(MAX(N(E1968),N(F1968))&gt;=Settings!$C$9,MOD(MAX(N(E1968),N(F1968)),Settings!$C$10)=0),"Round amount | ",""),LEN(IF(K1968="No","Does not balance | ","")&amp;IF(I1968="","Not approved | ",IF(UPPER(TRIM(H1968))=UPPER(TRIM(I1968)),"Self-approved | ",""))&amp;IF(J1968="","No support | ","")&amp;IF(WEEKDAY(B1968,2)&gt;5,"Weekend posting | ","")&amp;IF(COUNTIF(Settings!$A$14:$A$43,B1968)&gt;0,"Holiday posting | ","")&amp;IF(B1968&gt;Settings!$C$8,"Posted after close | ","")&amp;IF(OR(B1968&lt;Settings!$C$6,B1968&gt;Settings!$C$7),"Outside period | ","")&amp;IF(COUNTIF(Settings!$E$14:$E$43,C1968&amp;"")&gt;0,"Sensitive account | ","")&amp;IF(AND(MAX(N(E1968),N(F1968))&gt;=Settings!$C$9,MOD(MAX(N(E1968),N(F1968)),Settings!$C$10)=0),"Round amount | ",""))-3)))</f>
        <v/>
      </c>
      <c r="M1968" s="21" t="str">
        <f aca="false">IF(A1968="","",IF(COUNTIF($A$9:A1968,A1968)=1,MAX($M$8:M1967)+1,""))</f>
        <v/>
      </c>
    </row>
    <row r="1969" customFormat="false" ht="15" hidden="false" customHeight="false" outlineLevel="0" collapsed="false">
      <c r="A1969" s="8"/>
      <c r="B1969" s="17"/>
      <c r="C1969" s="19"/>
      <c r="D1969" s="8"/>
      <c r="E1969" s="18"/>
      <c r="F1969" s="18"/>
      <c r="G1969" s="8"/>
      <c r="H1969" s="8"/>
      <c r="I1969" s="8"/>
      <c r="J1969" s="8"/>
      <c r="K1969" s="10" t="str">
        <f aca="false">IF(A1969="","",IF(ABS(SUMIFS($E$9:$E$2008,$A$9:$A$2008,A1969)-SUMIFS($F$9:$F$2008,$A$9:$A$2008,A1969))&lt;0.5,"Yes","No"))</f>
        <v/>
      </c>
      <c r="L1969" s="10" t="str">
        <f aca="false">IF(A1969="","",IF(IF(K1969="No","Does not balance | ","")&amp;IF(I1969="","Not approved | ",IF(UPPER(TRIM(H1969))=UPPER(TRIM(I1969)),"Self-approved | ",""))&amp;IF(J1969="","No support | ","")&amp;IF(WEEKDAY(B1969,2)&gt;5,"Weekend posting | ","")&amp;IF(COUNTIF(Settings!$A$14:$A$43,B1969)&gt;0,"Holiday posting | ","")&amp;IF(B1969&gt;Settings!$C$8,"Posted after close | ","")&amp;IF(OR(B1969&lt;Settings!$C$6,B1969&gt;Settings!$C$7),"Outside period | ","")&amp;IF(COUNTIF(Settings!$E$14:$E$43,C1969&amp;"")&gt;0,"Sensitive account | ","")&amp;IF(AND(MAX(N(E1969),N(F1969))&gt;=Settings!$C$9,MOD(MAX(N(E1969),N(F1969)),Settings!$C$10)=0),"Round amount | ","")="","",LEFT(IF(K1969="No","Does not balance | ","")&amp;IF(I1969="","Not approved | ",IF(UPPER(TRIM(H1969))=UPPER(TRIM(I1969)),"Self-approved | ",""))&amp;IF(J1969="","No support | ","")&amp;IF(WEEKDAY(B1969,2)&gt;5,"Weekend posting | ","")&amp;IF(COUNTIF(Settings!$A$14:$A$43,B1969)&gt;0,"Holiday posting | ","")&amp;IF(B1969&gt;Settings!$C$8,"Posted after close | ","")&amp;IF(OR(B1969&lt;Settings!$C$6,B1969&gt;Settings!$C$7),"Outside period | ","")&amp;IF(COUNTIF(Settings!$E$14:$E$43,C1969&amp;"")&gt;0,"Sensitive account | ","")&amp;IF(AND(MAX(N(E1969),N(F1969))&gt;=Settings!$C$9,MOD(MAX(N(E1969),N(F1969)),Settings!$C$10)=0),"Round amount | ",""),LEN(IF(K1969="No","Does not balance | ","")&amp;IF(I1969="","Not approved | ",IF(UPPER(TRIM(H1969))=UPPER(TRIM(I1969)),"Self-approved | ",""))&amp;IF(J1969="","No support | ","")&amp;IF(WEEKDAY(B1969,2)&gt;5,"Weekend posting | ","")&amp;IF(COUNTIF(Settings!$A$14:$A$43,B1969)&gt;0,"Holiday posting | ","")&amp;IF(B1969&gt;Settings!$C$8,"Posted after close | ","")&amp;IF(OR(B1969&lt;Settings!$C$6,B1969&gt;Settings!$C$7),"Outside period | ","")&amp;IF(COUNTIF(Settings!$E$14:$E$43,C1969&amp;"")&gt;0,"Sensitive account | ","")&amp;IF(AND(MAX(N(E1969),N(F1969))&gt;=Settings!$C$9,MOD(MAX(N(E1969),N(F1969)),Settings!$C$10)=0),"Round amount | ",""))-3)))</f>
        <v/>
      </c>
      <c r="M1969" s="21" t="str">
        <f aca="false">IF(A1969="","",IF(COUNTIF($A$9:A1969,A1969)=1,MAX($M$8:M1968)+1,""))</f>
        <v/>
      </c>
    </row>
    <row r="1970" customFormat="false" ht="15" hidden="false" customHeight="false" outlineLevel="0" collapsed="false">
      <c r="A1970" s="8"/>
      <c r="B1970" s="17"/>
      <c r="C1970" s="19"/>
      <c r="D1970" s="8"/>
      <c r="E1970" s="18"/>
      <c r="F1970" s="18"/>
      <c r="G1970" s="8"/>
      <c r="H1970" s="8"/>
      <c r="I1970" s="8"/>
      <c r="J1970" s="8"/>
      <c r="K1970" s="10" t="str">
        <f aca="false">IF(A1970="","",IF(ABS(SUMIFS($E$9:$E$2008,$A$9:$A$2008,A1970)-SUMIFS($F$9:$F$2008,$A$9:$A$2008,A1970))&lt;0.5,"Yes","No"))</f>
        <v/>
      </c>
      <c r="L1970" s="10" t="str">
        <f aca="false">IF(A1970="","",IF(IF(K1970="No","Does not balance | ","")&amp;IF(I1970="","Not approved | ",IF(UPPER(TRIM(H1970))=UPPER(TRIM(I1970)),"Self-approved | ",""))&amp;IF(J1970="","No support | ","")&amp;IF(WEEKDAY(B1970,2)&gt;5,"Weekend posting | ","")&amp;IF(COUNTIF(Settings!$A$14:$A$43,B1970)&gt;0,"Holiday posting | ","")&amp;IF(B1970&gt;Settings!$C$8,"Posted after close | ","")&amp;IF(OR(B1970&lt;Settings!$C$6,B1970&gt;Settings!$C$7),"Outside period | ","")&amp;IF(COUNTIF(Settings!$E$14:$E$43,C1970&amp;"")&gt;0,"Sensitive account | ","")&amp;IF(AND(MAX(N(E1970),N(F1970))&gt;=Settings!$C$9,MOD(MAX(N(E1970),N(F1970)),Settings!$C$10)=0),"Round amount | ","")="","",LEFT(IF(K1970="No","Does not balance | ","")&amp;IF(I1970="","Not approved | ",IF(UPPER(TRIM(H1970))=UPPER(TRIM(I1970)),"Self-approved | ",""))&amp;IF(J1970="","No support | ","")&amp;IF(WEEKDAY(B1970,2)&gt;5,"Weekend posting | ","")&amp;IF(COUNTIF(Settings!$A$14:$A$43,B1970)&gt;0,"Holiday posting | ","")&amp;IF(B1970&gt;Settings!$C$8,"Posted after close | ","")&amp;IF(OR(B1970&lt;Settings!$C$6,B1970&gt;Settings!$C$7),"Outside period | ","")&amp;IF(COUNTIF(Settings!$E$14:$E$43,C1970&amp;"")&gt;0,"Sensitive account | ","")&amp;IF(AND(MAX(N(E1970),N(F1970))&gt;=Settings!$C$9,MOD(MAX(N(E1970),N(F1970)),Settings!$C$10)=0),"Round amount | ",""),LEN(IF(K1970="No","Does not balance | ","")&amp;IF(I1970="","Not approved | ",IF(UPPER(TRIM(H1970))=UPPER(TRIM(I1970)),"Self-approved | ",""))&amp;IF(J1970="","No support | ","")&amp;IF(WEEKDAY(B1970,2)&gt;5,"Weekend posting | ","")&amp;IF(COUNTIF(Settings!$A$14:$A$43,B1970)&gt;0,"Holiday posting | ","")&amp;IF(B1970&gt;Settings!$C$8,"Posted after close | ","")&amp;IF(OR(B1970&lt;Settings!$C$6,B1970&gt;Settings!$C$7),"Outside period | ","")&amp;IF(COUNTIF(Settings!$E$14:$E$43,C1970&amp;"")&gt;0,"Sensitive account | ","")&amp;IF(AND(MAX(N(E1970),N(F1970))&gt;=Settings!$C$9,MOD(MAX(N(E1970),N(F1970)),Settings!$C$10)=0),"Round amount | ",""))-3)))</f>
        <v/>
      </c>
      <c r="M1970" s="21" t="str">
        <f aca="false">IF(A1970="","",IF(COUNTIF($A$9:A1970,A1970)=1,MAX($M$8:M1969)+1,""))</f>
        <v/>
      </c>
    </row>
    <row r="1971" customFormat="false" ht="15" hidden="false" customHeight="false" outlineLevel="0" collapsed="false">
      <c r="A1971" s="8"/>
      <c r="B1971" s="17"/>
      <c r="C1971" s="19"/>
      <c r="D1971" s="8"/>
      <c r="E1971" s="18"/>
      <c r="F1971" s="18"/>
      <c r="G1971" s="8"/>
      <c r="H1971" s="8"/>
      <c r="I1971" s="8"/>
      <c r="J1971" s="8"/>
      <c r="K1971" s="10" t="str">
        <f aca="false">IF(A1971="","",IF(ABS(SUMIFS($E$9:$E$2008,$A$9:$A$2008,A1971)-SUMIFS($F$9:$F$2008,$A$9:$A$2008,A1971))&lt;0.5,"Yes","No"))</f>
        <v/>
      </c>
      <c r="L1971" s="10" t="str">
        <f aca="false">IF(A1971="","",IF(IF(K1971="No","Does not balance | ","")&amp;IF(I1971="","Not approved | ",IF(UPPER(TRIM(H1971))=UPPER(TRIM(I1971)),"Self-approved | ",""))&amp;IF(J1971="","No support | ","")&amp;IF(WEEKDAY(B1971,2)&gt;5,"Weekend posting | ","")&amp;IF(COUNTIF(Settings!$A$14:$A$43,B1971)&gt;0,"Holiday posting | ","")&amp;IF(B1971&gt;Settings!$C$8,"Posted after close | ","")&amp;IF(OR(B1971&lt;Settings!$C$6,B1971&gt;Settings!$C$7),"Outside period | ","")&amp;IF(COUNTIF(Settings!$E$14:$E$43,C1971&amp;"")&gt;0,"Sensitive account | ","")&amp;IF(AND(MAX(N(E1971),N(F1971))&gt;=Settings!$C$9,MOD(MAX(N(E1971),N(F1971)),Settings!$C$10)=0),"Round amount | ","")="","",LEFT(IF(K1971="No","Does not balance | ","")&amp;IF(I1971="","Not approved | ",IF(UPPER(TRIM(H1971))=UPPER(TRIM(I1971)),"Self-approved | ",""))&amp;IF(J1971="","No support | ","")&amp;IF(WEEKDAY(B1971,2)&gt;5,"Weekend posting | ","")&amp;IF(COUNTIF(Settings!$A$14:$A$43,B1971)&gt;0,"Holiday posting | ","")&amp;IF(B1971&gt;Settings!$C$8,"Posted after close | ","")&amp;IF(OR(B1971&lt;Settings!$C$6,B1971&gt;Settings!$C$7),"Outside period | ","")&amp;IF(COUNTIF(Settings!$E$14:$E$43,C1971&amp;"")&gt;0,"Sensitive account | ","")&amp;IF(AND(MAX(N(E1971),N(F1971))&gt;=Settings!$C$9,MOD(MAX(N(E1971),N(F1971)),Settings!$C$10)=0),"Round amount | ",""),LEN(IF(K1971="No","Does not balance | ","")&amp;IF(I1971="","Not approved | ",IF(UPPER(TRIM(H1971))=UPPER(TRIM(I1971)),"Self-approved | ",""))&amp;IF(J1971="","No support | ","")&amp;IF(WEEKDAY(B1971,2)&gt;5,"Weekend posting | ","")&amp;IF(COUNTIF(Settings!$A$14:$A$43,B1971)&gt;0,"Holiday posting | ","")&amp;IF(B1971&gt;Settings!$C$8,"Posted after close | ","")&amp;IF(OR(B1971&lt;Settings!$C$6,B1971&gt;Settings!$C$7),"Outside period | ","")&amp;IF(COUNTIF(Settings!$E$14:$E$43,C1971&amp;"")&gt;0,"Sensitive account | ","")&amp;IF(AND(MAX(N(E1971),N(F1971))&gt;=Settings!$C$9,MOD(MAX(N(E1971),N(F1971)),Settings!$C$10)=0),"Round amount | ",""))-3)))</f>
        <v/>
      </c>
      <c r="M1971" s="21" t="str">
        <f aca="false">IF(A1971="","",IF(COUNTIF($A$9:A1971,A1971)=1,MAX($M$8:M1970)+1,""))</f>
        <v/>
      </c>
    </row>
    <row r="1972" customFormat="false" ht="15" hidden="false" customHeight="false" outlineLevel="0" collapsed="false">
      <c r="A1972" s="8"/>
      <c r="B1972" s="17"/>
      <c r="C1972" s="19"/>
      <c r="D1972" s="8"/>
      <c r="E1972" s="18"/>
      <c r="F1972" s="18"/>
      <c r="G1972" s="8"/>
      <c r="H1972" s="8"/>
      <c r="I1972" s="8"/>
      <c r="J1972" s="8"/>
      <c r="K1972" s="10" t="str">
        <f aca="false">IF(A1972="","",IF(ABS(SUMIFS($E$9:$E$2008,$A$9:$A$2008,A1972)-SUMIFS($F$9:$F$2008,$A$9:$A$2008,A1972))&lt;0.5,"Yes","No"))</f>
        <v/>
      </c>
      <c r="L1972" s="10" t="str">
        <f aca="false">IF(A1972="","",IF(IF(K1972="No","Does not balance | ","")&amp;IF(I1972="","Not approved | ",IF(UPPER(TRIM(H1972))=UPPER(TRIM(I1972)),"Self-approved | ",""))&amp;IF(J1972="","No support | ","")&amp;IF(WEEKDAY(B1972,2)&gt;5,"Weekend posting | ","")&amp;IF(COUNTIF(Settings!$A$14:$A$43,B1972)&gt;0,"Holiday posting | ","")&amp;IF(B1972&gt;Settings!$C$8,"Posted after close | ","")&amp;IF(OR(B1972&lt;Settings!$C$6,B1972&gt;Settings!$C$7),"Outside period | ","")&amp;IF(COUNTIF(Settings!$E$14:$E$43,C1972&amp;"")&gt;0,"Sensitive account | ","")&amp;IF(AND(MAX(N(E1972),N(F1972))&gt;=Settings!$C$9,MOD(MAX(N(E1972),N(F1972)),Settings!$C$10)=0),"Round amount | ","")="","",LEFT(IF(K1972="No","Does not balance | ","")&amp;IF(I1972="","Not approved | ",IF(UPPER(TRIM(H1972))=UPPER(TRIM(I1972)),"Self-approved | ",""))&amp;IF(J1972="","No support | ","")&amp;IF(WEEKDAY(B1972,2)&gt;5,"Weekend posting | ","")&amp;IF(COUNTIF(Settings!$A$14:$A$43,B1972)&gt;0,"Holiday posting | ","")&amp;IF(B1972&gt;Settings!$C$8,"Posted after close | ","")&amp;IF(OR(B1972&lt;Settings!$C$6,B1972&gt;Settings!$C$7),"Outside period | ","")&amp;IF(COUNTIF(Settings!$E$14:$E$43,C1972&amp;"")&gt;0,"Sensitive account | ","")&amp;IF(AND(MAX(N(E1972),N(F1972))&gt;=Settings!$C$9,MOD(MAX(N(E1972),N(F1972)),Settings!$C$10)=0),"Round amount | ",""),LEN(IF(K1972="No","Does not balance | ","")&amp;IF(I1972="","Not approved | ",IF(UPPER(TRIM(H1972))=UPPER(TRIM(I1972)),"Self-approved | ",""))&amp;IF(J1972="","No support | ","")&amp;IF(WEEKDAY(B1972,2)&gt;5,"Weekend posting | ","")&amp;IF(COUNTIF(Settings!$A$14:$A$43,B1972)&gt;0,"Holiday posting | ","")&amp;IF(B1972&gt;Settings!$C$8,"Posted after close | ","")&amp;IF(OR(B1972&lt;Settings!$C$6,B1972&gt;Settings!$C$7),"Outside period | ","")&amp;IF(COUNTIF(Settings!$E$14:$E$43,C1972&amp;"")&gt;0,"Sensitive account | ","")&amp;IF(AND(MAX(N(E1972),N(F1972))&gt;=Settings!$C$9,MOD(MAX(N(E1972),N(F1972)),Settings!$C$10)=0),"Round amount | ",""))-3)))</f>
        <v/>
      </c>
      <c r="M1972" s="21" t="str">
        <f aca="false">IF(A1972="","",IF(COUNTIF($A$9:A1972,A1972)=1,MAX($M$8:M1971)+1,""))</f>
        <v/>
      </c>
    </row>
    <row r="1973" customFormat="false" ht="15" hidden="false" customHeight="false" outlineLevel="0" collapsed="false">
      <c r="A1973" s="8"/>
      <c r="B1973" s="17"/>
      <c r="C1973" s="19"/>
      <c r="D1973" s="8"/>
      <c r="E1973" s="18"/>
      <c r="F1973" s="18"/>
      <c r="G1973" s="8"/>
      <c r="H1973" s="8"/>
      <c r="I1973" s="8"/>
      <c r="J1973" s="8"/>
      <c r="K1973" s="10" t="str">
        <f aca="false">IF(A1973="","",IF(ABS(SUMIFS($E$9:$E$2008,$A$9:$A$2008,A1973)-SUMIFS($F$9:$F$2008,$A$9:$A$2008,A1973))&lt;0.5,"Yes","No"))</f>
        <v/>
      </c>
      <c r="L1973" s="10" t="str">
        <f aca="false">IF(A1973="","",IF(IF(K1973="No","Does not balance | ","")&amp;IF(I1973="","Not approved | ",IF(UPPER(TRIM(H1973))=UPPER(TRIM(I1973)),"Self-approved | ",""))&amp;IF(J1973="","No support | ","")&amp;IF(WEEKDAY(B1973,2)&gt;5,"Weekend posting | ","")&amp;IF(COUNTIF(Settings!$A$14:$A$43,B1973)&gt;0,"Holiday posting | ","")&amp;IF(B1973&gt;Settings!$C$8,"Posted after close | ","")&amp;IF(OR(B1973&lt;Settings!$C$6,B1973&gt;Settings!$C$7),"Outside period | ","")&amp;IF(COUNTIF(Settings!$E$14:$E$43,C1973&amp;"")&gt;0,"Sensitive account | ","")&amp;IF(AND(MAX(N(E1973),N(F1973))&gt;=Settings!$C$9,MOD(MAX(N(E1973),N(F1973)),Settings!$C$10)=0),"Round amount | ","")="","",LEFT(IF(K1973="No","Does not balance | ","")&amp;IF(I1973="","Not approved | ",IF(UPPER(TRIM(H1973))=UPPER(TRIM(I1973)),"Self-approved | ",""))&amp;IF(J1973="","No support | ","")&amp;IF(WEEKDAY(B1973,2)&gt;5,"Weekend posting | ","")&amp;IF(COUNTIF(Settings!$A$14:$A$43,B1973)&gt;0,"Holiday posting | ","")&amp;IF(B1973&gt;Settings!$C$8,"Posted after close | ","")&amp;IF(OR(B1973&lt;Settings!$C$6,B1973&gt;Settings!$C$7),"Outside period | ","")&amp;IF(COUNTIF(Settings!$E$14:$E$43,C1973&amp;"")&gt;0,"Sensitive account | ","")&amp;IF(AND(MAX(N(E1973),N(F1973))&gt;=Settings!$C$9,MOD(MAX(N(E1973),N(F1973)),Settings!$C$10)=0),"Round amount | ",""),LEN(IF(K1973="No","Does not balance | ","")&amp;IF(I1973="","Not approved | ",IF(UPPER(TRIM(H1973))=UPPER(TRIM(I1973)),"Self-approved | ",""))&amp;IF(J1973="","No support | ","")&amp;IF(WEEKDAY(B1973,2)&gt;5,"Weekend posting | ","")&amp;IF(COUNTIF(Settings!$A$14:$A$43,B1973)&gt;0,"Holiday posting | ","")&amp;IF(B1973&gt;Settings!$C$8,"Posted after close | ","")&amp;IF(OR(B1973&lt;Settings!$C$6,B1973&gt;Settings!$C$7),"Outside period | ","")&amp;IF(COUNTIF(Settings!$E$14:$E$43,C1973&amp;"")&gt;0,"Sensitive account | ","")&amp;IF(AND(MAX(N(E1973),N(F1973))&gt;=Settings!$C$9,MOD(MAX(N(E1973),N(F1973)),Settings!$C$10)=0),"Round amount | ",""))-3)))</f>
        <v/>
      </c>
      <c r="M1973" s="21" t="str">
        <f aca="false">IF(A1973="","",IF(COUNTIF($A$9:A1973,A1973)=1,MAX($M$8:M1972)+1,""))</f>
        <v/>
      </c>
    </row>
    <row r="1974" customFormat="false" ht="15" hidden="false" customHeight="false" outlineLevel="0" collapsed="false">
      <c r="A1974" s="8"/>
      <c r="B1974" s="17"/>
      <c r="C1974" s="19"/>
      <c r="D1974" s="8"/>
      <c r="E1974" s="18"/>
      <c r="F1974" s="18"/>
      <c r="G1974" s="8"/>
      <c r="H1974" s="8"/>
      <c r="I1974" s="8"/>
      <c r="J1974" s="8"/>
      <c r="K1974" s="10" t="str">
        <f aca="false">IF(A1974="","",IF(ABS(SUMIFS($E$9:$E$2008,$A$9:$A$2008,A1974)-SUMIFS($F$9:$F$2008,$A$9:$A$2008,A1974))&lt;0.5,"Yes","No"))</f>
        <v/>
      </c>
      <c r="L1974" s="10" t="str">
        <f aca="false">IF(A1974="","",IF(IF(K1974="No","Does not balance | ","")&amp;IF(I1974="","Not approved | ",IF(UPPER(TRIM(H1974))=UPPER(TRIM(I1974)),"Self-approved | ",""))&amp;IF(J1974="","No support | ","")&amp;IF(WEEKDAY(B1974,2)&gt;5,"Weekend posting | ","")&amp;IF(COUNTIF(Settings!$A$14:$A$43,B1974)&gt;0,"Holiday posting | ","")&amp;IF(B1974&gt;Settings!$C$8,"Posted after close | ","")&amp;IF(OR(B1974&lt;Settings!$C$6,B1974&gt;Settings!$C$7),"Outside period | ","")&amp;IF(COUNTIF(Settings!$E$14:$E$43,C1974&amp;"")&gt;0,"Sensitive account | ","")&amp;IF(AND(MAX(N(E1974),N(F1974))&gt;=Settings!$C$9,MOD(MAX(N(E1974),N(F1974)),Settings!$C$10)=0),"Round amount | ","")="","",LEFT(IF(K1974="No","Does not balance | ","")&amp;IF(I1974="","Not approved | ",IF(UPPER(TRIM(H1974))=UPPER(TRIM(I1974)),"Self-approved | ",""))&amp;IF(J1974="","No support | ","")&amp;IF(WEEKDAY(B1974,2)&gt;5,"Weekend posting | ","")&amp;IF(COUNTIF(Settings!$A$14:$A$43,B1974)&gt;0,"Holiday posting | ","")&amp;IF(B1974&gt;Settings!$C$8,"Posted after close | ","")&amp;IF(OR(B1974&lt;Settings!$C$6,B1974&gt;Settings!$C$7),"Outside period | ","")&amp;IF(COUNTIF(Settings!$E$14:$E$43,C1974&amp;"")&gt;0,"Sensitive account | ","")&amp;IF(AND(MAX(N(E1974),N(F1974))&gt;=Settings!$C$9,MOD(MAX(N(E1974),N(F1974)),Settings!$C$10)=0),"Round amount | ",""),LEN(IF(K1974="No","Does not balance | ","")&amp;IF(I1974="","Not approved | ",IF(UPPER(TRIM(H1974))=UPPER(TRIM(I1974)),"Self-approved | ",""))&amp;IF(J1974="","No support | ","")&amp;IF(WEEKDAY(B1974,2)&gt;5,"Weekend posting | ","")&amp;IF(COUNTIF(Settings!$A$14:$A$43,B1974)&gt;0,"Holiday posting | ","")&amp;IF(B1974&gt;Settings!$C$8,"Posted after close | ","")&amp;IF(OR(B1974&lt;Settings!$C$6,B1974&gt;Settings!$C$7),"Outside period | ","")&amp;IF(COUNTIF(Settings!$E$14:$E$43,C1974&amp;"")&gt;0,"Sensitive account | ","")&amp;IF(AND(MAX(N(E1974),N(F1974))&gt;=Settings!$C$9,MOD(MAX(N(E1974),N(F1974)),Settings!$C$10)=0),"Round amount | ",""))-3)))</f>
        <v/>
      </c>
      <c r="M1974" s="21" t="str">
        <f aca="false">IF(A1974="","",IF(COUNTIF($A$9:A1974,A1974)=1,MAX($M$8:M1973)+1,""))</f>
        <v/>
      </c>
    </row>
    <row r="1975" customFormat="false" ht="15" hidden="false" customHeight="false" outlineLevel="0" collapsed="false">
      <c r="A1975" s="8"/>
      <c r="B1975" s="17"/>
      <c r="C1975" s="19"/>
      <c r="D1975" s="8"/>
      <c r="E1975" s="18"/>
      <c r="F1975" s="18"/>
      <c r="G1975" s="8"/>
      <c r="H1975" s="8"/>
      <c r="I1975" s="8"/>
      <c r="J1975" s="8"/>
      <c r="K1975" s="10" t="str">
        <f aca="false">IF(A1975="","",IF(ABS(SUMIFS($E$9:$E$2008,$A$9:$A$2008,A1975)-SUMIFS($F$9:$F$2008,$A$9:$A$2008,A1975))&lt;0.5,"Yes","No"))</f>
        <v/>
      </c>
      <c r="L1975" s="10" t="str">
        <f aca="false">IF(A1975="","",IF(IF(K1975="No","Does not balance | ","")&amp;IF(I1975="","Not approved | ",IF(UPPER(TRIM(H1975))=UPPER(TRIM(I1975)),"Self-approved | ",""))&amp;IF(J1975="","No support | ","")&amp;IF(WEEKDAY(B1975,2)&gt;5,"Weekend posting | ","")&amp;IF(COUNTIF(Settings!$A$14:$A$43,B1975)&gt;0,"Holiday posting | ","")&amp;IF(B1975&gt;Settings!$C$8,"Posted after close | ","")&amp;IF(OR(B1975&lt;Settings!$C$6,B1975&gt;Settings!$C$7),"Outside period | ","")&amp;IF(COUNTIF(Settings!$E$14:$E$43,C1975&amp;"")&gt;0,"Sensitive account | ","")&amp;IF(AND(MAX(N(E1975),N(F1975))&gt;=Settings!$C$9,MOD(MAX(N(E1975),N(F1975)),Settings!$C$10)=0),"Round amount | ","")="","",LEFT(IF(K1975="No","Does not balance | ","")&amp;IF(I1975="","Not approved | ",IF(UPPER(TRIM(H1975))=UPPER(TRIM(I1975)),"Self-approved | ",""))&amp;IF(J1975="","No support | ","")&amp;IF(WEEKDAY(B1975,2)&gt;5,"Weekend posting | ","")&amp;IF(COUNTIF(Settings!$A$14:$A$43,B1975)&gt;0,"Holiday posting | ","")&amp;IF(B1975&gt;Settings!$C$8,"Posted after close | ","")&amp;IF(OR(B1975&lt;Settings!$C$6,B1975&gt;Settings!$C$7),"Outside period | ","")&amp;IF(COUNTIF(Settings!$E$14:$E$43,C1975&amp;"")&gt;0,"Sensitive account | ","")&amp;IF(AND(MAX(N(E1975),N(F1975))&gt;=Settings!$C$9,MOD(MAX(N(E1975),N(F1975)),Settings!$C$10)=0),"Round amount | ",""),LEN(IF(K1975="No","Does not balance | ","")&amp;IF(I1975="","Not approved | ",IF(UPPER(TRIM(H1975))=UPPER(TRIM(I1975)),"Self-approved | ",""))&amp;IF(J1975="","No support | ","")&amp;IF(WEEKDAY(B1975,2)&gt;5,"Weekend posting | ","")&amp;IF(COUNTIF(Settings!$A$14:$A$43,B1975)&gt;0,"Holiday posting | ","")&amp;IF(B1975&gt;Settings!$C$8,"Posted after close | ","")&amp;IF(OR(B1975&lt;Settings!$C$6,B1975&gt;Settings!$C$7),"Outside period | ","")&amp;IF(COUNTIF(Settings!$E$14:$E$43,C1975&amp;"")&gt;0,"Sensitive account | ","")&amp;IF(AND(MAX(N(E1975),N(F1975))&gt;=Settings!$C$9,MOD(MAX(N(E1975),N(F1975)),Settings!$C$10)=0),"Round amount | ",""))-3)))</f>
        <v/>
      </c>
      <c r="M1975" s="21" t="str">
        <f aca="false">IF(A1975="","",IF(COUNTIF($A$9:A1975,A1975)=1,MAX($M$8:M1974)+1,""))</f>
        <v/>
      </c>
    </row>
    <row r="1976" customFormat="false" ht="15" hidden="false" customHeight="false" outlineLevel="0" collapsed="false">
      <c r="A1976" s="8"/>
      <c r="B1976" s="17"/>
      <c r="C1976" s="19"/>
      <c r="D1976" s="8"/>
      <c r="E1976" s="18"/>
      <c r="F1976" s="18"/>
      <c r="G1976" s="8"/>
      <c r="H1976" s="8"/>
      <c r="I1976" s="8"/>
      <c r="J1976" s="8"/>
      <c r="K1976" s="10" t="str">
        <f aca="false">IF(A1976="","",IF(ABS(SUMIFS($E$9:$E$2008,$A$9:$A$2008,A1976)-SUMIFS($F$9:$F$2008,$A$9:$A$2008,A1976))&lt;0.5,"Yes","No"))</f>
        <v/>
      </c>
      <c r="L1976" s="10" t="str">
        <f aca="false">IF(A1976="","",IF(IF(K1976="No","Does not balance | ","")&amp;IF(I1976="","Not approved | ",IF(UPPER(TRIM(H1976))=UPPER(TRIM(I1976)),"Self-approved | ",""))&amp;IF(J1976="","No support | ","")&amp;IF(WEEKDAY(B1976,2)&gt;5,"Weekend posting | ","")&amp;IF(COUNTIF(Settings!$A$14:$A$43,B1976)&gt;0,"Holiday posting | ","")&amp;IF(B1976&gt;Settings!$C$8,"Posted after close | ","")&amp;IF(OR(B1976&lt;Settings!$C$6,B1976&gt;Settings!$C$7),"Outside period | ","")&amp;IF(COUNTIF(Settings!$E$14:$E$43,C1976&amp;"")&gt;0,"Sensitive account | ","")&amp;IF(AND(MAX(N(E1976),N(F1976))&gt;=Settings!$C$9,MOD(MAX(N(E1976),N(F1976)),Settings!$C$10)=0),"Round amount | ","")="","",LEFT(IF(K1976="No","Does not balance | ","")&amp;IF(I1976="","Not approved | ",IF(UPPER(TRIM(H1976))=UPPER(TRIM(I1976)),"Self-approved | ",""))&amp;IF(J1976="","No support | ","")&amp;IF(WEEKDAY(B1976,2)&gt;5,"Weekend posting | ","")&amp;IF(COUNTIF(Settings!$A$14:$A$43,B1976)&gt;0,"Holiday posting | ","")&amp;IF(B1976&gt;Settings!$C$8,"Posted after close | ","")&amp;IF(OR(B1976&lt;Settings!$C$6,B1976&gt;Settings!$C$7),"Outside period | ","")&amp;IF(COUNTIF(Settings!$E$14:$E$43,C1976&amp;"")&gt;0,"Sensitive account | ","")&amp;IF(AND(MAX(N(E1976),N(F1976))&gt;=Settings!$C$9,MOD(MAX(N(E1976),N(F1976)),Settings!$C$10)=0),"Round amount | ",""),LEN(IF(K1976="No","Does not balance | ","")&amp;IF(I1976="","Not approved | ",IF(UPPER(TRIM(H1976))=UPPER(TRIM(I1976)),"Self-approved | ",""))&amp;IF(J1976="","No support | ","")&amp;IF(WEEKDAY(B1976,2)&gt;5,"Weekend posting | ","")&amp;IF(COUNTIF(Settings!$A$14:$A$43,B1976)&gt;0,"Holiday posting | ","")&amp;IF(B1976&gt;Settings!$C$8,"Posted after close | ","")&amp;IF(OR(B1976&lt;Settings!$C$6,B1976&gt;Settings!$C$7),"Outside period | ","")&amp;IF(COUNTIF(Settings!$E$14:$E$43,C1976&amp;"")&gt;0,"Sensitive account | ","")&amp;IF(AND(MAX(N(E1976),N(F1976))&gt;=Settings!$C$9,MOD(MAX(N(E1976),N(F1976)),Settings!$C$10)=0),"Round amount | ",""))-3)))</f>
        <v/>
      </c>
      <c r="M1976" s="21" t="str">
        <f aca="false">IF(A1976="","",IF(COUNTIF($A$9:A1976,A1976)=1,MAX($M$8:M1975)+1,""))</f>
        <v/>
      </c>
    </row>
    <row r="1977" customFormat="false" ht="15" hidden="false" customHeight="false" outlineLevel="0" collapsed="false">
      <c r="A1977" s="8"/>
      <c r="B1977" s="17"/>
      <c r="C1977" s="19"/>
      <c r="D1977" s="8"/>
      <c r="E1977" s="18"/>
      <c r="F1977" s="18"/>
      <c r="G1977" s="8"/>
      <c r="H1977" s="8"/>
      <c r="I1977" s="8"/>
      <c r="J1977" s="8"/>
      <c r="K1977" s="10" t="str">
        <f aca="false">IF(A1977="","",IF(ABS(SUMIFS($E$9:$E$2008,$A$9:$A$2008,A1977)-SUMIFS($F$9:$F$2008,$A$9:$A$2008,A1977))&lt;0.5,"Yes","No"))</f>
        <v/>
      </c>
      <c r="L1977" s="10" t="str">
        <f aca="false">IF(A1977="","",IF(IF(K1977="No","Does not balance | ","")&amp;IF(I1977="","Not approved | ",IF(UPPER(TRIM(H1977))=UPPER(TRIM(I1977)),"Self-approved | ",""))&amp;IF(J1977="","No support | ","")&amp;IF(WEEKDAY(B1977,2)&gt;5,"Weekend posting | ","")&amp;IF(COUNTIF(Settings!$A$14:$A$43,B1977)&gt;0,"Holiday posting | ","")&amp;IF(B1977&gt;Settings!$C$8,"Posted after close | ","")&amp;IF(OR(B1977&lt;Settings!$C$6,B1977&gt;Settings!$C$7),"Outside period | ","")&amp;IF(COUNTIF(Settings!$E$14:$E$43,C1977&amp;"")&gt;0,"Sensitive account | ","")&amp;IF(AND(MAX(N(E1977),N(F1977))&gt;=Settings!$C$9,MOD(MAX(N(E1977),N(F1977)),Settings!$C$10)=0),"Round amount | ","")="","",LEFT(IF(K1977="No","Does not balance | ","")&amp;IF(I1977="","Not approved | ",IF(UPPER(TRIM(H1977))=UPPER(TRIM(I1977)),"Self-approved | ",""))&amp;IF(J1977="","No support | ","")&amp;IF(WEEKDAY(B1977,2)&gt;5,"Weekend posting | ","")&amp;IF(COUNTIF(Settings!$A$14:$A$43,B1977)&gt;0,"Holiday posting | ","")&amp;IF(B1977&gt;Settings!$C$8,"Posted after close | ","")&amp;IF(OR(B1977&lt;Settings!$C$6,B1977&gt;Settings!$C$7),"Outside period | ","")&amp;IF(COUNTIF(Settings!$E$14:$E$43,C1977&amp;"")&gt;0,"Sensitive account | ","")&amp;IF(AND(MAX(N(E1977),N(F1977))&gt;=Settings!$C$9,MOD(MAX(N(E1977),N(F1977)),Settings!$C$10)=0),"Round amount | ",""),LEN(IF(K1977="No","Does not balance | ","")&amp;IF(I1977="","Not approved | ",IF(UPPER(TRIM(H1977))=UPPER(TRIM(I1977)),"Self-approved | ",""))&amp;IF(J1977="","No support | ","")&amp;IF(WEEKDAY(B1977,2)&gt;5,"Weekend posting | ","")&amp;IF(COUNTIF(Settings!$A$14:$A$43,B1977)&gt;0,"Holiday posting | ","")&amp;IF(B1977&gt;Settings!$C$8,"Posted after close | ","")&amp;IF(OR(B1977&lt;Settings!$C$6,B1977&gt;Settings!$C$7),"Outside period | ","")&amp;IF(COUNTIF(Settings!$E$14:$E$43,C1977&amp;"")&gt;0,"Sensitive account | ","")&amp;IF(AND(MAX(N(E1977),N(F1977))&gt;=Settings!$C$9,MOD(MAX(N(E1977),N(F1977)),Settings!$C$10)=0),"Round amount | ",""))-3)))</f>
        <v/>
      </c>
      <c r="M1977" s="21" t="str">
        <f aca="false">IF(A1977="","",IF(COUNTIF($A$9:A1977,A1977)=1,MAX($M$8:M1976)+1,""))</f>
        <v/>
      </c>
    </row>
    <row r="1978" customFormat="false" ht="15" hidden="false" customHeight="false" outlineLevel="0" collapsed="false">
      <c r="A1978" s="8"/>
      <c r="B1978" s="17"/>
      <c r="C1978" s="19"/>
      <c r="D1978" s="8"/>
      <c r="E1978" s="18"/>
      <c r="F1978" s="18"/>
      <c r="G1978" s="8"/>
      <c r="H1978" s="8"/>
      <c r="I1978" s="8"/>
      <c r="J1978" s="8"/>
      <c r="K1978" s="10" t="str">
        <f aca="false">IF(A1978="","",IF(ABS(SUMIFS($E$9:$E$2008,$A$9:$A$2008,A1978)-SUMIFS($F$9:$F$2008,$A$9:$A$2008,A1978))&lt;0.5,"Yes","No"))</f>
        <v/>
      </c>
      <c r="L1978" s="10" t="str">
        <f aca="false">IF(A1978="","",IF(IF(K1978="No","Does not balance | ","")&amp;IF(I1978="","Not approved | ",IF(UPPER(TRIM(H1978))=UPPER(TRIM(I1978)),"Self-approved | ",""))&amp;IF(J1978="","No support | ","")&amp;IF(WEEKDAY(B1978,2)&gt;5,"Weekend posting | ","")&amp;IF(COUNTIF(Settings!$A$14:$A$43,B1978)&gt;0,"Holiday posting | ","")&amp;IF(B1978&gt;Settings!$C$8,"Posted after close | ","")&amp;IF(OR(B1978&lt;Settings!$C$6,B1978&gt;Settings!$C$7),"Outside period | ","")&amp;IF(COUNTIF(Settings!$E$14:$E$43,C1978&amp;"")&gt;0,"Sensitive account | ","")&amp;IF(AND(MAX(N(E1978),N(F1978))&gt;=Settings!$C$9,MOD(MAX(N(E1978),N(F1978)),Settings!$C$10)=0),"Round amount | ","")="","",LEFT(IF(K1978="No","Does not balance | ","")&amp;IF(I1978="","Not approved | ",IF(UPPER(TRIM(H1978))=UPPER(TRIM(I1978)),"Self-approved | ",""))&amp;IF(J1978="","No support | ","")&amp;IF(WEEKDAY(B1978,2)&gt;5,"Weekend posting | ","")&amp;IF(COUNTIF(Settings!$A$14:$A$43,B1978)&gt;0,"Holiday posting | ","")&amp;IF(B1978&gt;Settings!$C$8,"Posted after close | ","")&amp;IF(OR(B1978&lt;Settings!$C$6,B1978&gt;Settings!$C$7),"Outside period | ","")&amp;IF(COUNTIF(Settings!$E$14:$E$43,C1978&amp;"")&gt;0,"Sensitive account | ","")&amp;IF(AND(MAX(N(E1978),N(F1978))&gt;=Settings!$C$9,MOD(MAX(N(E1978),N(F1978)),Settings!$C$10)=0),"Round amount | ",""),LEN(IF(K1978="No","Does not balance | ","")&amp;IF(I1978="","Not approved | ",IF(UPPER(TRIM(H1978))=UPPER(TRIM(I1978)),"Self-approved | ",""))&amp;IF(J1978="","No support | ","")&amp;IF(WEEKDAY(B1978,2)&gt;5,"Weekend posting | ","")&amp;IF(COUNTIF(Settings!$A$14:$A$43,B1978)&gt;0,"Holiday posting | ","")&amp;IF(B1978&gt;Settings!$C$8,"Posted after close | ","")&amp;IF(OR(B1978&lt;Settings!$C$6,B1978&gt;Settings!$C$7),"Outside period | ","")&amp;IF(COUNTIF(Settings!$E$14:$E$43,C1978&amp;"")&gt;0,"Sensitive account | ","")&amp;IF(AND(MAX(N(E1978),N(F1978))&gt;=Settings!$C$9,MOD(MAX(N(E1978),N(F1978)),Settings!$C$10)=0),"Round amount | ",""))-3)))</f>
        <v/>
      </c>
      <c r="M1978" s="21" t="str">
        <f aca="false">IF(A1978="","",IF(COUNTIF($A$9:A1978,A1978)=1,MAX($M$8:M1977)+1,""))</f>
        <v/>
      </c>
    </row>
    <row r="1979" customFormat="false" ht="15" hidden="false" customHeight="false" outlineLevel="0" collapsed="false">
      <c r="A1979" s="8"/>
      <c r="B1979" s="17"/>
      <c r="C1979" s="19"/>
      <c r="D1979" s="8"/>
      <c r="E1979" s="18"/>
      <c r="F1979" s="18"/>
      <c r="G1979" s="8"/>
      <c r="H1979" s="8"/>
      <c r="I1979" s="8"/>
      <c r="J1979" s="8"/>
      <c r="K1979" s="10" t="str">
        <f aca="false">IF(A1979="","",IF(ABS(SUMIFS($E$9:$E$2008,$A$9:$A$2008,A1979)-SUMIFS($F$9:$F$2008,$A$9:$A$2008,A1979))&lt;0.5,"Yes","No"))</f>
        <v/>
      </c>
      <c r="L1979" s="10" t="str">
        <f aca="false">IF(A1979="","",IF(IF(K1979="No","Does not balance | ","")&amp;IF(I1979="","Not approved | ",IF(UPPER(TRIM(H1979))=UPPER(TRIM(I1979)),"Self-approved | ",""))&amp;IF(J1979="","No support | ","")&amp;IF(WEEKDAY(B1979,2)&gt;5,"Weekend posting | ","")&amp;IF(COUNTIF(Settings!$A$14:$A$43,B1979)&gt;0,"Holiday posting | ","")&amp;IF(B1979&gt;Settings!$C$8,"Posted after close | ","")&amp;IF(OR(B1979&lt;Settings!$C$6,B1979&gt;Settings!$C$7),"Outside period | ","")&amp;IF(COUNTIF(Settings!$E$14:$E$43,C1979&amp;"")&gt;0,"Sensitive account | ","")&amp;IF(AND(MAX(N(E1979),N(F1979))&gt;=Settings!$C$9,MOD(MAX(N(E1979),N(F1979)),Settings!$C$10)=0),"Round amount | ","")="","",LEFT(IF(K1979="No","Does not balance | ","")&amp;IF(I1979="","Not approved | ",IF(UPPER(TRIM(H1979))=UPPER(TRIM(I1979)),"Self-approved | ",""))&amp;IF(J1979="","No support | ","")&amp;IF(WEEKDAY(B1979,2)&gt;5,"Weekend posting | ","")&amp;IF(COUNTIF(Settings!$A$14:$A$43,B1979)&gt;0,"Holiday posting | ","")&amp;IF(B1979&gt;Settings!$C$8,"Posted after close | ","")&amp;IF(OR(B1979&lt;Settings!$C$6,B1979&gt;Settings!$C$7),"Outside period | ","")&amp;IF(COUNTIF(Settings!$E$14:$E$43,C1979&amp;"")&gt;0,"Sensitive account | ","")&amp;IF(AND(MAX(N(E1979),N(F1979))&gt;=Settings!$C$9,MOD(MAX(N(E1979),N(F1979)),Settings!$C$10)=0),"Round amount | ",""),LEN(IF(K1979="No","Does not balance | ","")&amp;IF(I1979="","Not approved | ",IF(UPPER(TRIM(H1979))=UPPER(TRIM(I1979)),"Self-approved | ",""))&amp;IF(J1979="","No support | ","")&amp;IF(WEEKDAY(B1979,2)&gt;5,"Weekend posting | ","")&amp;IF(COUNTIF(Settings!$A$14:$A$43,B1979)&gt;0,"Holiday posting | ","")&amp;IF(B1979&gt;Settings!$C$8,"Posted after close | ","")&amp;IF(OR(B1979&lt;Settings!$C$6,B1979&gt;Settings!$C$7),"Outside period | ","")&amp;IF(COUNTIF(Settings!$E$14:$E$43,C1979&amp;"")&gt;0,"Sensitive account | ","")&amp;IF(AND(MAX(N(E1979),N(F1979))&gt;=Settings!$C$9,MOD(MAX(N(E1979),N(F1979)),Settings!$C$10)=0),"Round amount | ",""))-3)))</f>
        <v/>
      </c>
      <c r="M1979" s="21" t="str">
        <f aca="false">IF(A1979="","",IF(COUNTIF($A$9:A1979,A1979)=1,MAX($M$8:M1978)+1,""))</f>
        <v/>
      </c>
    </row>
    <row r="1980" customFormat="false" ht="15" hidden="false" customHeight="false" outlineLevel="0" collapsed="false">
      <c r="A1980" s="8"/>
      <c r="B1980" s="17"/>
      <c r="C1980" s="19"/>
      <c r="D1980" s="8"/>
      <c r="E1980" s="18"/>
      <c r="F1980" s="18"/>
      <c r="G1980" s="8"/>
      <c r="H1980" s="8"/>
      <c r="I1980" s="8"/>
      <c r="J1980" s="8"/>
      <c r="K1980" s="10" t="str">
        <f aca="false">IF(A1980="","",IF(ABS(SUMIFS($E$9:$E$2008,$A$9:$A$2008,A1980)-SUMIFS($F$9:$F$2008,$A$9:$A$2008,A1980))&lt;0.5,"Yes","No"))</f>
        <v/>
      </c>
      <c r="L1980" s="10" t="str">
        <f aca="false">IF(A1980="","",IF(IF(K1980="No","Does not balance | ","")&amp;IF(I1980="","Not approved | ",IF(UPPER(TRIM(H1980))=UPPER(TRIM(I1980)),"Self-approved | ",""))&amp;IF(J1980="","No support | ","")&amp;IF(WEEKDAY(B1980,2)&gt;5,"Weekend posting | ","")&amp;IF(COUNTIF(Settings!$A$14:$A$43,B1980)&gt;0,"Holiday posting | ","")&amp;IF(B1980&gt;Settings!$C$8,"Posted after close | ","")&amp;IF(OR(B1980&lt;Settings!$C$6,B1980&gt;Settings!$C$7),"Outside period | ","")&amp;IF(COUNTIF(Settings!$E$14:$E$43,C1980&amp;"")&gt;0,"Sensitive account | ","")&amp;IF(AND(MAX(N(E1980),N(F1980))&gt;=Settings!$C$9,MOD(MAX(N(E1980),N(F1980)),Settings!$C$10)=0),"Round amount | ","")="","",LEFT(IF(K1980="No","Does not balance | ","")&amp;IF(I1980="","Not approved | ",IF(UPPER(TRIM(H1980))=UPPER(TRIM(I1980)),"Self-approved | ",""))&amp;IF(J1980="","No support | ","")&amp;IF(WEEKDAY(B1980,2)&gt;5,"Weekend posting | ","")&amp;IF(COUNTIF(Settings!$A$14:$A$43,B1980)&gt;0,"Holiday posting | ","")&amp;IF(B1980&gt;Settings!$C$8,"Posted after close | ","")&amp;IF(OR(B1980&lt;Settings!$C$6,B1980&gt;Settings!$C$7),"Outside period | ","")&amp;IF(COUNTIF(Settings!$E$14:$E$43,C1980&amp;"")&gt;0,"Sensitive account | ","")&amp;IF(AND(MAX(N(E1980),N(F1980))&gt;=Settings!$C$9,MOD(MAX(N(E1980),N(F1980)),Settings!$C$10)=0),"Round amount | ",""),LEN(IF(K1980="No","Does not balance | ","")&amp;IF(I1980="","Not approved | ",IF(UPPER(TRIM(H1980))=UPPER(TRIM(I1980)),"Self-approved | ",""))&amp;IF(J1980="","No support | ","")&amp;IF(WEEKDAY(B1980,2)&gt;5,"Weekend posting | ","")&amp;IF(COUNTIF(Settings!$A$14:$A$43,B1980)&gt;0,"Holiday posting | ","")&amp;IF(B1980&gt;Settings!$C$8,"Posted after close | ","")&amp;IF(OR(B1980&lt;Settings!$C$6,B1980&gt;Settings!$C$7),"Outside period | ","")&amp;IF(COUNTIF(Settings!$E$14:$E$43,C1980&amp;"")&gt;0,"Sensitive account | ","")&amp;IF(AND(MAX(N(E1980),N(F1980))&gt;=Settings!$C$9,MOD(MAX(N(E1980),N(F1980)),Settings!$C$10)=0),"Round amount | ",""))-3)))</f>
        <v/>
      </c>
      <c r="M1980" s="21" t="str">
        <f aca="false">IF(A1980="","",IF(COUNTIF($A$9:A1980,A1980)=1,MAX($M$8:M1979)+1,""))</f>
        <v/>
      </c>
    </row>
    <row r="1981" customFormat="false" ht="15" hidden="false" customHeight="false" outlineLevel="0" collapsed="false">
      <c r="A1981" s="8"/>
      <c r="B1981" s="17"/>
      <c r="C1981" s="19"/>
      <c r="D1981" s="8"/>
      <c r="E1981" s="18"/>
      <c r="F1981" s="18"/>
      <c r="G1981" s="8"/>
      <c r="H1981" s="8"/>
      <c r="I1981" s="8"/>
      <c r="J1981" s="8"/>
      <c r="K1981" s="10" t="str">
        <f aca="false">IF(A1981="","",IF(ABS(SUMIFS($E$9:$E$2008,$A$9:$A$2008,A1981)-SUMIFS($F$9:$F$2008,$A$9:$A$2008,A1981))&lt;0.5,"Yes","No"))</f>
        <v/>
      </c>
      <c r="L1981" s="10" t="str">
        <f aca="false">IF(A1981="","",IF(IF(K1981="No","Does not balance | ","")&amp;IF(I1981="","Not approved | ",IF(UPPER(TRIM(H1981))=UPPER(TRIM(I1981)),"Self-approved | ",""))&amp;IF(J1981="","No support | ","")&amp;IF(WEEKDAY(B1981,2)&gt;5,"Weekend posting | ","")&amp;IF(COUNTIF(Settings!$A$14:$A$43,B1981)&gt;0,"Holiday posting | ","")&amp;IF(B1981&gt;Settings!$C$8,"Posted after close | ","")&amp;IF(OR(B1981&lt;Settings!$C$6,B1981&gt;Settings!$C$7),"Outside period | ","")&amp;IF(COUNTIF(Settings!$E$14:$E$43,C1981&amp;"")&gt;0,"Sensitive account | ","")&amp;IF(AND(MAX(N(E1981),N(F1981))&gt;=Settings!$C$9,MOD(MAX(N(E1981),N(F1981)),Settings!$C$10)=0),"Round amount | ","")="","",LEFT(IF(K1981="No","Does not balance | ","")&amp;IF(I1981="","Not approved | ",IF(UPPER(TRIM(H1981))=UPPER(TRIM(I1981)),"Self-approved | ",""))&amp;IF(J1981="","No support | ","")&amp;IF(WEEKDAY(B1981,2)&gt;5,"Weekend posting | ","")&amp;IF(COUNTIF(Settings!$A$14:$A$43,B1981)&gt;0,"Holiday posting | ","")&amp;IF(B1981&gt;Settings!$C$8,"Posted after close | ","")&amp;IF(OR(B1981&lt;Settings!$C$6,B1981&gt;Settings!$C$7),"Outside period | ","")&amp;IF(COUNTIF(Settings!$E$14:$E$43,C1981&amp;"")&gt;0,"Sensitive account | ","")&amp;IF(AND(MAX(N(E1981),N(F1981))&gt;=Settings!$C$9,MOD(MAX(N(E1981),N(F1981)),Settings!$C$10)=0),"Round amount | ",""),LEN(IF(K1981="No","Does not balance | ","")&amp;IF(I1981="","Not approved | ",IF(UPPER(TRIM(H1981))=UPPER(TRIM(I1981)),"Self-approved | ",""))&amp;IF(J1981="","No support | ","")&amp;IF(WEEKDAY(B1981,2)&gt;5,"Weekend posting | ","")&amp;IF(COUNTIF(Settings!$A$14:$A$43,B1981)&gt;0,"Holiday posting | ","")&amp;IF(B1981&gt;Settings!$C$8,"Posted after close | ","")&amp;IF(OR(B1981&lt;Settings!$C$6,B1981&gt;Settings!$C$7),"Outside period | ","")&amp;IF(COUNTIF(Settings!$E$14:$E$43,C1981&amp;"")&gt;0,"Sensitive account | ","")&amp;IF(AND(MAX(N(E1981),N(F1981))&gt;=Settings!$C$9,MOD(MAX(N(E1981),N(F1981)),Settings!$C$10)=0),"Round amount | ",""))-3)))</f>
        <v/>
      </c>
      <c r="M1981" s="21" t="str">
        <f aca="false">IF(A1981="","",IF(COUNTIF($A$9:A1981,A1981)=1,MAX($M$8:M1980)+1,""))</f>
        <v/>
      </c>
    </row>
    <row r="1982" customFormat="false" ht="15" hidden="false" customHeight="false" outlineLevel="0" collapsed="false">
      <c r="A1982" s="8"/>
      <c r="B1982" s="17"/>
      <c r="C1982" s="19"/>
      <c r="D1982" s="8"/>
      <c r="E1982" s="18"/>
      <c r="F1982" s="18"/>
      <c r="G1982" s="8"/>
      <c r="H1982" s="8"/>
      <c r="I1982" s="8"/>
      <c r="J1982" s="8"/>
      <c r="K1982" s="10" t="str">
        <f aca="false">IF(A1982="","",IF(ABS(SUMIFS($E$9:$E$2008,$A$9:$A$2008,A1982)-SUMIFS($F$9:$F$2008,$A$9:$A$2008,A1982))&lt;0.5,"Yes","No"))</f>
        <v/>
      </c>
      <c r="L1982" s="10" t="str">
        <f aca="false">IF(A1982="","",IF(IF(K1982="No","Does not balance | ","")&amp;IF(I1982="","Not approved | ",IF(UPPER(TRIM(H1982))=UPPER(TRIM(I1982)),"Self-approved | ",""))&amp;IF(J1982="","No support | ","")&amp;IF(WEEKDAY(B1982,2)&gt;5,"Weekend posting | ","")&amp;IF(COUNTIF(Settings!$A$14:$A$43,B1982)&gt;0,"Holiday posting | ","")&amp;IF(B1982&gt;Settings!$C$8,"Posted after close | ","")&amp;IF(OR(B1982&lt;Settings!$C$6,B1982&gt;Settings!$C$7),"Outside period | ","")&amp;IF(COUNTIF(Settings!$E$14:$E$43,C1982&amp;"")&gt;0,"Sensitive account | ","")&amp;IF(AND(MAX(N(E1982),N(F1982))&gt;=Settings!$C$9,MOD(MAX(N(E1982),N(F1982)),Settings!$C$10)=0),"Round amount | ","")="","",LEFT(IF(K1982="No","Does not balance | ","")&amp;IF(I1982="","Not approved | ",IF(UPPER(TRIM(H1982))=UPPER(TRIM(I1982)),"Self-approved | ",""))&amp;IF(J1982="","No support | ","")&amp;IF(WEEKDAY(B1982,2)&gt;5,"Weekend posting | ","")&amp;IF(COUNTIF(Settings!$A$14:$A$43,B1982)&gt;0,"Holiday posting | ","")&amp;IF(B1982&gt;Settings!$C$8,"Posted after close | ","")&amp;IF(OR(B1982&lt;Settings!$C$6,B1982&gt;Settings!$C$7),"Outside period | ","")&amp;IF(COUNTIF(Settings!$E$14:$E$43,C1982&amp;"")&gt;0,"Sensitive account | ","")&amp;IF(AND(MAX(N(E1982),N(F1982))&gt;=Settings!$C$9,MOD(MAX(N(E1982),N(F1982)),Settings!$C$10)=0),"Round amount | ",""),LEN(IF(K1982="No","Does not balance | ","")&amp;IF(I1982="","Not approved | ",IF(UPPER(TRIM(H1982))=UPPER(TRIM(I1982)),"Self-approved | ",""))&amp;IF(J1982="","No support | ","")&amp;IF(WEEKDAY(B1982,2)&gt;5,"Weekend posting | ","")&amp;IF(COUNTIF(Settings!$A$14:$A$43,B1982)&gt;0,"Holiday posting | ","")&amp;IF(B1982&gt;Settings!$C$8,"Posted after close | ","")&amp;IF(OR(B1982&lt;Settings!$C$6,B1982&gt;Settings!$C$7),"Outside period | ","")&amp;IF(COUNTIF(Settings!$E$14:$E$43,C1982&amp;"")&gt;0,"Sensitive account | ","")&amp;IF(AND(MAX(N(E1982),N(F1982))&gt;=Settings!$C$9,MOD(MAX(N(E1982),N(F1982)),Settings!$C$10)=0),"Round amount | ",""))-3)))</f>
        <v/>
      </c>
      <c r="M1982" s="21" t="str">
        <f aca="false">IF(A1982="","",IF(COUNTIF($A$9:A1982,A1982)=1,MAX($M$8:M1981)+1,""))</f>
        <v/>
      </c>
    </row>
    <row r="1983" customFormat="false" ht="15" hidden="false" customHeight="false" outlineLevel="0" collapsed="false">
      <c r="A1983" s="8"/>
      <c r="B1983" s="17"/>
      <c r="C1983" s="19"/>
      <c r="D1983" s="8"/>
      <c r="E1983" s="18"/>
      <c r="F1983" s="18"/>
      <c r="G1983" s="8"/>
      <c r="H1983" s="8"/>
      <c r="I1983" s="8"/>
      <c r="J1983" s="8"/>
      <c r="K1983" s="10" t="str">
        <f aca="false">IF(A1983="","",IF(ABS(SUMIFS($E$9:$E$2008,$A$9:$A$2008,A1983)-SUMIFS($F$9:$F$2008,$A$9:$A$2008,A1983))&lt;0.5,"Yes","No"))</f>
        <v/>
      </c>
      <c r="L1983" s="10" t="str">
        <f aca="false">IF(A1983="","",IF(IF(K1983="No","Does not balance | ","")&amp;IF(I1983="","Not approved | ",IF(UPPER(TRIM(H1983))=UPPER(TRIM(I1983)),"Self-approved | ",""))&amp;IF(J1983="","No support | ","")&amp;IF(WEEKDAY(B1983,2)&gt;5,"Weekend posting | ","")&amp;IF(COUNTIF(Settings!$A$14:$A$43,B1983)&gt;0,"Holiday posting | ","")&amp;IF(B1983&gt;Settings!$C$8,"Posted after close | ","")&amp;IF(OR(B1983&lt;Settings!$C$6,B1983&gt;Settings!$C$7),"Outside period | ","")&amp;IF(COUNTIF(Settings!$E$14:$E$43,C1983&amp;"")&gt;0,"Sensitive account | ","")&amp;IF(AND(MAX(N(E1983),N(F1983))&gt;=Settings!$C$9,MOD(MAX(N(E1983),N(F1983)),Settings!$C$10)=0),"Round amount | ","")="","",LEFT(IF(K1983="No","Does not balance | ","")&amp;IF(I1983="","Not approved | ",IF(UPPER(TRIM(H1983))=UPPER(TRIM(I1983)),"Self-approved | ",""))&amp;IF(J1983="","No support | ","")&amp;IF(WEEKDAY(B1983,2)&gt;5,"Weekend posting | ","")&amp;IF(COUNTIF(Settings!$A$14:$A$43,B1983)&gt;0,"Holiday posting | ","")&amp;IF(B1983&gt;Settings!$C$8,"Posted after close | ","")&amp;IF(OR(B1983&lt;Settings!$C$6,B1983&gt;Settings!$C$7),"Outside period | ","")&amp;IF(COUNTIF(Settings!$E$14:$E$43,C1983&amp;"")&gt;0,"Sensitive account | ","")&amp;IF(AND(MAX(N(E1983),N(F1983))&gt;=Settings!$C$9,MOD(MAX(N(E1983),N(F1983)),Settings!$C$10)=0),"Round amount | ",""),LEN(IF(K1983="No","Does not balance | ","")&amp;IF(I1983="","Not approved | ",IF(UPPER(TRIM(H1983))=UPPER(TRIM(I1983)),"Self-approved | ",""))&amp;IF(J1983="","No support | ","")&amp;IF(WEEKDAY(B1983,2)&gt;5,"Weekend posting | ","")&amp;IF(COUNTIF(Settings!$A$14:$A$43,B1983)&gt;0,"Holiday posting | ","")&amp;IF(B1983&gt;Settings!$C$8,"Posted after close | ","")&amp;IF(OR(B1983&lt;Settings!$C$6,B1983&gt;Settings!$C$7),"Outside period | ","")&amp;IF(COUNTIF(Settings!$E$14:$E$43,C1983&amp;"")&gt;0,"Sensitive account | ","")&amp;IF(AND(MAX(N(E1983),N(F1983))&gt;=Settings!$C$9,MOD(MAX(N(E1983),N(F1983)),Settings!$C$10)=0),"Round amount | ",""))-3)))</f>
        <v/>
      </c>
      <c r="M1983" s="21" t="str">
        <f aca="false">IF(A1983="","",IF(COUNTIF($A$9:A1983,A1983)=1,MAX($M$8:M1982)+1,""))</f>
        <v/>
      </c>
    </row>
    <row r="1984" customFormat="false" ht="15" hidden="false" customHeight="false" outlineLevel="0" collapsed="false">
      <c r="A1984" s="8"/>
      <c r="B1984" s="17"/>
      <c r="C1984" s="19"/>
      <c r="D1984" s="8"/>
      <c r="E1984" s="18"/>
      <c r="F1984" s="18"/>
      <c r="G1984" s="8"/>
      <c r="H1984" s="8"/>
      <c r="I1984" s="8"/>
      <c r="J1984" s="8"/>
      <c r="K1984" s="10" t="str">
        <f aca="false">IF(A1984="","",IF(ABS(SUMIFS($E$9:$E$2008,$A$9:$A$2008,A1984)-SUMIFS($F$9:$F$2008,$A$9:$A$2008,A1984))&lt;0.5,"Yes","No"))</f>
        <v/>
      </c>
      <c r="L1984" s="10" t="str">
        <f aca="false">IF(A1984="","",IF(IF(K1984="No","Does not balance | ","")&amp;IF(I1984="","Not approved | ",IF(UPPER(TRIM(H1984))=UPPER(TRIM(I1984)),"Self-approved | ",""))&amp;IF(J1984="","No support | ","")&amp;IF(WEEKDAY(B1984,2)&gt;5,"Weekend posting | ","")&amp;IF(COUNTIF(Settings!$A$14:$A$43,B1984)&gt;0,"Holiday posting | ","")&amp;IF(B1984&gt;Settings!$C$8,"Posted after close | ","")&amp;IF(OR(B1984&lt;Settings!$C$6,B1984&gt;Settings!$C$7),"Outside period | ","")&amp;IF(COUNTIF(Settings!$E$14:$E$43,C1984&amp;"")&gt;0,"Sensitive account | ","")&amp;IF(AND(MAX(N(E1984),N(F1984))&gt;=Settings!$C$9,MOD(MAX(N(E1984),N(F1984)),Settings!$C$10)=0),"Round amount | ","")="","",LEFT(IF(K1984="No","Does not balance | ","")&amp;IF(I1984="","Not approved | ",IF(UPPER(TRIM(H1984))=UPPER(TRIM(I1984)),"Self-approved | ",""))&amp;IF(J1984="","No support | ","")&amp;IF(WEEKDAY(B1984,2)&gt;5,"Weekend posting | ","")&amp;IF(COUNTIF(Settings!$A$14:$A$43,B1984)&gt;0,"Holiday posting | ","")&amp;IF(B1984&gt;Settings!$C$8,"Posted after close | ","")&amp;IF(OR(B1984&lt;Settings!$C$6,B1984&gt;Settings!$C$7),"Outside period | ","")&amp;IF(COUNTIF(Settings!$E$14:$E$43,C1984&amp;"")&gt;0,"Sensitive account | ","")&amp;IF(AND(MAX(N(E1984),N(F1984))&gt;=Settings!$C$9,MOD(MAX(N(E1984),N(F1984)),Settings!$C$10)=0),"Round amount | ",""),LEN(IF(K1984="No","Does not balance | ","")&amp;IF(I1984="","Not approved | ",IF(UPPER(TRIM(H1984))=UPPER(TRIM(I1984)),"Self-approved | ",""))&amp;IF(J1984="","No support | ","")&amp;IF(WEEKDAY(B1984,2)&gt;5,"Weekend posting | ","")&amp;IF(COUNTIF(Settings!$A$14:$A$43,B1984)&gt;0,"Holiday posting | ","")&amp;IF(B1984&gt;Settings!$C$8,"Posted after close | ","")&amp;IF(OR(B1984&lt;Settings!$C$6,B1984&gt;Settings!$C$7),"Outside period | ","")&amp;IF(COUNTIF(Settings!$E$14:$E$43,C1984&amp;"")&gt;0,"Sensitive account | ","")&amp;IF(AND(MAX(N(E1984),N(F1984))&gt;=Settings!$C$9,MOD(MAX(N(E1984),N(F1984)),Settings!$C$10)=0),"Round amount | ",""))-3)))</f>
        <v/>
      </c>
      <c r="M1984" s="21" t="str">
        <f aca="false">IF(A1984="","",IF(COUNTIF($A$9:A1984,A1984)=1,MAX($M$8:M1983)+1,""))</f>
        <v/>
      </c>
    </row>
    <row r="1985" customFormat="false" ht="15" hidden="false" customHeight="false" outlineLevel="0" collapsed="false">
      <c r="A1985" s="8"/>
      <c r="B1985" s="17"/>
      <c r="C1985" s="19"/>
      <c r="D1985" s="8"/>
      <c r="E1985" s="18"/>
      <c r="F1985" s="18"/>
      <c r="G1985" s="8"/>
      <c r="H1985" s="8"/>
      <c r="I1985" s="8"/>
      <c r="J1985" s="8"/>
      <c r="K1985" s="10" t="str">
        <f aca="false">IF(A1985="","",IF(ABS(SUMIFS($E$9:$E$2008,$A$9:$A$2008,A1985)-SUMIFS($F$9:$F$2008,$A$9:$A$2008,A1985))&lt;0.5,"Yes","No"))</f>
        <v/>
      </c>
      <c r="L1985" s="10" t="str">
        <f aca="false">IF(A1985="","",IF(IF(K1985="No","Does not balance | ","")&amp;IF(I1985="","Not approved | ",IF(UPPER(TRIM(H1985))=UPPER(TRIM(I1985)),"Self-approved | ",""))&amp;IF(J1985="","No support | ","")&amp;IF(WEEKDAY(B1985,2)&gt;5,"Weekend posting | ","")&amp;IF(COUNTIF(Settings!$A$14:$A$43,B1985)&gt;0,"Holiday posting | ","")&amp;IF(B1985&gt;Settings!$C$8,"Posted after close | ","")&amp;IF(OR(B1985&lt;Settings!$C$6,B1985&gt;Settings!$C$7),"Outside period | ","")&amp;IF(COUNTIF(Settings!$E$14:$E$43,C1985&amp;"")&gt;0,"Sensitive account | ","")&amp;IF(AND(MAX(N(E1985),N(F1985))&gt;=Settings!$C$9,MOD(MAX(N(E1985),N(F1985)),Settings!$C$10)=0),"Round amount | ","")="","",LEFT(IF(K1985="No","Does not balance | ","")&amp;IF(I1985="","Not approved | ",IF(UPPER(TRIM(H1985))=UPPER(TRIM(I1985)),"Self-approved | ",""))&amp;IF(J1985="","No support | ","")&amp;IF(WEEKDAY(B1985,2)&gt;5,"Weekend posting | ","")&amp;IF(COUNTIF(Settings!$A$14:$A$43,B1985)&gt;0,"Holiday posting | ","")&amp;IF(B1985&gt;Settings!$C$8,"Posted after close | ","")&amp;IF(OR(B1985&lt;Settings!$C$6,B1985&gt;Settings!$C$7),"Outside period | ","")&amp;IF(COUNTIF(Settings!$E$14:$E$43,C1985&amp;"")&gt;0,"Sensitive account | ","")&amp;IF(AND(MAX(N(E1985),N(F1985))&gt;=Settings!$C$9,MOD(MAX(N(E1985),N(F1985)),Settings!$C$10)=0),"Round amount | ",""),LEN(IF(K1985="No","Does not balance | ","")&amp;IF(I1985="","Not approved | ",IF(UPPER(TRIM(H1985))=UPPER(TRIM(I1985)),"Self-approved | ",""))&amp;IF(J1985="","No support | ","")&amp;IF(WEEKDAY(B1985,2)&gt;5,"Weekend posting | ","")&amp;IF(COUNTIF(Settings!$A$14:$A$43,B1985)&gt;0,"Holiday posting | ","")&amp;IF(B1985&gt;Settings!$C$8,"Posted after close | ","")&amp;IF(OR(B1985&lt;Settings!$C$6,B1985&gt;Settings!$C$7),"Outside period | ","")&amp;IF(COUNTIF(Settings!$E$14:$E$43,C1985&amp;"")&gt;0,"Sensitive account | ","")&amp;IF(AND(MAX(N(E1985),N(F1985))&gt;=Settings!$C$9,MOD(MAX(N(E1985),N(F1985)),Settings!$C$10)=0),"Round amount | ",""))-3)))</f>
        <v/>
      </c>
      <c r="M1985" s="21" t="str">
        <f aca="false">IF(A1985="","",IF(COUNTIF($A$9:A1985,A1985)=1,MAX($M$8:M1984)+1,""))</f>
        <v/>
      </c>
    </row>
    <row r="1986" customFormat="false" ht="15" hidden="false" customHeight="false" outlineLevel="0" collapsed="false">
      <c r="A1986" s="8"/>
      <c r="B1986" s="17"/>
      <c r="C1986" s="19"/>
      <c r="D1986" s="8"/>
      <c r="E1986" s="18"/>
      <c r="F1986" s="18"/>
      <c r="G1986" s="8"/>
      <c r="H1986" s="8"/>
      <c r="I1986" s="8"/>
      <c r="J1986" s="8"/>
      <c r="K1986" s="10" t="str">
        <f aca="false">IF(A1986="","",IF(ABS(SUMIFS($E$9:$E$2008,$A$9:$A$2008,A1986)-SUMIFS($F$9:$F$2008,$A$9:$A$2008,A1986))&lt;0.5,"Yes","No"))</f>
        <v/>
      </c>
      <c r="L1986" s="10" t="str">
        <f aca="false">IF(A1986="","",IF(IF(K1986="No","Does not balance | ","")&amp;IF(I1986="","Not approved | ",IF(UPPER(TRIM(H1986))=UPPER(TRIM(I1986)),"Self-approved | ",""))&amp;IF(J1986="","No support | ","")&amp;IF(WEEKDAY(B1986,2)&gt;5,"Weekend posting | ","")&amp;IF(COUNTIF(Settings!$A$14:$A$43,B1986)&gt;0,"Holiday posting | ","")&amp;IF(B1986&gt;Settings!$C$8,"Posted after close | ","")&amp;IF(OR(B1986&lt;Settings!$C$6,B1986&gt;Settings!$C$7),"Outside period | ","")&amp;IF(COUNTIF(Settings!$E$14:$E$43,C1986&amp;"")&gt;0,"Sensitive account | ","")&amp;IF(AND(MAX(N(E1986),N(F1986))&gt;=Settings!$C$9,MOD(MAX(N(E1986),N(F1986)),Settings!$C$10)=0),"Round amount | ","")="","",LEFT(IF(K1986="No","Does not balance | ","")&amp;IF(I1986="","Not approved | ",IF(UPPER(TRIM(H1986))=UPPER(TRIM(I1986)),"Self-approved | ",""))&amp;IF(J1986="","No support | ","")&amp;IF(WEEKDAY(B1986,2)&gt;5,"Weekend posting | ","")&amp;IF(COUNTIF(Settings!$A$14:$A$43,B1986)&gt;0,"Holiday posting | ","")&amp;IF(B1986&gt;Settings!$C$8,"Posted after close | ","")&amp;IF(OR(B1986&lt;Settings!$C$6,B1986&gt;Settings!$C$7),"Outside period | ","")&amp;IF(COUNTIF(Settings!$E$14:$E$43,C1986&amp;"")&gt;0,"Sensitive account | ","")&amp;IF(AND(MAX(N(E1986),N(F1986))&gt;=Settings!$C$9,MOD(MAX(N(E1986),N(F1986)),Settings!$C$10)=0),"Round amount | ",""),LEN(IF(K1986="No","Does not balance | ","")&amp;IF(I1986="","Not approved | ",IF(UPPER(TRIM(H1986))=UPPER(TRIM(I1986)),"Self-approved | ",""))&amp;IF(J1986="","No support | ","")&amp;IF(WEEKDAY(B1986,2)&gt;5,"Weekend posting | ","")&amp;IF(COUNTIF(Settings!$A$14:$A$43,B1986)&gt;0,"Holiday posting | ","")&amp;IF(B1986&gt;Settings!$C$8,"Posted after close | ","")&amp;IF(OR(B1986&lt;Settings!$C$6,B1986&gt;Settings!$C$7),"Outside period | ","")&amp;IF(COUNTIF(Settings!$E$14:$E$43,C1986&amp;"")&gt;0,"Sensitive account | ","")&amp;IF(AND(MAX(N(E1986),N(F1986))&gt;=Settings!$C$9,MOD(MAX(N(E1986),N(F1986)),Settings!$C$10)=0),"Round amount | ",""))-3)))</f>
        <v/>
      </c>
      <c r="M1986" s="21" t="str">
        <f aca="false">IF(A1986="","",IF(COUNTIF($A$9:A1986,A1986)=1,MAX($M$8:M1985)+1,""))</f>
        <v/>
      </c>
    </row>
    <row r="1987" customFormat="false" ht="15" hidden="false" customHeight="false" outlineLevel="0" collapsed="false">
      <c r="A1987" s="8"/>
      <c r="B1987" s="17"/>
      <c r="C1987" s="19"/>
      <c r="D1987" s="8"/>
      <c r="E1987" s="18"/>
      <c r="F1987" s="18"/>
      <c r="G1987" s="8"/>
      <c r="H1987" s="8"/>
      <c r="I1987" s="8"/>
      <c r="J1987" s="8"/>
      <c r="K1987" s="10" t="str">
        <f aca="false">IF(A1987="","",IF(ABS(SUMIFS($E$9:$E$2008,$A$9:$A$2008,A1987)-SUMIFS($F$9:$F$2008,$A$9:$A$2008,A1987))&lt;0.5,"Yes","No"))</f>
        <v/>
      </c>
      <c r="L1987" s="10" t="str">
        <f aca="false">IF(A1987="","",IF(IF(K1987="No","Does not balance | ","")&amp;IF(I1987="","Not approved | ",IF(UPPER(TRIM(H1987))=UPPER(TRIM(I1987)),"Self-approved | ",""))&amp;IF(J1987="","No support | ","")&amp;IF(WEEKDAY(B1987,2)&gt;5,"Weekend posting | ","")&amp;IF(COUNTIF(Settings!$A$14:$A$43,B1987)&gt;0,"Holiday posting | ","")&amp;IF(B1987&gt;Settings!$C$8,"Posted after close | ","")&amp;IF(OR(B1987&lt;Settings!$C$6,B1987&gt;Settings!$C$7),"Outside period | ","")&amp;IF(COUNTIF(Settings!$E$14:$E$43,C1987&amp;"")&gt;0,"Sensitive account | ","")&amp;IF(AND(MAX(N(E1987),N(F1987))&gt;=Settings!$C$9,MOD(MAX(N(E1987),N(F1987)),Settings!$C$10)=0),"Round amount | ","")="","",LEFT(IF(K1987="No","Does not balance | ","")&amp;IF(I1987="","Not approved | ",IF(UPPER(TRIM(H1987))=UPPER(TRIM(I1987)),"Self-approved | ",""))&amp;IF(J1987="","No support | ","")&amp;IF(WEEKDAY(B1987,2)&gt;5,"Weekend posting | ","")&amp;IF(COUNTIF(Settings!$A$14:$A$43,B1987)&gt;0,"Holiday posting | ","")&amp;IF(B1987&gt;Settings!$C$8,"Posted after close | ","")&amp;IF(OR(B1987&lt;Settings!$C$6,B1987&gt;Settings!$C$7),"Outside period | ","")&amp;IF(COUNTIF(Settings!$E$14:$E$43,C1987&amp;"")&gt;0,"Sensitive account | ","")&amp;IF(AND(MAX(N(E1987),N(F1987))&gt;=Settings!$C$9,MOD(MAX(N(E1987),N(F1987)),Settings!$C$10)=0),"Round amount | ",""),LEN(IF(K1987="No","Does not balance | ","")&amp;IF(I1987="","Not approved | ",IF(UPPER(TRIM(H1987))=UPPER(TRIM(I1987)),"Self-approved | ",""))&amp;IF(J1987="","No support | ","")&amp;IF(WEEKDAY(B1987,2)&gt;5,"Weekend posting | ","")&amp;IF(COUNTIF(Settings!$A$14:$A$43,B1987)&gt;0,"Holiday posting | ","")&amp;IF(B1987&gt;Settings!$C$8,"Posted after close | ","")&amp;IF(OR(B1987&lt;Settings!$C$6,B1987&gt;Settings!$C$7),"Outside period | ","")&amp;IF(COUNTIF(Settings!$E$14:$E$43,C1987&amp;"")&gt;0,"Sensitive account | ","")&amp;IF(AND(MAX(N(E1987),N(F1987))&gt;=Settings!$C$9,MOD(MAX(N(E1987),N(F1987)),Settings!$C$10)=0),"Round amount | ",""))-3)))</f>
        <v/>
      </c>
      <c r="M1987" s="21" t="str">
        <f aca="false">IF(A1987="","",IF(COUNTIF($A$9:A1987,A1987)=1,MAX($M$8:M1986)+1,""))</f>
        <v/>
      </c>
    </row>
    <row r="1988" customFormat="false" ht="15" hidden="false" customHeight="false" outlineLevel="0" collapsed="false">
      <c r="A1988" s="8"/>
      <c r="B1988" s="17"/>
      <c r="C1988" s="19"/>
      <c r="D1988" s="8"/>
      <c r="E1988" s="18"/>
      <c r="F1988" s="18"/>
      <c r="G1988" s="8"/>
      <c r="H1988" s="8"/>
      <c r="I1988" s="8"/>
      <c r="J1988" s="8"/>
      <c r="K1988" s="10" t="str">
        <f aca="false">IF(A1988="","",IF(ABS(SUMIFS($E$9:$E$2008,$A$9:$A$2008,A1988)-SUMIFS($F$9:$F$2008,$A$9:$A$2008,A1988))&lt;0.5,"Yes","No"))</f>
        <v/>
      </c>
      <c r="L1988" s="10" t="str">
        <f aca="false">IF(A1988="","",IF(IF(K1988="No","Does not balance | ","")&amp;IF(I1988="","Not approved | ",IF(UPPER(TRIM(H1988))=UPPER(TRIM(I1988)),"Self-approved | ",""))&amp;IF(J1988="","No support | ","")&amp;IF(WEEKDAY(B1988,2)&gt;5,"Weekend posting | ","")&amp;IF(COUNTIF(Settings!$A$14:$A$43,B1988)&gt;0,"Holiday posting | ","")&amp;IF(B1988&gt;Settings!$C$8,"Posted after close | ","")&amp;IF(OR(B1988&lt;Settings!$C$6,B1988&gt;Settings!$C$7),"Outside period | ","")&amp;IF(COUNTIF(Settings!$E$14:$E$43,C1988&amp;"")&gt;0,"Sensitive account | ","")&amp;IF(AND(MAX(N(E1988),N(F1988))&gt;=Settings!$C$9,MOD(MAX(N(E1988),N(F1988)),Settings!$C$10)=0),"Round amount | ","")="","",LEFT(IF(K1988="No","Does not balance | ","")&amp;IF(I1988="","Not approved | ",IF(UPPER(TRIM(H1988))=UPPER(TRIM(I1988)),"Self-approved | ",""))&amp;IF(J1988="","No support | ","")&amp;IF(WEEKDAY(B1988,2)&gt;5,"Weekend posting | ","")&amp;IF(COUNTIF(Settings!$A$14:$A$43,B1988)&gt;0,"Holiday posting | ","")&amp;IF(B1988&gt;Settings!$C$8,"Posted after close | ","")&amp;IF(OR(B1988&lt;Settings!$C$6,B1988&gt;Settings!$C$7),"Outside period | ","")&amp;IF(COUNTIF(Settings!$E$14:$E$43,C1988&amp;"")&gt;0,"Sensitive account | ","")&amp;IF(AND(MAX(N(E1988),N(F1988))&gt;=Settings!$C$9,MOD(MAX(N(E1988),N(F1988)),Settings!$C$10)=0),"Round amount | ",""),LEN(IF(K1988="No","Does not balance | ","")&amp;IF(I1988="","Not approved | ",IF(UPPER(TRIM(H1988))=UPPER(TRIM(I1988)),"Self-approved | ",""))&amp;IF(J1988="","No support | ","")&amp;IF(WEEKDAY(B1988,2)&gt;5,"Weekend posting | ","")&amp;IF(COUNTIF(Settings!$A$14:$A$43,B1988)&gt;0,"Holiday posting | ","")&amp;IF(B1988&gt;Settings!$C$8,"Posted after close | ","")&amp;IF(OR(B1988&lt;Settings!$C$6,B1988&gt;Settings!$C$7),"Outside period | ","")&amp;IF(COUNTIF(Settings!$E$14:$E$43,C1988&amp;"")&gt;0,"Sensitive account | ","")&amp;IF(AND(MAX(N(E1988),N(F1988))&gt;=Settings!$C$9,MOD(MAX(N(E1988),N(F1988)),Settings!$C$10)=0),"Round amount | ",""))-3)))</f>
        <v/>
      </c>
      <c r="M1988" s="21" t="str">
        <f aca="false">IF(A1988="","",IF(COUNTIF($A$9:A1988,A1988)=1,MAX($M$8:M1987)+1,""))</f>
        <v/>
      </c>
    </row>
    <row r="1989" customFormat="false" ht="15" hidden="false" customHeight="false" outlineLevel="0" collapsed="false">
      <c r="A1989" s="8"/>
      <c r="B1989" s="17"/>
      <c r="C1989" s="19"/>
      <c r="D1989" s="8"/>
      <c r="E1989" s="18"/>
      <c r="F1989" s="18"/>
      <c r="G1989" s="8"/>
      <c r="H1989" s="8"/>
      <c r="I1989" s="8"/>
      <c r="J1989" s="8"/>
      <c r="K1989" s="10" t="str">
        <f aca="false">IF(A1989="","",IF(ABS(SUMIFS($E$9:$E$2008,$A$9:$A$2008,A1989)-SUMIFS($F$9:$F$2008,$A$9:$A$2008,A1989))&lt;0.5,"Yes","No"))</f>
        <v/>
      </c>
      <c r="L1989" s="10" t="str">
        <f aca="false">IF(A1989="","",IF(IF(K1989="No","Does not balance | ","")&amp;IF(I1989="","Not approved | ",IF(UPPER(TRIM(H1989))=UPPER(TRIM(I1989)),"Self-approved | ",""))&amp;IF(J1989="","No support | ","")&amp;IF(WEEKDAY(B1989,2)&gt;5,"Weekend posting | ","")&amp;IF(COUNTIF(Settings!$A$14:$A$43,B1989)&gt;0,"Holiday posting | ","")&amp;IF(B1989&gt;Settings!$C$8,"Posted after close | ","")&amp;IF(OR(B1989&lt;Settings!$C$6,B1989&gt;Settings!$C$7),"Outside period | ","")&amp;IF(COUNTIF(Settings!$E$14:$E$43,C1989&amp;"")&gt;0,"Sensitive account | ","")&amp;IF(AND(MAX(N(E1989),N(F1989))&gt;=Settings!$C$9,MOD(MAX(N(E1989),N(F1989)),Settings!$C$10)=0),"Round amount | ","")="","",LEFT(IF(K1989="No","Does not balance | ","")&amp;IF(I1989="","Not approved | ",IF(UPPER(TRIM(H1989))=UPPER(TRIM(I1989)),"Self-approved | ",""))&amp;IF(J1989="","No support | ","")&amp;IF(WEEKDAY(B1989,2)&gt;5,"Weekend posting | ","")&amp;IF(COUNTIF(Settings!$A$14:$A$43,B1989)&gt;0,"Holiday posting | ","")&amp;IF(B1989&gt;Settings!$C$8,"Posted after close | ","")&amp;IF(OR(B1989&lt;Settings!$C$6,B1989&gt;Settings!$C$7),"Outside period | ","")&amp;IF(COUNTIF(Settings!$E$14:$E$43,C1989&amp;"")&gt;0,"Sensitive account | ","")&amp;IF(AND(MAX(N(E1989),N(F1989))&gt;=Settings!$C$9,MOD(MAX(N(E1989),N(F1989)),Settings!$C$10)=0),"Round amount | ",""),LEN(IF(K1989="No","Does not balance | ","")&amp;IF(I1989="","Not approved | ",IF(UPPER(TRIM(H1989))=UPPER(TRIM(I1989)),"Self-approved | ",""))&amp;IF(J1989="","No support | ","")&amp;IF(WEEKDAY(B1989,2)&gt;5,"Weekend posting | ","")&amp;IF(COUNTIF(Settings!$A$14:$A$43,B1989)&gt;0,"Holiday posting | ","")&amp;IF(B1989&gt;Settings!$C$8,"Posted after close | ","")&amp;IF(OR(B1989&lt;Settings!$C$6,B1989&gt;Settings!$C$7),"Outside period | ","")&amp;IF(COUNTIF(Settings!$E$14:$E$43,C1989&amp;"")&gt;0,"Sensitive account | ","")&amp;IF(AND(MAX(N(E1989),N(F1989))&gt;=Settings!$C$9,MOD(MAX(N(E1989),N(F1989)),Settings!$C$10)=0),"Round amount | ",""))-3)))</f>
        <v/>
      </c>
      <c r="M1989" s="21" t="str">
        <f aca="false">IF(A1989="","",IF(COUNTIF($A$9:A1989,A1989)=1,MAX($M$8:M1988)+1,""))</f>
        <v/>
      </c>
    </row>
    <row r="1990" customFormat="false" ht="15" hidden="false" customHeight="false" outlineLevel="0" collapsed="false">
      <c r="A1990" s="8"/>
      <c r="B1990" s="17"/>
      <c r="C1990" s="19"/>
      <c r="D1990" s="8"/>
      <c r="E1990" s="18"/>
      <c r="F1990" s="18"/>
      <c r="G1990" s="8"/>
      <c r="H1990" s="8"/>
      <c r="I1990" s="8"/>
      <c r="J1990" s="8"/>
      <c r="K1990" s="10" t="str">
        <f aca="false">IF(A1990="","",IF(ABS(SUMIFS($E$9:$E$2008,$A$9:$A$2008,A1990)-SUMIFS($F$9:$F$2008,$A$9:$A$2008,A1990))&lt;0.5,"Yes","No"))</f>
        <v/>
      </c>
      <c r="L1990" s="10" t="str">
        <f aca="false">IF(A1990="","",IF(IF(K1990="No","Does not balance | ","")&amp;IF(I1990="","Not approved | ",IF(UPPER(TRIM(H1990))=UPPER(TRIM(I1990)),"Self-approved | ",""))&amp;IF(J1990="","No support | ","")&amp;IF(WEEKDAY(B1990,2)&gt;5,"Weekend posting | ","")&amp;IF(COUNTIF(Settings!$A$14:$A$43,B1990)&gt;0,"Holiday posting | ","")&amp;IF(B1990&gt;Settings!$C$8,"Posted after close | ","")&amp;IF(OR(B1990&lt;Settings!$C$6,B1990&gt;Settings!$C$7),"Outside period | ","")&amp;IF(COUNTIF(Settings!$E$14:$E$43,C1990&amp;"")&gt;0,"Sensitive account | ","")&amp;IF(AND(MAX(N(E1990),N(F1990))&gt;=Settings!$C$9,MOD(MAX(N(E1990),N(F1990)),Settings!$C$10)=0),"Round amount | ","")="","",LEFT(IF(K1990="No","Does not balance | ","")&amp;IF(I1990="","Not approved | ",IF(UPPER(TRIM(H1990))=UPPER(TRIM(I1990)),"Self-approved | ",""))&amp;IF(J1990="","No support | ","")&amp;IF(WEEKDAY(B1990,2)&gt;5,"Weekend posting | ","")&amp;IF(COUNTIF(Settings!$A$14:$A$43,B1990)&gt;0,"Holiday posting | ","")&amp;IF(B1990&gt;Settings!$C$8,"Posted after close | ","")&amp;IF(OR(B1990&lt;Settings!$C$6,B1990&gt;Settings!$C$7),"Outside period | ","")&amp;IF(COUNTIF(Settings!$E$14:$E$43,C1990&amp;"")&gt;0,"Sensitive account | ","")&amp;IF(AND(MAX(N(E1990),N(F1990))&gt;=Settings!$C$9,MOD(MAX(N(E1990),N(F1990)),Settings!$C$10)=0),"Round amount | ",""),LEN(IF(K1990="No","Does not balance | ","")&amp;IF(I1990="","Not approved | ",IF(UPPER(TRIM(H1990))=UPPER(TRIM(I1990)),"Self-approved | ",""))&amp;IF(J1990="","No support | ","")&amp;IF(WEEKDAY(B1990,2)&gt;5,"Weekend posting | ","")&amp;IF(COUNTIF(Settings!$A$14:$A$43,B1990)&gt;0,"Holiday posting | ","")&amp;IF(B1990&gt;Settings!$C$8,"Posted after close | ","")&amp;IF(OR(B1990&lt;Settings!$C$6,B1990&gt;Settings!$C$7),"Outside period | ","")&amp;IF(COUNTIF(Settings!$E$14:$E$43,C1990&amp;"")&gt;0,"Sensitive account | ","")&amp;IF(AND(MAX(N(E1990),N(F1990))&gt;=Settings!$C$9,MOD(MAX(N(E1990),N(F1990)),Settings!$C$10)=0),"Round amount | ",""))-3)))</f>
        <v/>
      </c>
      <c r="M1990" s="21" t="str">
        <f aca="false">IF(A1990="","",IF(COUNTIF($A$9:A1990,A1990)=1,MAX($M$8:M1989)+1,""))</f>
        <v/>
      </c>
    </row>
    <row r="1991" customFormat="false" ht="15" hidden="false" customHeight="false" outlineLevel="0" collapsed="false">
      <c r="A1991" s="8"/>
      <c r="B1991" s="17"/>
      <c r="C1991" s="19"/>
      <c r="D1991" s="8"/>
      <c r="E1991" s="18"/>
      <c r="F1991" s="18"/>
      <c r="G1991" s="8"/>
      <c r="H1991" s="8"/>
      <c r="I1991" s="8"/>
      <c r="J1991" s="8"/>
      <c r="K1991" s="10" t="str">
        <f aca="false">IF(A1991="","",IF(ABS(SUMIFS($E$9:$E$2008,$A$9:$A$2008,A1991)-SUMIFS($F$9:$F$2008,$A$9:$A$2008,A1991))&lt;0.5,"Yes","No"))</f>
        <v/>
      </c>
      <c r="L1991" s="10" t="str">
        <f aca="false">IF(A1991="","",IF(IF(K1991="No","Does not balance | ","")&amp;IF(I1991="","Not approved | ",IF(UPPER(TRIM(H1991))=UPPER(TRIM(I1991)),"Self-approved | ",""))&amp;IF(J1991="","No support | ","")&amp;IF(WEEKDAY(B1991,2)&gt;5,"Weekend posting | ","")&amp;IF(COUNTIF(Settings!$A$14:$A$43,B1991)&gt;0,"Holiday posting | ","")&amp;IF(B1991&gt;Settings!$C$8,"Posted after close | ","")&amp;IF(OR(B1991&lt;Settings!$C$6,B1991&gt;Settings!$C$7),"Outside period | ","")&amp;IF(COUNTIF(Settings!$E$14:$E$43,C1991&amp;"")&gt;0,"Sensitive account | ","")&amp;IF(AND(MAX(N(E1991),N(F1991))&gt;=Settings!$C$9,MOD(MAX(N(E1991),N(F1991)),Settings!$C$10)=0),"Round amount | ","")="","",LEFT(IF(K1991="No","Does not balance | ","")&amp;IF(I1991="","Not approved | ",IF(UPPER(TRIM(H1991))=UPPER(TRIM(I1991)),"Self-approved | ",""))&amp;IF(J1991="","No support | ","")&amp;IF(WEEKDAY(B1991,2)&gt;5,"Weekend posting | ","")&amp;IF(COUNTIF(Settings!$A$14:$A$43,B1991)&gt;0,"Holiday posting | ","")&amp;IF(B1991&gt;Settings!$C$8,"Posted after close | ","")&amp;IF(OR(B1991&lt;Settings!$C$6,B1991&gt;Settings!$C$7),"Outside period | ","")&amp;IF(COUNTIF(Settings!$E$14:$E$43,C1991&amp;"")&gt;0,"Sensitive account | ","")&amp;IF(AND(MAX(N(E1991),N(F1991))&gt;=Settings!$C$9,MOD(MAX(N(E1991),N(F1991)),Settings!$C$10)=0),"Round amount | ",""),LEN(IF(K1991="No","Does not balance | ","")&amp;IF(I1991="","Not approved | ",IF(UPPER(TRIM(H1991))=UPPER(TRIM(I1991)),"Self-approved | ",""))&amp;IF(J1991="","No support | ","")&amp;IF(WEEKDAY(B1991,2)&gt;5,"Weekend posting | ","")&amp;IF(COUNTIF(Settings!$A$14:$A$43,B1991)&gt;0,"Holiday posting | ","")&amp;IF(B1991&gt;Settings!$C$8,"Posted after close | ","")&amp;IF(OR(B1991&lt;Settings!$C$6,B1991&gt;Settings!$C$7),"Outside period | ","")&amp;IF(COUNTIF(Settings!$E$14:$E$43,C1991&amp;"")&gt;0,"Sensitive account | ","")&amp;IF(AND(MAX(N(E1991),N(F1991))&gt;=Settings!$C$9,MOD(MAX(N(E1991),N(F1991)),Settings!$C$10)=0),"Round amount | ",""))-3)))</f>
        <v/>
      </c>
      <c r="M1991" s="21" t="str">
        <f aca="false">IF(A1991="","",IF(COUNTIF($A$9:A1991,A1991)=1,MAX($M$8:M1990)+1,""))</f>
        <v/>
      </c>
    </row>
    <row r="1992" customFormat="false" ht="15" hidden="false" customHeight="false" outlineLevel="0" collapsed="false">
      <c r="A1992" s="8"/>
      <c r="B1992" s="17"/>
      <c r="C1992" s="19"/>
      <c r="D1992" s="8"/>
      <c r="E1992" s="18"/>
      <c r="F1992" s="18"/>
      <c r="G1992" s="8"/>
      <c r="H1992" s="8"/>
      <c r="I1992" s="8"/>
      <c r="J1992" s="8"/>
      <c r="K1992" s="10" t="str">
        <f aca="false">IF(A1992="","",IF(ABS(SUMIFS($E$9:$E$2008,$A$9:$A$2008,A1992)-SUMIFS($F$9:$F$2008,$A$9:$A$2008,A1992))&lt;0.5,"Yes","No"))</f>
        <v/>
      </c>
      <c r="L1992" s="10" t="str">
        <f aca="false">IF(A1992="","",IF(IF(K1992="No","Does not balance | ","")&amp;IF(I1992="","Not approved | ",IF(UPPER(TRIM(H1992))=UPPER(TRIM(I1992)),"Self-approved | ",""))&amp;IF(J1992="","No support | ","")&amp;IF(WEEKDAY(B1992,2)&gt;5,"Weekend posting | ","")&amp;IF(COUNTIF(Settings!$A$14:$A$43,B1992)&gt;0,"Holiday posting | ","")&amp;IF(B1992&gt;Settings!$C$8,"Posted after close | ","")&amp;IF(OR(B1992&lt;Settings!$C$6,B1992&gt;Settings!$C$7),"Outside period | ","")&amp;IF(COUNTIF(Settings!$E$14:$E$43,C1992&amp;"")&gt;0,"Sensitive account | ","")&amp;IF(AND(MAX(N(E1992),N(F1992))&gt;=Settings!$C$9,MOD(MAX(N(E1992),N(F1992)),Settings!$C$10)=0),"Round amount | ","")="","",LEFT(IF(K1992="No","Does not balance | ","")&amp;IF(I1992="","Not approved | ",IF(UPPER(TRIM(H1992))=UPPER(TRIM(I1992)),"Self-approved | ",""))&amp;IF(J1992="","No support | ","")&amp;IF(WEEKDAY(B1992,2)&gt;5,"Weekend posting | ","")&amp;IF(COUNTIF(Settings!$A$14:$A$43,B1992)&gt;0,"Holiday posting | ","")&amp;IF(B1992&gt;Settings!$C$8,"Posted after close | ","")&amp;IF(OR(B1992&lt;Settings!$C$6,B1992&gt;Settings!$C$7),"Outside period | ","")&amp;IF(COUNTIF(Settings!$E$14:$E$43,C1992&amp;"")&gt;0,"Sensitive account | ","")&amp;IF(AND(MAX(N(E1992),N(F1992))&gt;=Settings!$C$9,MOD(MAX(N(E1992),N(F1992)),Settings!$C$10)=0),"Round amount | ",""),LEN(IF(K1992="No","Does not balance | ","")&amp;IF(I1992="","Not approved | ",IF(UPPER(TRIM(H1992))=UPPER(TRIM(I1992)),"Self-approved | ",""))&amp;IF(J1992="","No support | ","")&amp;IF(WEEKDAY(B1992,2)&gt;5,"Weekend posting | ","")&amp;IF(COUNTIF(Settings!$A$14:$A$43,B1992)&gt;0,"Holiday posting | ","")&amp;IF(B1992&gt;Settings!$C$8,"Posted after close | ","")&amp;IF(OR(B1992&lt;Settings!$C$6,B1992&gt;Settings!$C$7),"Outside period | ","")&amp;IF(COUNTIF(Settings!$E$14:$E$43,C1992&amp;"")&gt;0,"Sensitive account | ","")&amp;IF(AND(MAX(N(E1992),N(F1992))&gt;=Settings!$C$9,MOD(MAX(N(E1992),N(F1992)),Settings!$C$10)=0),"Round amount | ",""))-3)))</f>
        <v/>
      </c>
      <c r="M1992" s="21" t="str">
        <f aca="false">IF(A1992="","",IF(COUNTIF($A$9:A1992,A1992)=1,MAX($M$8:M1991)+1,""))</f>
        <v/>
      </c>
    </row>
    <row r="1993" customFormat="false" ht="15" hidden="false" customHeight="false" outlineLevel="0" collapsed="false">
      <c r="A1993" s="8"/>
      <c r="B1993" s="17"/>
      <c r="C1993" s="19"/>
      <c r="D1993" s="8"/>
      <c r="E1993" s="18"/>
      <c r="F1993" s="18"/>
      <c r="G1993" s="8"/>
      <c r="H1993" s="8"/>
      <c r="I1993" s="8"/>
      <c r="J1993" s="8"/>
      <c r="K1993" s="10" t="str">
        <f aca="false">IF(A1993="","",IF(ABS(SUMIFS($E$9:$E$2008,$A$9:$A$2008,A1993)-SUMIFS($F$9:$F$2008,$A$9:$A$2008,A1993))&lt;0.5,"Yes","No"))</f>
        <v/>
      </c>
      <c r="L1993" s="10" t="str">
        <f aca="false">IF(A1993="","",IF(IF(K1993="No","Does not balance | ","")&amp;IF(I1993="","Not approved | ",IF(UPPER(TRIM(H1993))=UPPER(TRIM(I1993)),"Self-approved | ",""))&amp;IF(J1993="","No support | ","")&amp;IF(WEEKDAY(B1993,2)&gt;5,"Weekend posting | ","")&amp;IF(COUNTIF(Settings!$A$14:$A$43,B1993)&gt;0,"Holiday posting | ","")&amp;IF(B1993&gt;Settings!$C$8,"Posted after close | ","")&amp;IF(OR(B1993&lt;Settings!$C$6,B1993&gt;Settings!$C$7),"Outside period | ","")&amp;IF(COUNTIF(Settings!$E$14:$E$43,C1993&amp;"")&gt;0,"Sensitive account | ","")&amp;IF(AND(MAX(N(E1993),N(F1993))&gt;=Settings!$C$9,MOD(MAX(N(E1993),N(F1993)),Settings!$C$10)=0),"Round amount | ","")="","",LEFT(IF(K1993="No","Does not balance | ","")&amp;IF(I1993="","Not approved | ",IF(UPPER(TRIM(H1993))=UPPER(TRIM(I1993)),"Self-approved | ",""))&amp;IF(J1993="","No support | ","")&amp;IF(WEEKDAY(B1993,2)&gt;5,"Weekend posting | ","")&amp;IF(COUNTIF(Settings!$A$14:$A$43,B1993)&gt;0,"Holiday posting | ","")&amp;IF(B1993&gt;Settings!$C$8,"Posted after close | ","")&amp;IF(OR(B1993&lt;Settings!$C$6,B1993&gt;Settings!$C$7),"Outside period | ","")&amp;IF(COUNTIF(Settings!$E$14:$E$43,C1993&amp;"")&gt;0,"Sensitive account | ","")&amp;IF(AND(MAX(N(E1993),N(F1993))&gt;=Settings!$C$9,MOD(MAX(N(E1993),N(F1993)),Settings!$C$10)=0),"Round amount | ",""),LEN(IF(K1993="No","Does not balance | ","")&amp;IF(I1993="","Not approved | ",IF(UPPER(TRIM(H1993))=UPPER(TRIM(I1993)),"Self-approved | ",""))&amp;IF(J1993="","No support | ","")&amp;IF(WEEKDAY(B1993,2)&gt;5,"Weekend posting | ","")&amp;IF(COUNTIF(Settings!$A$14:$A$43,B1993)&gt;0,"Holiday posting | ","")&amp;IF(B1993&gt;Settings!$C$8,"Posted after close | ","")&amp;IF(OR(B1993&lt;Settings!$C$6,B1993&gt;Settings!$C$7),"Outside period | ","")&amp;IF(COUNTIF(Settings!$E$14:$E$43,C1993&amp;"")&gt;0,"Sensitive account | ","")&amp;IF(AND(MAX(N(E1993),N(F1993))&gt;=Settings!$C$9,MOD(MAX(N(E1993),N(F1993)),Settings!$C$10)=0),"Round amount | ",""))-3)))</f>
        <v/>
      </c>
      <c r="M1993" s="21" t="str">
        <f aca="false">IF(A1993="","",IF(COUNTIF($A$9:A1993,A1993)=1,MAX($M$8:M1992)+1,""))</f>
        <v/>
      </c>
    </row>
    <row r="1994" customFormat="false" ht="15" hidden="false" customHeight="false" outlineLevel="0" collapsed="false">
      <c r="A1994" s="8"/>
      <c r="B1994" s="17"/>
      <c r="C1994" s="19"/>
      <c r="D1994" s="8"/>
      <c r="E1994" s="18"/>
      <c r="F1994" s="18"/>
      <c r="G1994" s="8"/>
      <c r="H1994" s="8"/>
      <c r="I1994" s="8"/>
      <c r="J1994" s="8"/>
      <c r="K1994" s="10" t="str">
        <f aca="false">IF(A1994="","",IF(ABS(SUMIFS($E$9:$E$2008,$A$9:$A$2008,A1994)-SUMIFS($F$9:$F$2008,$A$9:$A$2008,A1994))&lt;0.5,"Yes","No"))</f>
        <v/>
      </c>
      <c r="L1994" s="10" t="str">
        <f aca="false">IF(A1994="","",IF(IF(K1994="No","Does not balance | ","")&amp;IF(I1994="","Not approved | ",IF(UPPER(TRIM(H1994))=UPPER(TRIM(I1994)),"Self-approved | ",""))&amp;IF(J1994="","No support | ","")&amp;IF(WEEKDAY(B1994,2)&gt;5,"Weekend posting | ","")&amp;IF(COUNTIF(Settings!$A$14:$A$43,B1994)&gt;0,"Holiday posting | ","")&amp;IF(B1994&gt;Settings!$C$8,"Posted after close | ","")&amp;IF(OR(B1994&lt;Settings!$C$6,B1994&gt;Settings!$C$7),"Outside period | ","")&amp;IF(COUNTIF(Settings!$E$14:$E$43,C1994&amp;"")&gt;0,"Sensitive account | ","")&amp;IF(AND(MAX(N(E1994),N(F1994))&gt;=Settings!$C$9,MOD(MAX(N(E1994),N(F1994)),Settings!$C$10)=0),"Round amount | ","")="","",LEFT(IF(K1994="No","Does not balance | ","")&amp;IF(I1994="","Not approved | ",IF(UPPER(TRIM(H1994))=UPPER(TRIM(I1994)),"Self-approved | ",""))&amp;IF(J1994="","No support | ","")&amp;IF(WEEKDAY(B1994,2)&gt;5,"Weekend posting | ","")&amp;IF(COUNTIF(Settings!$A$14:$A$43,B1994)&gt;0,"Holiday posting | ","")&amp;IF(B1994&gt;Settings!$C$8,"Posted after close | ","")&amp;IF(OR(B1994&lt;Settings!$C$6,B1994&gt;Settings!$C$7),"Outside period | ","")&amp;IF(COUNTIF(Settings!$E$14:$E$43,C1994&amp;"")&gt;0,"Sensitive account | ","")&amp;IF(AND(MAX(N(E1994),N(F1994))&gt;=Settings!$C$9,MOD(MAX(N(E1994),N(F1994)),Settings!$C$10)=0),"Round amount | ",""),LEN(IF(K1994="No","Does not balance | ","")&amp;IF(I1994="","Not approved | ",IF(UPPER(TRIM(H1994))=UPPER(TRIM(I1994)),"Self-approved | ",""))&amp;IF(J1994="","No support | ","")&amp;IF(WEEKDAY(B1994,2)&gt;5,"Weekend posting | ","")&amp;IF(COUNTIF(Settings!$A$14:$A$43,B1994)&gt;0,"Holiday posting | ","")&amp;IF(B1994&gt;Settings!$C$8,"Posted after close | ","")&amp;IF(OR(B1994&lt;Settings!$C$6,B1994&gt;Settings!$C$7),"Outside period | ","")&amp;IF(COUNTIF(Settings!$E$14:$E$43,C1994&amp;"")&gt;0,"Sensitive account | ","")&amp;IF(AND(MAX(N(E1994),N(F1994))&gt;=Settings!$C$9,MOD(MAX(N(E1994),N(F1994)),Settings!$C$10)=0),"Round amount | ",""))-3)))</f>
        <v/>
      </c>
      <c r="M1994" s="21" t="str">
        <f aca="false">IF(A1994="","",IF(COUNTIF($A$9:A1994,A1994)=1,MAX($M$8:M1993)+1,""))</f>
        <v/>
      </c>
    </row>
    <row r="1995" customFormat="false" ht="15" hidden="false" customHeight="false" outlineLevel="0" collapsed="false">
      <c r="A1995" s="8"/>
      <c r="B1995" s="17"/>
      <c r="C1995" s="19"/>
      <c r="D1995" s="8"/>
      <c r="E1995" s="18"/>
      <c r="F1995" s="18"/>
      <c r="G1995" s="8"/>
      <c r="H1995" s="8"/>
      <c r="I1995" s="8"/>
      <c r="J1995" s="8"/>
      <c r="K1995" s="10" t="str">
        <f aca="false">IF(A1995="","",IF(ABS(SUMIFS($E$9:$E$2008,$A$9:$A$2008,A1995)-SUMIFS($F$9:$F$2008,$A$9:$A$2008,A1995))&lt;0.5,"Yes","No"))</f>
        <v/>
      </c>
      <c r="L1995" s="10" t="str">
        <f aca="false">IF(A1995="","",IF(IF(K1995="No","Does not balance | ","")&amp;IF(I1995="","Not approved | ",IF(UPPER(TRIM(H1995))=UPPER(TRIM(I1995)),"Self-approved | ",""))&amp;IF(J1995="","No support | ","")&amp;IF(WEEKDAY(B1995,2)&gt;5,"Weekend posting | ","")&amp;IF(COUNTIF(Settings!$A$14:$A$43,B1995)&gt;0,"Holiday posting | ","")&amp;IF(B1995&gt;Settings!$C$8,"Posted after close | ","")&amp;IF(OR(B1995&lt;Settings!$C$6,B1995&gt;Settings!$C$7),"Outside period | ","")&amp;IF(COUNTIF(Settings!$E$14:$E$43,C1995&amp;"")&gt;0,"Sensitive account | ","")&amp;IF(AND(MAX(N(E1995),N(F1995))&gt;=Settings!$C$9,MOD(MAX(N(E1995),N(F1995)),Settings!$C$10)=0),"Round amount | ","")="","",LEFT(IF(K1995="No","Does not balance | ","")&amp;IF(I1995="","Not approved | ",IF(UPPER(TRIM(H1995))=UPPER(TRIM(I1995)),"Self-approved | ",""))&amp;IF(J1995="","No support | ","")&amp;IF(WEEKDAY(B1995,2)&gt;5,"Weekend posting | ","")&amp;IF(COUNTIF(Settings!$A$14:$A$43,B1995)&gt;0,"Holiday posting | ","")&amp;IF(B1995&gt;Settings!$C$8,"Posted after close | ","")&amp;IF(OR(B1995&lt;Settings!$C$6,B1995&gt;Settings!$C$7),"Outside period | ","")&amp;IF(COUNTIF(Settings!$E$14:$E$43,C1995&amp;"")&gt;0,"Sensitive account | ","")&amp;IF(AND(MAX(N(E1995),N(F1995))&gt;=Settings!$C$9,MOD(MAX(N(E1995),N(F1995)),Settings!$C$10)=0),"Round amount | ",""),LEN(IF(K1995="No","Does not balance | ","")&amp;IF(I1995="","Not approved | ",IF(UPPER(TRIM(H1995))=UPPER(TRIM(I1995)),"Self-approved | ",""))&amp;IF(J1995="","No support | ","")&amp;IF(WEEKDAY(B1995,2)&gt;5,"Weekend posting | ","")&amp;IF(COUNTIF(Settings!$A$14:$A$43,B1995)&gt;0,"Holiday posting | ","")&amp;IF(B1995&gt;Settings!$C$8,"Posted after close | ","")&amp;IF(OR(B1995&lt;Settings!$C$6,B1995&gt;Settings!$C$7),"Outside period | ","")&amp;IF(COUNTIF(Settings!$E$14:$E$43,C1995&amp;"")&gt;0,"Sensitive account | ","")&amp;IF(AND(MAX(N(E1995),N(F1995))&gt;=Settings!$C$9,MOD(MAX(N(E1995),N(F1995)),Settings!$C$10)=0),"Round amount | ",""))-3)))</f>
        <v/>
      </c>
      <c r="M1995" s="21" t="str">
        <f aca="false">IF(A1995="","",IF(COUNTIF($A$9:A1995,A1995)=1,MAX($M$8:M1994)+1,""))</f>
        <v/>
      </c>
    </row>
    <row r="1996" customFormat="false" ht="15" hidden="false" customHeight="false" outlineLevel="0" collapsed="false">
      <c r="A1996" s="8"/>
      <c r="B1996" s="17"/>
      <c r="C1996" s="19"/>
      <c r="D1996" s="8"/>
      <c r="E1996" s="18"/>
      <c r="F1996" s="18"/>
      <c r="G1996" s="8"/>
      <c r="H1996" s="8"/>
      <c r="I1996" s="8"/>
      <c r="J1996" s="8"/>
      <c r="K1996" s="10" t="str">
        <f aca="false">IF(A1996="","",IF(ABS(SUMIFS($E$9:$E$2008,$A$9:$A$2008,A1996)-SUMIFS($F$9:$F$2008,$A$9:$A$2008,A1996))&lt;0.5,"Yes","No"))</f>
        <v/>
      </c>
      <c r="L1996" s="10" t="str">
        <f aca="false">IF(A1996="","",IF(IF(K1996="No","Does not balance | ","")&amp;IF(I1996="","Not approved | ",IF(UPPER(TRIM(H1996))=UPPER(TRIM(I1996)),"Self-approved | ",""))&amp;IF(J1996="","No support | ","")&amp;IF(WEEKDAY(B1996,2)&gt;5,"Weekend posting | ","")&amp;IF(COUNTIF(Settings!$A$14:$A$43,B1996)&gt;0,"Holiday posting | ","")&amp;IF(B1996&gt;Settings!$C$8,"Posted after close | ","")&amp;IF(OR(B1996&lt;Settings!$C$6,B1996&gt;Settings!$C$7),"Outside period | ","")&amp;IF(COUNTIF(Settings!$E$14:$E$43,C1996&amp;"")&gt;0,"Sensitive account | ","")&amp;IF(AND(MAX(N(E1996),N(F1996))&gt;=Settings!$C$9,MOD(MAX(N(E1996),N(F1996)),Settings!$C$10)=0),"Round amount | ","")="","",LEFT(IF(K1996="No","Does not balance | ","")&amp;IF(I1996="","Not approved | ",IF(UPPER(TRIM(H1996))=UPPER(TRIM(I1996)),"Self-approved | ",""))&amp;IF(J1996="","No support | ","")&amp;IF(WEEKDAY(B1996,2)&gt;5,"Weekend posting | ","")&amp;IF(COUNTIF(Settings!$A$14:$A$43,B1996)&gt;0,"Holiday posting | ","")&amp;IF(B1996&gt;Settings!$C$8,"Posted after close | ","")&amp;IF(OR(B1996&lt;Settings!$C$6,B1996&gt;Settings!$C$7),"Outside period | ","")&amp;IF(COUNTIF(Settings!$E$14:$E$43,C1996&amp;"")&gt;0,"Sensitive account | ","")&amp;IF(AND(MAX(N(E1996),N(F1996))&gt;=Settings!$C$9,MOD(MAX(N(E1996),N(F1996)),Settings!$C$10)=0),"Round amount | ",""),LEN(IF(K1996="No","Does not balance | ","")&amp;IF(I1996="","Not approved | ",IF(UPPER(TRIM(H1996))=UPPER(TRIM(I1996)),"Self-approved | ",""))&amp;IF(J1996="","No support | ","")&amp;IF(WEEKDAY(B1996,2)&gt;5,"Weekend posting | ","")&amp;IF(COUNTIF(Settings!$A$14:$A$43,B1996)&gt;0,"Holiday posting | ","")&amp;IF(B1996&gt;Settings!$C$8,"Posted after close | ","")&amp;IF(OR(B1996&lt;Settings!$C$6,B1996&gt;Settings!$C$7),"Outside period | ","")&amp;IF(COUNTIF(Settings!$E$14:$E$43,C1996&amp;"")&gt;0,"Sensitive account | ","")&amp;IF(AND(MAX(N(E1996),N(F1996))&gt;=Settings!$C$9,MOD(MAX(N(E1996),N(F1996)),Settings!$C$10)=0),"Round amount | ",""))-3)))</f>
        <v/>
      </c>
      <c r="M1996" s="21" t="str">
        <f aca="false">IF(A1996="","",IF(COUNTIF($A$9:A1996,A1996)=1,MAX($M$8:M1995)+1,""))</f>
        <v/>
      </c>
    </row>
    <row r="1997" customFormat="false" ht="15" hidden="false" customHeight="false" outlineLevel="0" collapsed="false">
      <c r="A1997" s="8"/>
      <c r="B1997" s="17"/>
      <c r="C1997" s="19"/>
      <c r="D1997" s="8"/>
      <c r="E1997" s="18"/>
      <c r="F1997" s="18"/>
      <c r="G1997" s="8"/>
      <c r="H1997" s="8"/>
      <c r="I1997" s="8"/>
      <c r="J1997" s="8"/>
      <c r="K1997" s="10" t="str">
        <f aca="false">IF(A1997="","",IF(ABS(SUMIFS($E$9:$E$2008,$A$9:$A$2008,A1997)-SUMIFS($F$9:$F$2008,$A$9:$A$2008,A1997))&lt;0.5,"Yes","No"))</f>
        <v/>
      </c>
      <c r="L1997" s="10" t="str">
        <f aca="false">IF(A1997="","",IF(IF(K1997="No","Does not balance | ","")&amp;IF(I1997="","Not approved | ",IF(UPPER(TRIM(H1997))=UPPER(TRIM(I1997)),"Self-approved | ",""))&amp;IF(J1997="","No support | ","")&amp;IF(WEEKDAY(B1997,2)&gt;5,"Weekend posting | ","")&amp;IF(COUNTIF(Settings!$A$14:$A$43,B1997)&gt;0,"Holiday posting | ","")&amp;IF(B1997&gt;Settings!$C$8,"Posted after close | ","")&amp;IF(OR(B1997&lt;Settings!$C$6,B1997&gt;Settings!$C$7),"Outside period | ","")&amp;IF(COUNTIF(Settings!$E$14:$E$43,C1997&amp;"")&gt;0,"Sensitive account | ","")&amp;IF(AND(MAX(N(E1997),N(F1997))&gt;=Settings!$C$9,MOD(MAX(N(E1997),N(F1997)),Settings!$C$10)=0),"Round amount | ","")="","",LEFT(IF(K1997="No","Does not balance | ","")&amp;IF(I1997="","Not approved | ",IF(UPPER(TRIM(H1997))=UPPER(TRIM(I1997)),"Self-approved | ",""))&amp;IF(J1997="","No support | ","")&amp;IF(WEEKDAY(B1997,2)&gt;5,"Weekend posting | ","")&amp;IF(COUNTIF(Settings!$A$14:$A$43,B1997)&gt;0,"Holiday posting | ","")&amp;IF(B1997&gt;Settings!$C$8,"Posted after close | ","")&amp;IF(OR(B1997&lt;Settings!$C$6,B1997&gt;Settings!$C$7),"Outside period | ","")&amp;IF(COUNTIF(Settings!$E$14:$E$43,C1997&amp;"")&gt;0,"Sensitive account | ","")&amp;IF(AND(MAX(N(E1997),N(F1997))&gt;=Settings!$C$9,MOD(MAX(N(E1997),N(F1997)),Settings!$C$10)=0),"Round amount | ",""),LEN(IF(K1997="No","Does not balance | ","")&amp;IF(I1997="","Not approved | ",IF(UPPER(TRIM(H1997))=UPPER(TRIM(I1997)),"Self-approved | ",""))&amp;IF(J1997="","No support | ","")&amp;IF(WEEKDAY(B1997,2)&gt;5,"Weekend posting | ","")&amp;IF(COUNTIF(Settings!$A$14:$A$43,B1997)&gt;0,"Holiday posting | ","")&amp;IF(B1997&gt;Settings!$C$8,"Posted after close | ","")&amp;IF(OR(B1997&lt;Settings!$C$6,B1997&gt;Settings!$C$7),"Outside period | ","")&amp;IF(COUNTIF(Settings!$E$14:$E$43,C1997&amp;"")&gt;0,"Sensitive account | ","")&amp;IF(AND(MAX(N(E1997),N(F1997))&gt;=Settings!$C$9,MOD(MAX(N(E1997),N(F1997)),Settings!$C$10)=0),"Round amount | ",""))-3)))</f>
        <v/>
      </c>
      <c r="M1997" s="21" t="str">
        <f aca="false">IF(A1997="","",IF(COUNTIF($A$9:A1997,A1997)=1,MAX($M$8:M1996)+1,""))</f>
        <v/>
      </c>
    </row>
    <row r="1998" customFormat="false" ht="15" hidden="false" customHeight="false" outlineLevel="0" collapsed="false">
      <c r="A1998" s="8"/>
      <c r="B1998" s="17"/>
      <c r="C1998" s="19"/>
      <c r="D1998" s="8"/>
      <c r="E1998" s="18"/>
      <c r="F1998" s="18"/>
      <c r="G1998" s="8"/>
      <c r="H1998" s="8"/>
      <c r="I1998" s="8"/>
      <c r="J1998" s="8"/>
      <c r="K1998" s="10" t="str">
        <f aca="false">IF(A1998="","",IF(ABS(SUMIFS($E$9:$E$2008,$A$9:$A$2008,A1998)-SUMIFS($F$9:$F$2008,$A$9:$A$2008,A1998))&lt;0.5,"Yes","No"))</f>
        <v/>
      </c>
      <c r="L1998" s="10" t="str">
        <f aca="false">IF(A1998="","",IF(IF(K1998="No","Does not balance | ","")&amp;IF(I1998="","Not approved | ",IF(UPPER(TRIM(H1998))=UPPER(TRIM(I1998)),"Self-approved | ",""))&amp;IF(J1998="","No support | ","")&amp;IF(WEEKDAY(B1998,2)&gt;5,"Weekend posting | ","")&amp;IF(COUNTIF(Settings!$A$14:$A$43,B1998)&gt;0,"Holiday posting | ","")&amp;IF(B1998&gt;Settings!$C$8,"Posted after close | ","")&amp;IF(OR(B1998&lt;Settings!$C$6,B1998&gt;Settings!$C$7),"Outside period | ","")&amp;IF(COUNTIF(Settings!$E$14:$E$43,C1998&amp;"")&gt;0,"Sensitive account | ","")&amp;IF(AND(MAX(N(E1998),N(F1998))&gt;=Settings!$C$9,MOD(MAX(N(E1998),N(F1998)),Settings!$C$10)=0),"Round amount | ","")="","",LEFT(IF(K1998="No","Does not balance | ","")&amp;IF(I1998="","Not approved | ",IF(UPPER(TRIM(H1998))=UPPER(TRIM(I1998)),"Self-approved | ",""))&amp;IF(J1998="","No support | ","")&amp;IF(WEEKDAY(B1998,2)&gt;5,"Weekend posting | ","")&amp;IF(COUNTIF(Settings!$A$14:$A$43,B1998)&gt;0,"Holiday posting | ","")&amp;IF(B1998&gt;Settings!$C$8,"Posted after close | ","")&amp;IF(OR(B1998&lt;Settings!$C$6,B1998&gt;Settings!$C$7),"Outside period | ","")&amp;IF(COUNTIF(Settings!$E$14:$E$43,C1998&amp;"")&gt;0,"Sensitive account | ","")&amp;IF(AND(MAX(N(E1998),N(F1998))&gt;=Settings!$C$9,MOD(MAX(N(E1998),N(F1998)),Settings!$C$10)=0),"Round amount | ",""),LEN(IF(K1998="No","Does not balance | ","")&amp;IF(I1998="","Not approved | ",IF(UPPER(TRIM(H1998))=UPPER(TRIM(I1998)),"Self-approved | ",""))&amp;IF(J1998="","No support | ","")&amp;IF(WEEKDAY(B1998,2)&gt;5,"Weekend posting | ","")&amp;IF(COUNTIF(Settings!$A$14:$A$43,B1998)&gt;0,"Holiday posting | ","")&amp;IF(B1998&gt;Settings!$C$8,"Posted after close | ","")&amp;IF(OR(B1998&lt;Settings!$C$6,B1998&gt;Settings!$C$7),"Outside period | ","")&amp;IF(COUNTIF(Settings!$E$14:$E$43,C1998&amp;"")&gt;0,"Sensitive account | ","")&amp;IF(AND(MAX(N(E1998),N(F1998))&gt;=Settings!$C$9,MOD(MAX(N(E1998),N(F1998)),Settings!$C$10)=0),"Round amount | ",""))-3)))</f>
        <v/>
      </c>
      <c r="M1998" s="21" t="str">
        <f aca="false">IF(A1998="","",IF(COUNTIF($A$9:A1998,A1998)=1,MAX($M$8:M1997)+1,""))</f>
        <v/>
      </c>
    </row>
    <row r="1999" customFormat="false" ht="15" hidden="false" customHeight="false" outlineLevel="0" collapsed="false">
      <c r="A1999" s="8"/>
      <c r="B1999" s="17"/>
      <c r="C1999" s="19"/>
      <c r="D1999" s="8"/>
      <c r="E1999" s="18"/>
      <c r="F1999" s="18"/>
      <c r="G1999" s="8"/>
      <c r="H1999" s="8"/>
      <c r="I1999" s="8"/>
      <c r="J1999" s="8"/>
      <c r="K1999" s="10" t="str">
        <f aca="false">IF(A1999="","",IF(ABS(SUMIFS($E$9:$E$2008,$A$9:$A$2008,A1999)-SUMIFS($F$9:$F$2008,$A$9:$A$2008,A1999))&lt;0.5,"Yes","No"))</f>
        <v/>
      </c>
      <c r="L1999" s="10" t="str">
        <f aca="false">IF(A1999="","",IF(IF(K1999="No","Does not balance | ","")&amp;IF(I1999="","Not approved | ",IF(UPPER(TRIM(H1999))=UPPER(TRIM(I1999)),"Self-approved | ",""))&amp;IF(J1999="","No support | ","")&amp;IF(WEEKDAY(B1999,2)&gt;5,"Weekend posting | ","")&amp;IF(COUNTIF(Settings!$A$14:$A$43,B1999)&gt;0,"Holiday posting | ","")&amp;IF(B1999&gt;Settings!$C$8,"Posted after close | ","")&amp;IF(OR(B1999&lt;Settings!$C$6,B1999&gt;Settings!$C$7),"Outside period | ","")&amp;IF(COUNTIF(Settings!$E$14:$E$43,C1999&amp;"")&gt;0,"Sensitive account | ","")&amp;IF(AND(MAX(N(E1999),N(F1999))&gt;=Settings!$C$9,MOD(MAX(N(E1999),N(F1999)),Settings!$C$10)=0),"Round amount | ","")="","",LEFT(IF(K1999="No","Does not balance | ","")&amp;IF(I1999="","Not approved | ",IF(UPPER(TRIM(H1999))=UPPER(TRIM(I1999)),"Self-approved | ",""))&amp;IF(J1999="","No support | ","")&amp;IF(WEEKDAY(B1999,2)&gt;5,"Weekend posting | ","")&amp;IF(COUNTIF(Settings!$A$14:$A$43,B1999)&gt;0,"Holiday posting | ","")&amp;IF(B1999&gt;Settings!$C$8,"Posted after close | ","")&amp;IF(OR(B1999&lt;Settings!$C$6,B1999&gt;Settings!$C$7),"Outside period | ","")&amp;IF(COUNTIF(Settings!$E$14:$E$43,C1999&amp;"")&gt;0,"Sensitive account | ","")&amp;IF(AND(MAX(N(E1999),N(F1999))&gt;=Settings!$C$9,MOD(MAX(N(E1999),N(F1999)),Settings!$C$10)=0),"Round amount | ",""),LEN(IF(K1999="No","Does not balance | ","")&amp;IF(I1999="","Not approved | ",IF(UPPER(TRIM(H1999))=UPPER(TRIM(I1999)),"Self-approved | ",""))&amp;IF(J1999="","No support | ","")&amp;IF(WEEKDAY(B1999,2)&gt;5,"Weekend posting | ","")&amp;IF(COUNTIF(Settings!$A$14:$A$43,B1999)&gt;0,"Holiday posting | ","")&amp;IF(B1999&gt;Settings!$C$8,"Posted after close | ","")&amp;IF(OR(B1999&lt;Settings!$C$6,B1999&gt;Settings!$C$7),"Outside period | ","")&amp;IF(COUNTIF(Settings!$E$14:$E$43,C1999&amp;"")&gt;0,"Sensitive account | ","")&amp;IF(AND(MAX(N(E1999),N(F1999))&gt;=Settings!$C$9,MOD(MAX(N(E1999),N(F1999)),Settings!$C$10)=0),"Round amount | ",""))-3)))</f>
        <v/>
      </c>
      <c r="M1999" s="21" t="str">
        <f aca="false">IF(A1999="","",IF(COUNTIF($A$9:A1999,A1999)=1,MAX($M$8:M1998)+1,""))</f>
        <v/>
      </c>
    </row>
    <row r="2000" customFormat="false" ht="15" hidden="false" customHeight="false" outlineLevel="0" collapsed="false">
      <c r="A2000" s="8"/>
      <c r="B2000" s="17"/>
      <c r="C2000" s="19"/>
      <c r="D2000" s="8"/>
      <c r="E2000" s="18"/>
      <c r="F2000" s="18"/>
      <c r="G2000" s="8"/>
      <c r="H2000" s="8"/>
      <c r="I2000" s="8"/>
      <c r="J2000" s="8"/>
      <c r="K2000" s="10" t="str">
        <f aca="false">IF(A2000="","",IF(ABS(SUMIFS($E$9:$E$2008,$A$9:$A$2008,A2000)-SUMIFS($F$9:$F$2008,$A$9:$A$2008,A2000))&lt;0.5,"Yes","No"))</f>
        <v/>
      </c>
      <c r="L2000" s="10" t="str">
        <f aca="false">IF(A2000="","",IF(IF(K2000="No","Does not balance | ","")&amp;IF(I2000="","Not approved | ",IF(UPPER(TRIM(H2000))=UPPER(TRIM(I2000)),"Self-approved | ",""))&amp;IF(J2000="","No support | ","")&amp;IF(WEEKDAY(B2000,2)&gt;5,"Weekend posting | ","")&amp;IF(COUNTIF(Settings!$A$14:$A$43,B2000)&gt;0,"Holiday posting | ","")&amp;IF(B2000&gt;Settings!$C$8,"Posted after close | ","")&amp;IF(OR(B2000&lt;Settings!$C$6,B2000&gt;Settings!$C$7),"Outside period | ","")&amp;IF(COUNTIF(Settings!$E$14:$E$43,C2000&amp;"")&gt;0,"Sensitive account | ","")&amp;IF(AND(MAX(N(E2000),N(F2000))&gt;=Settings!$C$9,MOD(MAX(N(E2000),N(F2000)),Settings!$C$10)=0),"Round amount | ","")="","",LEFT(IF(K2000="No","Does not balance | ","")&amp;IF(I2000="","Not approved | ",IF(UPPER(TRIM(H2000))=UPPER(TRIM(I2000)),"Self-approved | ",""))&amp;IF(J2000="","No support | ","")&amp;IF(WEEKDAY(B2000,2)&gt;5,"Weekend posting | ","")&amp;IF(COUNTIF(Settings!$A$14:$A$43,B2000)&gt;0,"Holiday posting | ","")&amp;IF(B2000&gt;Settings!$C$8,"Posted after close | ","")&amp;IF(OR(B2000&lt;Settings!$C$6,B2000&gt;Settings!$C$7),"Outside period | ","")&amp;IF(COUNTIF(Settings!$E$14:$E$43,C2000&amp;"")&gt;0,"Sensitive account | ","")&amp;IF(AND(MAX(N(E2000),N(F2000))&gt;=Settings!$C$9,MOD(MAX(N(E2000),N(F2000)),Settings!$C$10)=0),"Round amount | ",""),LEN(IF(K2000="No","Does not balance | ","")&amp;IF(I2000="","Not approved | ",IF(UPPER(TRIM(H2000))=UPPER(TRIM(I2000)),"Self-approved | ",""))&amp;IF(J2000="","No support | ","")&amp;IF(WEEKDAY(B2000,2)&gt;5,"Weekend posting | ","")&amp;IF(COUNTIF(Settings!$A$14:$A$43,B2000)&gt;0,"Holiday posting | ","")&amp;IF(B2000&gt;Settings!$C$8,"Posted after close | ","")&amp;IF(OR(B2000&lt;Settings!$C$6,B2000&gt;Settings!$C$7),"Outside period | ","")&amp;IF(COUNTIF(Settings!$E$14:$E$43,C2000&amp;"")&gt;0,"Sensitive account | ","")&amp;IF(AND(MAX(N(E2000),N(F2000))&gt;=Settings!$C$9,MOD(MAX(N(E2000),N(F2000)),Settings!$C$10)=0),"Round amount | ",""))-3)))</f>
        <v/>
      </c>
      <c r="M2000" s="21" t="str">
        <f aca="false">IF(A2000="","",IF(COUNTIF($A$9:A2000,A2000)=1,MAX($M$8:M1999)+1,""))</f>
        <v/>
      </c>
    </row>
    <row r="2001" customFormat="false" ht="15" hidden="false" customHeight="false" outlineLevel="0" collapsed="false">
      <c r="A2001" s="8"/>
      <c r="B2001" s="17"/>
      <c r="C2001" s="19"/>
      <c r="D2001" s="8"/>
      <c r="E2001" s="18"/>
      <c r="F2001" s="18"/>
      <c r="G2001" s="8"/>
      <c r="H2001" s="8"/>
      <c r="I2001" s="8"/>
      <c r="J2001" s="8"/>
      <c r="K2001" s="10" t="str">
        <f aca="false">IF(A2001="","",IF(ABS(SUMIFS($E$9:$E$2008,$A$9:$A$2008,A2001)-SUMIFS($F$9:$F$2008,$A$9:$A$2008,A2001))&lt;0.5,"Yes","No"))</f>
        <v/>
      </c>
      <c r="L2001" s="10" t="str">
        <f aca="false">IF(A2001="","",IF(IF(K2001="No","Does not balance | ","")&amp;IF(I2001="","Not approved | ",IF(UPPER(TRIM(H2001))=UPPER(TRIM(I2001)),"Self-approved | ",""))&amp;IF(J2001="","No support | ","")&amp;IF(WEEKDAY(B2001,2)&gt;5,"Weekend posting | ","")&amp;IF(COUNTIF(Settings!$A$14:$A$43,B2001)&gt;0,"Holiday posting | ","")&amp;IF(B2001&gt;Settings!$C$8,"Posted after close | ","")&amp;IF(OR(B2001&lt;Settings!$C$6,B2001&gt;Settings!$C$7),"Outside period | ","")&amp;IF(COUNTIF(Settings!$E$14:$E$43,C2001&amp;"")&gt;0,"Sensitive account | ","")&amp;IF(AND(MAX(N(E2001),N(F2001))&gt;=Settings!$C$9,MOD(MAX(N(E2001),N(F2001)),Settings!$C$10)=0),"Round amount | ","")="","",LEFT(IF(K2001="No","Does not balance | ","")&amp;IF(I2001="","Not approved | ",IF(UPPER(TRIM(H2001))=UPPER(TRIM(I2001)),"Self-approved | ",""))&amp;IF(J2001="","No support | ","")&amp;IF(WEEKDAY(B2001,2)&gt;5,"Weekend posting | ","")&amp;IF(COUNTIF(Settings!$A$14:$A$43,B2001)&gt;0,"Holiday posting | ","")&amp;IF(B2001&gt;Settings!$C$8,"Posted after close | ","")&amp;IF(OR(B2001&lt;Settings!$C$6,B2001&gt;Settings!$C$7),"Outside period | ","")&amp;IF(COUNTIF(Settings!$E$14:$E$43,C2001&amp;"")&gt;0,"Sensitive account | ","")&amp;IF(AND(MAX(N(E2001),N(F2001))&gt;=Settings!$C$9,MOD(MAX(N(E2001),N(F2001)),Settings!$C$10)=0),"Round amount | ",""),LEN(IF(K2001="No","Does not balance | ","")&amp;IF(I2001="","Not approved | ",IF(UPPER(TRIM(H2001))=UPPER(TRIM(I2001)),"Self-approved | ",""))&amp;IF(J2001="","No support | ","")&amp;IF(WEEKDAY(B2001,2)&gt;5,"Weekend posting | ","")&amp;IF(COUNTIF(Settings!$A$14:$A$43,B2001)&gt;0,"Holiday posting | ","")&amp;IF(B2001&gt;Settings!$C$8,"Posted after close | ","")&amp;IF(OR(B2001&lt;Settings!$C$6,B2001&gt;Settings!$C$7),"Outside period | ","")&amp;IF(COUNTIF(Settings!$E$14:$E$43,C2001&amp;"")&gt;0,"Sensitive account | ","")&amp;IF(AND(MAX(N(E2001),N(F2001))&gt;=Settings!$C$9,MOD(MAX(N(E2001),N(F2001)),Settings!$C$10)=0),"Round amount | ",""))-3)))</f>
        <v/>
      </c>
      <c r="M2001" s="21" t="str">
        <f aca="false">IF(A2001="","",IF(COUNTIF($A$9:A2001,A2001)=1,MAX($M$8:M2000)+1,""))</f>
        <v/>
      </c>
    </row>
    <row r="2002" customFormat="false" ht="15" hidden="false" customHeight="false" outlineLevel="0" collapsed="false">
      <c r="A2002" s="8"/>
      <c r="B2002" s="17"/>
      <c r="C2002" s="19"/>
      <c r="D2002" s="8"/>
      <c r="E2002" s="18"/>
      <c r="F2002" s="18"/>
      <c r="G2002" s="8"/>
      <c r="H2002" s="8"/>
      <c r="I2002" s="8"/>
      <c r="J2002" s="8"/>
      <c r="K2002" s="10" t="str">
        <f aca="false">IF(A2002="","",IF(ABS(SUMIFS($E$9:$E$2008,$A$9:$A$2008,A2002)-SUMIFS($F$9:$F$2008,$A$9:$A$2008,A2002))&lt;0.5,"Yes","No"))</f>
        <v/>
      </c>
      <c r="L2002" s="10" t="str">
        <f aca="false">IF(A2002="","",IF(IF(K2002="No","Does not balance | ","")&amp;IF(I2002="","Not approved | ",IF(UPPER(TRIM(H2002))=UPPER(TRIM(I2002)),"Self-approved | ",""))&amp;IF(J2002="","No support | ","")&amp;IF(WEEKDAY(B2002,2)&gt;5,"Weekend posting | ","")&amp;IF(COUNTIF(Settings!$A$14:$A$43,B2002)&gt;0,"Holiday posting | ","")&amp;IF(B2002&gt;Settings!$C$8,"Posted after close | ","")&amp;IF(OR(B2002&lt;Settings!$C$6,B2002&gt;Settings!$C$7),"Outside period | ","")&amp;IF(COUNTIF(Settings!$E$14:$E$43,C2002&amp;"")&gt;0,"Sensitive account | ","")&amp;IF(AND(MAX(N(E2002),N(F2002))&gt;=Settings!$C$9,MOD(MAX(N(E2002),N(F2002)),Settings!$C$10)=0),"Round amount | ","")="","",LEFT(IF(K2002="No","Does not balance | ","")&amp;IF(I2002="","Not approved | ",IF(UPPER(TRIM(H2002))=UPPER(TRIM(I2002)),"Self-approved | ",""))&amp;IF(J2002="","No support | ","")&amp;IF(WEEKDAY(B2002,2)&gt;5,"Weekend posting | ","")&amp;IF(COUNTIF(Settings!$A$14:$A$43,B2002)&gt;0,"Holiday posting | ","")&amp;IF(B2002&gt;Settings!$C$8,"Posted after close | ","")&amp;IF(OR(B2002&lt;Settings!$C$6,B2002&gt;Settings!$C$7),"Outside period | ","")&amp;IF(COUNTIF(Settings!$E$14:$E$43,C2002&amp;"")&gt;0,"Sensitive account | ","")&amp;IF(AND(MAX(N(E2002),N(F2002))&gt;=Settings!$C$9,MOD(MAX(N(E2002),N(F2002)),Settings!$C$10)=0),"Round amount | ",""),LEN(IF(K2002="No","Does not balance | ","")&amp;IF(I2002="","Not approved | ",IF(UPPER(TRIM(H2002))=UPPER(TRIM(I2002)),"Self-approved | ",""))&amp;IF(J2002="","No support | ","")&amp;IF(WEEKDAY(B2002,2)&gt;5,"Weekend posting | ","")&amp;IF(COUNTIF(Settings!$A$14:$A$43,B2002)&gt;0,"Holiday posting | ","")&amp;IF(B2002&gt;Settings!$C$8,"Posted after close | ","")&amp;IF(OR(B2002&lt;Settings!$C$6,B2002&gt;Settings!$C$7),"Outside period | ","")&amp;IF(COUNTIF(Settings!$E$14:$E$43,C2002&amp;"")&gt;0,"Sensitive account | ","")&amp;IF(AND(MAX(N(E2002),N(F2002))&gt;=Settings!$C$9,MOD(MAX(N(E2002),N(F2002)),Settings!$C$10)=0),"Round amount | ",""))-3)))</f>
        <v/>
      </c>
      <c r="M2002" s="21" t="str">
        <f aca="false">IF(A2002="","",IF(COUNTIF($A$9:A2002,A2002)=1,MAX($M$8:M2001)+1,""))</f>
        <v/>
      </c>
    </row>
    <row r="2003" customFormat="false" ht="15" hidden="false" customHeight="false" outlineLevel="0" collapsed="false">
      <c r="A2003" s="8"/>
      <c r="B2003" s="17"/>
      <c r="C2003" s="19"/>
      <c r="D2003" s="8"/>
      <c r="E2003" s="18"/>
      <c r="F2003" s="18"/>
      <c r="G2003" s="8"/>
      <c r="H2003" s="8"/>
      <c r="I2003" s="8"/>
      <c r="J2003" s="8"/>
      <c r="K2003" s="10" t="str">
        <f aca="false">IF(A2003="","",IF(ABS(SUMIFS($E$9:$E$2008,$A$9:$A$2008,A2003)-SUMIFS($F$9:$F$2008,$A$9:$A$2008,A2003))&lt;0.5,"Yes","No"))</f>
        <v/>
      </c>
      <c r="L2003" s="10" t="str">
        <f aca="false">IF(A2003="","",IF(IF(K2003="No","Does not balance | ","")&amp;IF(I2003="","Not approved | ",IF(UPPER(TRIM(H2003))=UPPER(TRIM(I2003)),"Self-approved | ",""))&amp;IF(J2003="","No support | ","")&amp;IF(WEEKDAY(B2003,2)&gt;5,"Weekend posting | ","")&amp;IF(COUNTIF(Settings!$A$14:$A$43,B2003)&gt;0,"Holiday posting | ","")&amp;IF(B2003&gt;Settings!$C$8,"Posted after close | ","")&amp;IF(OR(B2003&lt;Settings!$C$6,B2003&gt;Settings!$C$7),"Outside period | ","")&amp;IF(COUNTIF(Settings!$E$14:$E$43,C2003&amp;"")&gt;0,"Sensitive account | ","")&amp;IF(AND(MAX(N(E2003),N(F2003))&gt;=Settings!$C$9,MOD(MAX(N(E2003),N(F2003)),Settings!$C$10)=0),"Round amount | ","")="","",LEFT(IF(K2003="No","Does not balance | ","")&amp;IF(I2003="","Not approved | ",IF(UPPER(TRIM(H2003))=UPPER(TRIM(I2003)),"Self-approved | ",""))&amp;IF(J2003="","No support | ","")&amp;IF(WEEKDAY(B2003,2)&gt;5,"Weekend posting | ","")&amp;IF(COUNTIF(Settings!$A$14:$A$43,B2003)&gt;0,"Holiday posting | ","")&amp;IF(B2003&gt;Settings!$C$8,"Posted after close | ","")&amp;IF(OR(B2003&lt;Settings!$C$6,B2003&gt;Settings!$C$7),"Outside period | ","")&amp;IF(COUNTIF(Settings!$E$14:$E$43,C2003&amp;"")&gt;0,"Sensitive account | ","")&amp;IF(AND(MAX(N(E2003),N(F2003))&gt;=Settings!$C$9,MOD(MAX(N(E2003),N(F2003)),Settings!$C$10)=0),"Round amount | ",""),LEN(IF(K2003="No","Does not balance | ","")&amp;IF(I2003="","Not approved | ",IF(UPPER(TRIM(H2003))=UPPER(TRIM(I2003)),"Self-approved | ",""))&amp;IF(J2003="","No support | ","")&amp;IF(WEEKDAY(B2003,2)&gt;5,"Weekend posting | ","")&amp;IF(COUNTIF(Settings!$A$14:$A$43,B2003)&gt;0,"Holiday posting | ","")&amp;IF(B2003&gt;Settings!$C$8,"Posted after close | ","")&amp;IF(OR(B2003&lt;Settings!$C$6,B2003&gt;Settings!$C$7),"Outside period | ","")&amp;IF(COUNTIF(Settings!$E$14:$E$43,C2003&amp;"")&gt;0,"Sensitive account | ","")&amp;IF(AND(MAX(N(E2003),N(F2003))&gt;=Settings!$C$9,MOD(MAX(N(E2003),N(F2003)),Settings!$C$10)=0),"Round amount | ",""))-3)))</f>
        <v/>
      </c>
      <c r="M2003" s="21" t="str">
        <f aca="false">IF(A2003="","",IF(COUNTIF($A$9:A2003,A2003)=1,MAX($M$8:M2002)+1,""))</f>
        <v/>
      </c>
    </row>
    <row r="2004" customFormat="false" ht="15" hidden="false" customHeight="false" outlineLevel="0" collapsed="false">
      <c r="A2004" s="8"/>
      <c r="B2004" s="17"/>
      <c r="C2004" s="19"/>
      <c r="D2004" s="8"/>
      <c r="E2004" s="18"/>
      <c r="F2004" s="18"/>
      <c r="G2004" s="8"/>
      <c r="H2004" s="8"/>
      <c r="I2004" s="8"/>
      <c r="J2004" s="8"/>
      <c r="K2004" s="10" t="str">
        <f aca="false">IF(A2004="","",IF(ABS(SUMIFS($E$9:$E$2008,$A$9:$A$2008,A2004)-SUMIFS($F$9:$F$2008,$A$9:$A$2008,A2004))&lt;0.5,"Yes","No"))</f>
        <v/>
      </c>
      <c r="L2004" s="10" t="str">
        <f aca="false">IF(A2004="","",IF(IF(K2004="No","Does not balance | ","")&amp;IF(I2004="","Not approved | ",IF(UPPER(TRIM(H2004))=UPPER(TRIM(I2004)),"Self-approved | ",""))&amp;IF(J2004="","No support | ","")&amp;IF(WEEKDAY(B2004,2)&gt;5,"Weekend posting | ","")&amp;IF(COUNTIF(Settings!$A$14:$A$43,B2004)&gt;0,"Holiday posting | ","")&amp;IF(B2004&gt;Settings!$C$8,"Posted after close | ","")&amp;IF(OR(B2004&lt;Settings!$C$6,B2004&gt;Settings!$C$7),"Outside period | ","")&amp;IF(COUNTIF(Settings!$E$14:$E$43,C2004&amp;"")&gt;0,"Sensitive account | ","")&amp;IF(AND(MAX(N(E2004),N(F2004))&gt;=Settings!$C$9,MOD(MAX(N(E2004),N(F2004)),Settings!$C$10)=0),"Round amount | ","")="","",LEFT(IF(K2004="No","Does not balance | ","")&amp;IF(I2004="","Not approved | ",IF(UPPER(TRIM(H2004))=UPPER(TRIM(I2004)),"Self-approved | ",""))&amp;IF(J2004="","No support | ","")&amp;IF(WEEKDAY(B2004,2)&gt;5,"Weekend posting | ","")&amp;IF(COUNTIF(Settings!$A$14:$A$43,B2004)&gt;0,"Holiday posting | ","")&amp;IF(B2004&gt;Settings!$C$8,"Posted after close | ","")&amp;IF(OR(B2004&lt;Settings!$C$6,B2004&gt;Settings!$C$7),"Outside period | ","")&amp;IF(COUNTIF(Settings!$E$14:$E$43,C2004&amp;"")&gt;0,"Sensitive account | ","")&amp;IF(AND(MAX(N(E2004),N(F2004))&gt;=Settings!$C$9,MOD(MAX(N(E2004),N(F2004)),Settings!$C$10)=0),"Round amount | ",""),LEN(IF(K2004="No","Does not balance | ","")&amp;IF(I2004="","Not approved | ",IF(UPPER(TRIM(H2004))=UPPER(TRIM(I2004)),"Self-approved | ",""))&amp;IF(J2004="","No support | ","")&amp;IF(WEEKDAY(B2004,2)&gt;5,"Weekend posting | ","")&amp;IF(COUNTIF(Settings!$A$14:$A$43,B2004)&gt;0,"Holiday posting | ","")&amp;IF(B2004&gt;Settings!$C$8,"Posted after close | ","")&amp;IF(OR(B2004&lt;Settings!$C$6,B2004&gt;Settings!$C$7),"Outside period | ","")&amp;IF(COUNTIF(Settings!$E$14:$E$43,C2004&amp;"")&gt;0,"Sensitive account | ","")&amp;IF(AND(MAX(N(E2004),N(F2004))&gt;=Settings!$C$9,MOD(MAX(N(E2004),N(F2004)),Settings!$C$10)=0),"Round amount | ",""))-3)))</f>
        <v/>
      </c>
      <c r="M2004" s="21" t="str">
        <f aca="false">IF(A2004="","",IF(COUNTIF($A$9:A2004,A2004)=1,MAX($M$8:M2003)+1,""))</f>
        <v/>
      </c>
    </row>
    <row r="2005" customFormat="false" ht="15" hidden="false" customHeight="false" outlineLevel="0" collapsed="false">
      <c r="A2005" s="8"/>
      <c r="B2005" s="17"/>
      <c r="C2005" s="19"/>
      <c r="D2005" s="8"/>
      <c r="E2005" s="18"/>
      <c r="F2005" s="18"/>
      <c r="G2005" s="8"/>
      <c r="H2005" s="8"/>
      <c r="I2005" s="8"/>
      <c r="J2005" s="8"/>
      <c r="K2005" s="10" t="str">
        <f aca="false">IF(A2005="","",IF(ABS(SUMIFS($E$9:$E$2008,$A$9:$A$2008,A2005)-SUMIFS($F$9:$F$2008,$A$9:$A$2008,A2005))&lt;0.5,"Yes","No"))</f>
        <v/>
      </c>
      <c r="L2005" s="10" t="str">
        <f aca="false">IF(A2005="","",IF(IF(K2005="No","Does not balance | ","")&amp;IF(I2005="","Not approved | ",IF(UPPER(TRIM(H2005))=UPPER(TRIM(I2005)),"Self-approved | ",""))&amp;IF(J2005="","No support | ","")&amp;IF(WEEKDAY(B2005,2)&gt;5,"Weekend posting | ","")&amp;IF(COUNTIF(Settings!$A$14:$A$43,B2005)&gt;0,"Holiday posting | ","")&amp;IF(B2005&gt;Settings!$C$8,"Posted after close | ","")&amp;IF(OR(B2005&lt;Settings!$C$6,B2005&gt;Settings!$C$7),"Outside period | ","")&amp;IF(COUNTIF(Settings!$E$14:$E$43,C2005&amp;"")&gt;0,"Sensitive account | ","")&amp;IF(AND(MAX(N(E2005),N(F2005))&gt;=Settings!$C$9,MOD(MAX(N(E2005),N(F2005)),Settings!$C$10)=0),"Round amount | ","")="","",LEFT(IF(K2005="No","Does not balance | ","")&amp;IF(I2005="","Not approved | ",IF(UPPER(TRIM(H2005))=UPPER(TRIM(I2005)),"Self-approved | ",""))&amp;IF(J2005="","No support | ","")&amp;IF(WEEKDAY(B2005,2)&gt;5,"Weekend posting | ","")&amp;IF(COUNTIF(Settings!$A$14:$A$43,B2005)&gt;0,"Holiday posting | ","")&amp;IF(B2005&gt;Settings!$C$8,"Posted after close | ","")&amp;IF(OR(B2005&lt;Settings!$C$6,B2005&gt;Settings!$C$7),"Outside period | ","")&amp;IF(COUNTIF(Settings!$E$14:$E$43,C2005&amp;"")&gt;0,"Sensitive account | ","")&amp;IF(AND(MAX(N(E2005),N(F2005))&gt;=Settings!$C$9,MOD(MAX(N(E2005),N(F2005)),Settings!$C$10)=0),"Round amount | ",""),LEN(IF(K2005="No","Does not balance | ","")&amp;IF(I2005="","Not approved | ",IF(UPPER(TRIM(H2005))=UPPER(TRIM(I2005)),"Self-approved | ",""))&amp;IF(J2005="","No support | ","")&amp;IF(WEEKDAY(B2005,2)&gt;5,"Weekend posting | ","")&amp;IF(COUNTIF(Settings!$A$14:$A$43,B2005)&gt;0,"Holiday posting | ","")&amp;IF(B2005&gt;Settings!$C$8,"Posted after close | ","")&amp;IF(OR(B2005&lt;Settings!$C$6,B2005&gt;Settings!$C$7),"Outside period | ","")&amp;IF(COUNTIF(Settings!$E$14:$E$43,C2005&amp;"")&gt;0,"Sensitive account | ","")&amp;IF(AND(MAX(N(E2005),N(F2005))&gt;=Settings!$C$9,MOD(MAX(N(E2005),N(F2005)),Settings!$C$10)=0),"Round amount | ",""))-3)))</f>
        <v/>
      </c>
      <c r="M2005" s="21" t="str">
        <f aca="false">IF(A2005="","",IF(COUNTIF($A$9:A2005,A2005)=1,MAX($M$8:M2004)+1,""))</f>
        <v/>
      </c>
    </row>
    <row r="2006" customFormat="false" ht="15" hidden="false" customHeight="false" outlineLevel="0" collapsed="false">
      <c r="A2006" s="8"/>
      <c r="B2006" s="17"/>
      <c r="C2006" s="19"/>
      <c r="D2006" s="8"/>
      <c r="E2006" s="18"/>
      <c r="F2006" s="18"/>
      <c r="G2006" s="8"/>
      <c r="H2006" s="8"/>
      <c r="I2006" s="8"/>
      <c r="J2006" s="8"/>
      <c r="K2006" s="10" t="str">
        <f aca="false">IF(A2006="","",IF(ABS(SUMIFS($E$9:$E$2008,$A$9:$A$2008,A2006)-SUMIFS($F$9:$F$2008,$A$9:$A$2008,A2006))&lt;0.5,"Yes","No"))</f>
        <v/>
      </c>
      <c r="L2006" s="10" t="str">
        <f aca="false">IF(A2006="","",IF(IF(K2006="No","Does not balance | ","")&amp;IF(I2006="","Not approved | ",IF(UPPER(TRIM(H2006))=UPPER(TRIM(I2006)),"Self-approved | ",""))&amp;IF(J2006="","No support | ","")&amp;IF(WEEKDAY(B2006,2)&gt;5,"Weekend posting | ","")&amp;IF(COUNTIF(Settings!$A$14:$A$43,B2006)&gt;0,"Holiday posting | ","")&amp;IF(B2006&gt;Settings!$C$8,"Posted after close | ","")&amp;IF(OR(B2006&lt;Settings!$C$6,B2006&gt;Settings!$C$7),"Outside period | ","")&amp;IF(COUNTIF(Settings!$E$14:$E$43,C2006&amp;"")&gt;0,"Sensitive account | ","")&amp;IF(AND(MAX(N(E2006),N(F2006))&gt;=Settings!$C$9,MOD(MAX(N(E2006),N(F2006)),Settings!$C$10)=0),"Round amount | ","")="","",LEFT(IF(K2006="No","Does not balance | ","")&amp;IF(I2006="","Not approved | ",IF(UPPER(TRIM(H2006))=UPPER(TRIM(I2006)),"Self-approved | ",""))&amp;IF(J2006="","No support | ","")&amp;IF(WEEKDAY(B2006,2)&gt;5,"Weekend posting | ","")&amp;IF(COUNTIF(Settings!$A$14:$A$43,B2006)&gt;0,"Holiday posting | ","")&amp;IF(B2006&gt;Settings!$C$8,"Posted after close | ","")&amp;IF(OR(B2006&lt;Settings!$C$6,B2006&gt;Settings!$C$7),"Outside period | ","")&amp;IF(COUNTIF(Settings!$E$14:$E$43,C2006&amp;"")&gt;0,"Sensitive account | ","")&amp;IF(AND(MAX(N(E2006),N(F2006))&gt;=Settings!$C$9,MOD(MAX(N(E2006),N(F2006)),Settings!$C$10)=0),"Round amount | ",""),LEN(IF(K2006="No","Does not balance | ","")&amp;IF(I2006="","Not approved | ",IF(UPPER(TRIM(H2006))=UPPER(TRIM(I2006)),"Self-approved | ",""))&amp;IF(J2006="","No support | ","")&amp;IF(WEEKDAY(B2006,2)&gt;5,"Weekend posting | ","")&amp;IF(COUNTIF(Settings!$A$14:$A$43,B2006)&gt;0,"Holiday posting | ","")&amp;IF(B2006&gt;Settings!$C$8,"Posted after close | ","")&amp;IF(OR(B2006&lt;Settings!$C$6,B2006&gt;Settings!$C$7),"Outside period | ","")&amp;IF(COUNTIF(Settings!$E$14:$E$43,C2006&amp;"")&gt;0,"Sensitive account | ","")&amp;IF(AND(MAX(N(E2006),N(F2006))&gt;=Settings!$C$9,MOD(MAX(N(E2006),N(F2006)),Settings!$C$10)=0),"Round amount | ",""))-3)))</f>
        <v/>
      </c>
      <c r="M2006" s="21" t="str">
        <f aca="false">IF(A2006="","",IF(COUNTIF($A$9:A2006,A2006)=1,MAX($M$8:M2005)+1,""))</f>
        <v/>
      </c>
    </row>
    <row r="2007" customFormat="false" ht="15" hidden="false" customHeight="false" outlineLevel="0" collapsed="false">
      <c r="A2007" s="8"/>
      <c r="B2007" s="17"/>
      <c r="C2007" s="19"/>
      <c r="D2007" s="8"/>
      <c r="E2007" s="18"/>
      <c r="F2007" s="18"/>
      <c r="G2007" s="8"/>
      <c r="H2007" s="8"/>
      <c r="I2007" s="8"/>
      <c r="J2007" s="8"/>
      <c r="K2007" s="10" t="str">
        <f aca="false">IF(A2007="","",IF(ABS(SUMIFS($E$9:$E$2008,$A$9:$A$2008,A2007)-SUMIFS($F$9:$F$2008,$A$9:$A$2008,A2007))&lt;0.5,"Yes","No"))</f>
        <v/>
      </c>
      <c r="L2007" s="10" t="str">
        <f aca="false">IF(A2007="","",IF(IF(K2007="No","Does not balance | ","")&amp;IF(I2007="","Not approved | ",IF(UPPER(TRIM(H2007))=UPPER(TRIM(I2007)),"Self-approved | ",""))&amp;IF(J2007="","No support | ","")&amp;IF(WEEKDAY(B2007,2)&gt;5,"Weekend posting | ","")&amp;IF(COUNTIF(Settings!$A$14:$A$43,B2007)&gt;0,"Holiday posting | ","")&amp;IF(B2007&gt;Settings!$C$8,"Posted after close | ","")&amp;IF(OR(B2007&lt;Settings!$C$6,B2007&gt;Settings!$C$7),"Outside period | ","")&amp;IF(COUNTIF(Settings!$E$14:$E$43,C2007&amp;"")&gt;0,"Sensitive account | ","")&amp;IF(AND(MAX(N(E2007),N(F2007))&gt;=Settings!$C$9,MOD(MAX(N(E2007),N(F2007)),Settings!$C$10)=0),"Round amount | ","")="","",LEFT(IF(K2007="No","Does not balance | ","")&amp;IF(I2007="","Not approved | ",IF(UPPER(TRIM(H2007))=UPPER(TRIM(I2007)),"Self-approved | ",""))&amp;IF(J2007="","No support | ","")&amp;IF(WEEKDAY(B2007,2)&gt;5,"Weekend posting | ","")&amp;IF(COUNTIF(Settings!$A$14:$A$43,B2007)&gt;0,"Holiday posting | ","")&amp;IF(B2007&gt;Settings!$C$8,"Posted after close | ","")&amp;IF(OR(B2007&lt;Settings!$C$6,B2007&gt;Settings!$C$7),"Outside period | ","")&amp;IF(COUNTIF(Settings!$E$14:$E$43,C2007&amp;"")&gt;0,"Sensitive account | ","")&amp;IF(AND(MAX(N(E2007),N(F2007))&gt;=Settings!$C$9,MOD(MAX(N(E2007),N(F2007)),Settings!$C$10)=0),"Round amount | ",""),LEN(IF(K2007="No","Does not balance | ","")&amp;IF(I2007="","Not approved | ",IF(UPPER(TRIM(H2007))=UPPER(TRIM(I2007)),"Self-approved | ",""))&amp;IF(J2007="","No support | ","")&amp;IF(WEEKDAY(B2007,2)&gt;5,"Weekend posting | ","")&amp;IF(COUNTIF(Settings!$A$14:$A$43,B2007)&gt;0,"Holiday posting | ","")&amp;IF(B2007&gt;Settings!$C$8,"Posted after close | ","")&amp;IF(OR(B2007&lt;Settings!$C$6,B2007&gt;Settings!$C$7),"Outside period | ","")&amp;IF(COUNTIF(Settings!$E$14:$E$43,C2007&amp;"")&gt;0,"Sensitive account | ","")&amp;IF(AND(MAX(N(E2007),N(F2007))&gt;=Settings!$C$9,MOD(MAX(N(E2007),N(F2007)),Settings!$C$10)=0),"Round amount | ",""))-3)))</f>
        <v/>
      </c>
      <c r="M2007" s="21" t="str">
        <f aca="false">IF(A2007="","",IF(COUNTIF($A$9:A2007,A2007)=1,MAX($M$8:M2006)+1,""))</f>
        <v/>
      </c>
    </row>
    <row r="2008" customFormat="false" ht="15" hidden="false" customHeight="false" outlineLevel="0" collapsed="false">
      <c r="A2008" s="8"/>
      <c r="B2008" s="17"/>
      <c r="C2008" s="19"/>
      <c r="D2008" s="8"/>
      <c r="E2008" s="18"/>
      <c r="F2008" s="18"/>
      <c r="G2008" s="8"/>
      <c r="H2008" s="8"/>
      <c r="I2008" s="8"/>
      <c r="J2008" s="8"/>
      <c r="K2008" s="10" t="str">
        <f aca="false">IF(A2008="","",IF(ABS(SUMIFS($E$9:$E$2008,$A$9:$A$2008,A2008)-SUMIFS($F$9:$F$2008,$A$9:$A$2008,A2008))&lt;0.5,"Yes","No"))</f>
        <v/>
      </c>
      <c r="L2008" s="10" t="str">
        <f aca="false">IF(A2008="","",IF(IF(K2008="No","Does not balance | ","")&amp;IF(I2008="","Not approved | ",IF(UPPER(TRIM(H2008))=UPPER(TRIM(I2008)),"Self-approved | ",""))&amp;IF(J2008="","No support | ","")&amp;IF(WEEKDAY(B2008,2)&gt;5,"Weekend posting | ","")&amp;IF(COUNTIF(Settings!$A$14:$A$43,B2008)&gt;0,"Holiday posting | ","")&amp;IF(B2008&gt;Settings!$C$8,"Posted after close | ","")&amp;IF(OR(B2008&lt;Settings!$C$6,B2008&gt;Settings!$C$7),"Outside period | ","")&amp;IF(COUNTIF(Settings!$E$14:$E$43,C2008&amp;"")&gt;0,"Sensitive account | ","")&amp;IF(AND(MAX(N(E2008),N(F2008))&gt;=Settings!$C$9,MOD(MAX(N(E2008),N(F2008)),Settings!$C$10)=0),"Round amount | ","")="","",LEFT(IF(K2008="No","Does not balance | ","")&amp;IF(I2008="","Not approved | ",IF(UPPER(TRIM(H2008))=UPPER(TRIM(I2008)),"Self-approved | ",""))&amp;IF(J2008="","No support | ","")&amp;IF(WEEKDAY(B2008,2)&gt;5,"Weekend posting | ","")&amp;IF(COUNTIF(Settings!$A$14:$A$43,B2008)&gt;0,"Holiday posting | ","")&amp;IF(B2008&gt;Settings!$C$8,"Posted after close | ","")&amp;IF(OR(B2008&lt;Settings!$C$6,B2008&gt;Settings!$C$7),"Outside period | ","")&amp;IF(COUNTIF(Settings!$E$14:$E$43,C2008&amp;"")&gt;0,"Sensitive account | ","")&amp;IF(AND(MAX(N(E2008),N(F2008))&gt;=Settings!$C$9,MOD(MAX(N(E2008),N(F2008)),Settings!$C$10)=0),"Round amount | ",""),LEN(IF(K2008="No","Does not balance | ","")&amp;IF(I2008="","Not approved | ",IF(UPPER(TRIM(H2008))=UPPER(TRIM(I2008)),"Self-approved | ",""))&amp;IF(J2008="","No support | ","")&amp;IF(WEEKDAY(B2008,2)&gt;5,"Weekend posting | ","")&amp;IF(COUNTIF(Settings!$A$14:$A$43,B2008)&gt;0,"Holiday posting | ","")&amp;IF(B2008&gt;Settings!$C$8,"Posted after close | ","")&amp;IF(OR(B2008&lt;Settings!$C$6,B2008&gt;Settings!$C$7),"Outside period | ","")&amp;IF(COUNTIF(Settings!$E$14:$E$43,C2008&amp;"")&gt;0,"Sensitive account | ","")&amp;IF(AND(MAX(N(E2008),N(F2008))&gt;=Settings!$C$9,MOD(MAX(N(E2008),N(F2008)),Settings!$C$10)=0),"Round amount | ",""))-3)))</f>
        <v/>
      </c>
      <c r="M2008" s="21" t="str">
        <f aca="false">IF(A2008="","",IF(COUNTIF($A$9:A2008,A2008)=1,MAX($M$8:M2007)+1,""))</f>
        <v/>
      </c>
    </row>
  </sheetData>
  <conditionalFormatting sqref="L9:L2008">
    <cfRule type="expression" priority="2" aboveAverage="0" equalAverage="0" bottom="0" percent="0" rank="0" text="" dxfId="0">
      <formula>L9&lt;&gt;""</formula>
    </cfRule>
  </conditionalFormatting>
  <conditionalFormatting sqref="K9:K2008">
    <cfRule type="expression" priority="3" aboveAverage="0" equalAverage="0" bottom="0" percent="0" rank="0" text="" dxfId="1">
      <formula>K9="No"</formula>
    </cfRule>
  </conditionalFormatting>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M30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1" ySplit="8" topLeftCell="B9" activePane="bottomRight" state="frozen"/>
      <selection pane="topLeft" activeCell="A1" activeCellId="0" sqref="A1"/>
      <selection pane="topRight" activeCell="B1" activeCellId="0" sqref="B1"/>
      <selection pane="bottomLeft" activeCell="A9" activeCellId="0" sqref="A9"/>
      <selection pane="bottomRight" activeCell="A1" activeCellId="0" sqref="A1"/>
    </sheetView>
  </sheetViews>
  <sheetFormatPr defaultColWidth="8.6796875" defaultRowHeight="15" zeroHeight="false" outlineLevelRow="0" outlineLevelCol="0"/>
  <cols>
    <col collapsed="false" customWidth="true" hidden="false" outlineLevel="0" max="1" min="1" style="0" width="11"/>
    <col collapsed="false" customWidth="true" hidden="false" outlineLevel="0" max="2" min="2" style="0" width="12"/>
    <col collapsed="false" customWidth="true" hidden="false" outlineLevel="0" max="4" min="3" style="0" width="15"/>
    <col collapsed="false" customWidth="true" hidden="false" outlineLevel="0" max="5" min="5" style="0" width="10"/>
    <col collapsed="false" customWidth="true" hidden="false" outlineLevel="0" max="6" min="6" style="0" width="7"/>
    <col collapsed="false" customWidth="true" hidden="false" outlineLevel="0" max="7" min="7" style="0" width="9"/>
    <col collapsed="false" customWidth="true" hidden="false" outlineLevel="0" max="9" min="8" style="0" width="11"/>
    <col collapsed="false" customWidth="true" hidden="false" outlineLevel="0" max="10" min="10" style="0" width="12"/>
    <col collapsed="false" customWidth="true" hidden="false" outlineLevel="0" max="11" min="11" style="0" width="3"/>
    <col collapsed="false" customWidth="true" hidden="false" outlineLevel="0" max="12" min="12" style="0" width="44"/>
    <col collapsed="false" customWidth="true" hidden="false" outlineLevel="0" max="13" min="13" style="0" width="10"/>
  </cols>
  <sheetData>
    <row r="1" customFormat="false" ht="17.35" hidden="false" customHeight="false" outlineLevel="0" collapsed="false">
      <c r="A1" s="15" t="s">
        <v>100</v>
      </c>
    </row>
    <row r="2" customFormat="false" ht="15" hidden="false" customHeight="false" outlineLevel="0" collapsed="false">
      <c r="A2" s="16" t="s">
        <v>38</v>
      </c>
    </row>
    <row r="8" customFormat="false" ht="30" hidden="false" customHeight="true" outlineLevel="0" collapsed="false">
      <c r="A8" s="20" t="s">
        <v>53</v>
      </c>
      <c r="B8" s="20" t="s">
        <v>54</v>
      </c>
      <c r="C8" s="20" t="s">
        <v>101</v>
      </c>
      <c r="D8" s="20" t="s">
        <v>102</v>
      </c>
      <c r="E8" s="20" t="s">
        <v>103</v>
      </c>
      <c r="F8" s="20" t="s">
        <v>104</v>
      </c>
      <c r="G8" s="20" t="s">
        <v>105</v>
      </c>
      <c r="H8" s="20" t="s">
        <v>60</v>
      </c>
      <c r="I8" s="20" t="s">
        <v>61</v>
      </c>
      <c r="J8" s="20" t="s">
        <v>106</v>
      </c>
      <c r="L8" s="4" t="s">
        <v>107</v>
      </c>
    </row>
    <row r="9" customFormat="false" ht="15" hidden="false" customHeight="false" outlineLevel="0" collapsed="false">
      <c r="A9" s="10" t="str">
        <f aca="false">IFERROR(INDEX(Register!$A$9:$A$2008,MATCH(1,Register!$M$9:$M$2008,0)),"")</f>
        <v>JE-0901</v>
      </c>
      <c r="B9" s="22" t="n">
        <f aca="false">IF(A9="","",INDEX(Register!$B$9:$B$2008,MATCH(A9,Register!$A$9:$A$2008,0)))</f>
        <v>46295</v>
      </c>
      <c r="C9" s="23" t="n">
        <f aca="false">IF(A9="","",SUMIFS(Register!$E$9:$E$2008,Register!$A$9:$A$2008,A9))</f>
        <v>125000</v>
      </c>
      <c r="D9" s="23" t="n">
        <f aca="false">IF(A9="","",SUMIFS(Register!$F$9:$F$2008,Register!$A$9:$A$2008,A9))</f>
        <v>125000</v>
      </c>
      <c r="E9" s="10" t="str">
        <f aca="false">IF(A9="","",IF(ABS(C9-D9)&lt;0.5,"Yes","No"))</f>
        <v>Yes</v>
      </c>
      <c r="F9" s="21" t="n">
        <f aca="false">IF(A9="","",COUNTIF(Register!$A$9:$A$2008,A9))</f>
        <v>2</v>
      </c>
      <c r="G9" s="21" t="n">
        <f aca="false">IF(A9="","",COUNTIFS(Register!$A$9:$A$2008,A9,Register!$L$9:$L$2008,"?*"))</f>
        <v>0</v>
      </c>
      <c r="H9" s="10" t="str">
        <f aca="false">IF(A9="","",INDEX(Register!$H$9:$H$2008,MATCH(A9,Register!$A$9:$A$2008,0)))</f>
        <v>Asha</v>
      </c>
      <c r="I9" s="10" t="str">
        <f aca="false">IF(A9="","",INDEX(Register!$I$9:$I$2008,MATCH(A9,Register!$A$9:$A$2008,0))&amp;"")</f>
        <v>Ravi</v>
      </c>
      <c r="J9" s="8"/>
      <c r="L9" s="10" t="s">
        <v>108</v>
      </c>
      <c r="M9" s="24" t="str">
        <f aca="false">IF(COUNTIF($E$9:$E$308,"No")=0,"OK","CHECK")</f>
        <v>CHECK</v>
      </c>
    </row>
    <row r="10" customFormat="false" ht="15" hidden="false" customHeight="false" outlineLevel="0" collapsed="false">
      <c r="A10" s="10" t="str">
        <f aca="false">IFERROR(INDEX(Register!$A$9:$A$2008,MATCH(2,Register!$M$9:$M$2008,0)),"")</f>
        <v>JE-0902</v>
      </c>
      <c r="B10" s="22" t="n">
        <f aca="false">IF(A10="","",INDEX(Register!$B$9:$B$2008,MATCH(A10,Register!$A$9:$A$2008,0)))</f>
        <v>46292</v>
      </c>
      <c r="C10" s="23" t="n">
        <f aca="false">IF(A10="","",SUMIFS(Register!$E$9:$E$2008,Register!$A$9:$A$2008,A10))</f>
        <v>1500000</v>
      </c>
      <c r="D10" s="23" t="n">
        <f aca="false">IF(A10="","",SUMIFS(Register!$F$9:$F$2008,Register!$A$9:$A$2008,A10))</f>
        <v>1500000</v>
      </c>
      <c r="E10" s="10" t="str">
        <f aca="false">IF(A10="","",IF(ABS(C10-D10)&lt;0.5,"Yes","No"))</f>
        <v>Yes</v>
      </c>
      <c r="F10" s="21" t="n">
        <f aca="false">IF(A10="","",COUNTIF(Register!$A$9:$A$2008,A10))</f>
        <v>2</v>
      </c>
      <c r="G10" s="21" t="n">
        <f aca="false">IF(A10="","",COUNTIFS(Register!$A$9:$A$2008,A10,Register!$L$9:$L$2008,"?*"))</f>
        <v>2</v>
      </c>
      <c r="H10" s="10" t="str">
        <f aca="false">IF(A10="","",INDEX(Register!$H$9:$H$2008,MATCH(A10,Register!$A$9:$A$2008,0)))</f>
        <v>Meena</v>
      </c>
      <c r="I10" s="10" t="str">
        <f aca="false">IF(A10="","",INDEX(Register!$I$9:$I$2008,MATCH(A10,Register!$A$9:$A$2008,0))&amp;"")</f>
        <v>Meena</v>
      </c>
      <c r="J10" s="8"/>
      <c r="L10" s="10" t="s">
        <v>109</v>
      </c>
      <c r="M10" s="24" t="str">
        <f aca="false">IF(ABS(SUM(Register!$E$9:$E$2008)-SUM(Register!$F$9:$F$2008))&lt;0.5,"OK","CHECK")</f>
        <v>CHECK</v>
      </c>
    </row>
    <row r="11" customFormat="false" ht="15" hidden="false" customHeight="false" outlineLevel="0" collapsed="false">
      <c r="A11" s="10" t="str">
        <f aca="false">IFERROR(INDEX(Register!$A$9:$A$2008,MATCH(3,Register!$M$9:$M$2008,0)),"")</f>
        <v>JE-0903</v>
      </c>
      <c r="B11" s="22" t="n">
        <f aca="false">IF(A11="","",INDEX(Register!$B$9:$B$2008,MATCH(A11,Register!$A$9:$A$2008,0)))</f>
        <v>46295</v>
      </c>
      <c r="C11" s="23" t="n">
        <f aca="false">IF(A11="","",SUMIFS(Register!$E$9:$E$2008,Register!$A$9:$A$2008,A11))</f>
        <v>48000</v>
      </c>
      <c r="D11" s="23" t="n">
        <f aca="false">IF(A11="","",SUMIFS(Register!$F$9:$F$2008,Register!$A$9:$A$2008,A11))</f>
        <v>47000</v>
      </c>
      <c r="E11" s="10" t="str">
        <f aca="false">IF(A11="","",IF(ABS(C11-D11)&lt;0.5,"Yes","No"))</f>
        <v>No</v>
      </c>
      <c r="F11" s="21" t="n">
        <f aca="false">IF(A11="","",COUNTIF(Register!$A$9:$A$2008,A11))</f>
        <v>2</v>
      </c>
      <c r="G11" s="21" t="n">
        <f aca="false">IF(A11="","",COUNTIFS(Register!$A$9:$A$2008,A11,Register!$L$9:$L$2008,"?*"))</f>
        <v>2</v>
      </c>
      <c r="H11" s="10" t="str">
        <f aca="false">IF(A11="","",INDEX(Register!$H$9:$H$2008,MATCH(A11,Register!$A$9:$A$2008,0)))</f>
        <v>Asha</v>
      </c>
      <c r="I11" s="10" t="str">
        <f aca="false">IF(A11="","",INDEX(Register!$I$9:$I$2008,MATCH(A11,Register!$A$9:$A$2008,0))&amp;"")</f>
        <v>Ravi</v>
      </c>
      <c r="J11" s="8"/>
      <c r="L11" s="10" t="s">
        <v>110</v>
      </c>
      <c r="M11" s="24" t="str">
        <f aca="false">IF(COUNTIF(Register!$L$9:$L$2008,"*approved*")=0,"OK","CHECK")</f>
        <v>CHECK</v>
      </c>
    </row>
    <row r="12" customFormat="false" ht="15" hidden="false" customHeight="false" outlineLevel="0" collapsed="false">
      <c r="A12" s="10" t="str">
        <f aca="false">IFERROR(INDEX(Register!$A$9:$A$2008,MATCH(4,Register!$M$9:$M$2008,0)),"")</f>
        <v>JE-0904</v>
      </c>
      <c r="B12" s="22" t="n">
        <f aca="false">IF(A12="","",INDEX(Register!$B$9:$B$2008,MATCH(A12,Register!$A$9:$A$2008,0)))</f>
        <v>46302</v>
      </c>
      <c r="C12" s="23" t="n">
        <f aca="false">IF(A12="","",SUMIFS(Register!$E$9:$E$2008,Register!$A$9:$A$2008,A12))</f>
        <v>260000</v>
      </c>
      <c r="D12" s="23" t="n">
        <f aca="false">IF(A12="","",SUMIFS(Register!$F$9:$F$2008,Register!$A$9:$A$2008,A12))</f>
        <v>260000</v>
      </c>
      <c r="E12" s="10" t="str">
        <f aca="false">IF(A12="","",IF(ABS(C12-D12)&lt;0.5,"Yes","No"))</f>
        <v>Yes</v>
      </c>
      <c r="F12" s="21" t="n">
        <f aca="false">IF(A12="","",COUNTIF(Register!$A$9:$A$2008,A12))</f>
        <v>2</v>
      </c>
      <c r="G12" s="21" t="n">
        <f aca="false">IF(A12="","",COUNTIFS(Register!$A$9:$A$2008,A12,Register!$L$9:$L$2008,"?*"))</f>
        <v>2</v>
      </c>
      <c r="H12" s="10" t="str">
        <f aca="false">IF(A12="","",INDEX(Register!$H$9:$H$2008,MATCH(A12,Register!$A$9:$A$2008,0)))</f>
        <v>Ravi</v>
      </c>
      <c r="I12" s="10" t="str">
        <f aca="false">IF(A12="","",INDEX(Register!$I$9:$I$2008,MATCH(A12,Register!$A$9:$A$2008,0))&amp;"")</f>
        <v>Asha</v>
      </c>
      <c r="J12" s="8"/>
      <c r="L12" s="10" t="s">
        <v>111</v>
      </c>
      <c r="M12" s="24" t="str">
        <f aca="false">IF(COUNTIF(Register!$L$9:$L$2008,"*No support*")=0,"OK","CHECK")</f>
        <v>CHECK</v>
      </c>
    </row>
    <row r="13" customFormat="false" ht="15" hidden="false" customHeight="false" outlineLevel="0" collapsed="false">
      <c r="A13" s="10" t="str">
        <f aca="false">IFERROR(INDEX(Register!$A$9:$A$2008,MATCH(5,Register!$M$9:$M$2008,0)),"")</f>
        <v>JE-0905</v>
      </c>
      <c r="B13" s="22" t="n">
        <f aca="false">IF(A13="","",INDEX(Register!$B$9:$B$2008,MATCH(A13,Register!$A$9:$A$2008,0)))</f>
        <v>46295</v>
      </c>
      <c r="C13" s="23" t="n">
        <f aca="false">IF(A13="","",SUMIFS(Register!$E$9:$E$2008,Register!$A$9:$A$2008,A13))</f>
        <v>3842000</v>
      </c>
      <c r="D13" s="23" t="n">
        <f aca="false">IF(A13="","",SUMIFS(Register!$F$9:$F$2008,Register!$A$9:$A$2008,A13))</f>
        <v>3842000</v>
      </c>
      <c r="E13" s="10" t="str">
        <f aca="false">IF(A13="","",IF(ABS(C13-D13)&lt;0.5,"Yes","No"))</f>
        <v>Yes</v>
      </c>
      <c r="F13" s="21" t="n">
        <f aca="false">IF(A13="","",COUNTIF(Register!$A$9:$A$2008,A13))</f>
        <v>2</v>
      </c>
      <c r="G13" s="21" t="n">
        <f aca="false">IF(A13="","",COUNTIFS(Register!$A$9:$A$2008,A13,Register!$L$9:$L$2008,"?*"))</f>
        <v>1</v>
      </c>
      <c r="H13" s="10" t="str">
        <f aca="false">IF(A13="","",INDEX(Register!$H$9:$H$2008,MATCH(A13,Register!$A$9:$A$2008,0)))</f>
        <v>Asha</v>
      </c>
      <c r="I13" s="10" t="str">
        <f aca="false">IF(A13="","",INDEX(Register!$I$9:$I$2008,MATCH(A13,Register!$A$9:$A$2008,0))&amp;"")</f>
        <v>Ravi</v>
      </c>
      <c r="J13" s="8"/>
      <c r="L13" s="10" t="s">
        <v>112</v>
      </c>
      <c r="M13" s="24" t="str">
        <f aca="false">IF(SUM($F$9:$F$308)=COUNTA(Register!$A$9:$A$2008),"OK","CHECK")</f>
        <v>OK</v>
      </c>
    </row>
    <row r="14" customFormat="false" ht="15" hidden="false" customHeight="false" outlineLevel="0" collapsed="false">
      <c r="A14" s="10" t="str">
        <f aca="false">IFERROR(INDEX(Register!$A$9:$A$2008,MATCH(6,Register!$M$9:$M$2008,0)),"")</f>
        <v/>
      </c>
      <c r="B14" s="22" t="str">
        <f aca="false">IF(A14="","",INDEX(Register!$B$9:$B$2008,MATCH(A14,Register!$A$9:$A$2008,0)))</f>
        <v/>
      </c>
      <c r="C14" s="23" t="str">
        <f aca="false">IF(A14="","",SUMIFS(Register!$E$9:$E$2008,Register!$A$9:$A$2008,A14))</f>
        <v/>
      </c>
      <c r="D14" s="23" t="str">
        <f aca="false">IF(A14="","",SUMIFS(Register!$F$9:$F$2008,Register!$A$9:$A$2008,A14))</f>
        <v/>
      </c>
      <c r="E14" s="10" t="str">
        <f aca="false">IF(A14="","",IF(ABS(C14-D14)&lt;0.5,"Yes","No"))</f>
        <v/>
      </c>
      <c r="F14" s="21" t="str">
        <f aca="false">IF(A14="","",COUNTIF(Register!$A$9:$A$2008,A14))</f>
        <v/>
      </c>
      <c r="G14" s="21" t="str">
        <f aca="false">IF(A14="","",COUNTIFS(Register!$A$9:$A$2008,A14,Register!$L$9:$L$2008,"?*"))</f>
        <v/>
      </c>
      <c r="H14" s="10" t="str">
        <f aca="false">IF(A14="","",INDEX(Register!$H$9:$H$2008,MATCH(A14,Register!$A$9:$A$2008,0)))</f>
        <v/>
      </c>
      <c r="I14" s="10" t="str">
        <f aca="false">IF(A14="","",INDEX(Register!$I$9:$I$2008,MATCH(A14,Register!$A$9:$A$2008,0))&amp;"")</f>
        <v/>
      </c>
      <c r="J14" s="8"/>
    </row>
    <row r="15" customFormat="false" ht="15" hidden="false" customHeight="false" outlineLevel="0" collapsed="false">
      <c r="A15" s="10" t="str">
        <f aca="false">IFERROR(INDEX(Register!$A$9:$A$2008,MATCH(7,Register!$M$9:$M$2008,0)),"")</f>
        <v/>
      </c>
      <c r="B15" s="22" t="str">
        <f aca="false">IF(A15="","",INDEX(Register!$B$9:$B$2008,MATCH(A15,Register!$A$9:$A$2008,0)))</f>
        <v/>
      </c>
      <c r="C15" s="23" t="str">
        <f aca="false">IF(A15="","",SUMIFS(Register!$E$9:$E$2008,Register!$A$9:$A$2008,A15))</f>
        <v/>
      </c>
      <c r="D15" s="23" t="str">
        <f aca="false">IF(A15="","",SUMIFS(Register!$F$9:$F$2008,Register!$A$9:$A$2008,A15))</f>
        <v/>
      </c>
      <c r="E15" s="10" t="str">
        <f aca="false">IF(A15="","",IF(ABS(C15-D15)&lt;0.5,"Yes","No"))</f>
        <v/>
      </c>
      <c r="F15" s="21" t="str">
        <f aca="false">IF(A15="","",COUNTIF(Register!$A$9:$A$2008,A15))</f>
        <v/>
      </c>
      <c r="G15" s="21" t="str">
        <f aca="false">IF(A15="","",COUNTIFS(Register!$A$9:$A$2008,A15,Register!$L$9:$L$2008,"?*"))</f>
        <v/>
      </c>
      <c r="H15" s="10" t="str">
        <f aca="false">IF(A15="","",INDEX(Register!$H$9:$H$2008,MATCH(A15,Register!$A$9:$A$2008,0)))</f>
        <v/>
      </c>
      <c r="I15" s="10" t="str">
        <f aca="false">IF(A15="","",INDEX(Register!$I$9:$I$2008,MATCH(A15,Register!$A$9:$A$2008,0))&amp;"")</f>
        <v/>
      </c>
      <c r="J15" s="8"/>
    </row>
    <row r="16" customFormat="false" ht="15" hidden="false" customHeight="false" outlineLevel="0" collapsed="false">
      <c r="A16" s="10" t="str">
        <f aca="false">IFERROR(INDEX(Register!$A$9:$A$2008,MATCH(8,Register!$M$9:$M$2008,0)),"")</f>
        <v/>
      </c>
      <c r="B16" s="22" t="str">
        <f aca="false">IF(A16="","",INDEX(Register!$B$9:$B$2008,MATCH(A16,Register!$A$9:$A$2008,0)))</f>
        <v/>
      </c>
      <c r="C16" s="23" t="str">
        <f aca="false">IF(A16="","",SUMIFS(Register!$E$9:$E$2008,Register!$A$9:$A$2008,A16))</f>
        <v/>
      </c>
      <c r="D16" s="23" t="str">
        <f aca="false">IF(A16="","",SUMIFS(Register!$F$9:$F$2008,Register!$A$9:$A$2008,A16))</f>
        <v/>
      </c>
      <c r="E16" s="10" t="str">
        <f aca="false">IF(A16="","",IF(ABS(C16-D16)&lt;0.5,"Yes","No"))</f>
        <v/>
      </c>
      <c r="F16" s="21" t="str">
        <f aca="false">IF(A16="","",COUNTIF(Register!$A$9:$A$2008,A16))</f>
        <v/>
      </c>
      <c r="G16" s="21" t="str">
        <f aca="false">IF(A16="","",COUNTIFS(Register!$A$9:$A$2008,A16,Register!$L$9:$L$2008,"?*"))</f>
        <v/>
      </c>
      <c r="H16" s="10" t="str">
        <f aca="false">IF(A16="","",INDEX(Register!$H$9:$H$2008,MATCH(A16,Register!$A$9:$A$2008,0)))</f>
        <v/>
      </c>
      <c r="I16" s="10" t="str">
        <f aca="false">IF(A16="","",INDEX(Register!$I$9:$I$2008,MATCH(A16,Register!$A$9:$A$2008,0))&amp;"")</f>
        <v/>
      </c>
      <c r="J16" s="8"/>
    </row>
    <row r="17" customFormat="false" ht="15" hidden="false" customHeight="false" outlineLevel="0" collapsed="false">
      <c r="A17" s="10" t="str">
        <f aca="false">IFERROR(INDEX(Register!$A$9:$A$2008,MATCH(9,Register!$M$9:$M$2008,0)),"")</f>
        <v/>
      </c>
      <c r="B17" s="22" t="str">
        <f aca="false">IF(A17="","",INDEX(Register!$B$9:$B$2008,MATCH(A17,Register!$A$9:$A$2008,0)))</f>
        <v/>
      </c>
      <c r="C17" s="23" t="str">
        <f aca="false">IF(A17="","",SUMIFS(Register!$E$9:$E$2008,Register!$A$9:$A$2008,A17))</f>
        <v/>
      </c>
      <c r="D17" s="23" t="str">
        <f aca="false">IF(A17="","",SUMIFS(Register!$F$9:$F$2008,Register!$A$9:$A$2008,A17))</f>
        <v/>
      </c>
      <c r="E17" s="10" t="str">
        <f aca="false">IF(A17="","",IF(ABS(C17-D17)&lt;0.5,"Yes","No"))</f>
        <v/>
      </c>
      <c r="F17" s="21" t="str">
        <f aca="false">IF(A17="","",COUNTIF(Register!$A$9:$A$2008,A17))</f>
        <v/>
      </c>
      <c r="G17" s="21" t="str">
        <f aca="false">IF(A17="","",COUNTIFS(Register!$A$9:$A$2008,A17,Register!$L$9:$L$2008,"?*"))</f>
        <v/>
      </c>
      <c r="H17" s="10" t="str">
        <f aca="false">IF(A17="","",INDEX(Register!$H$9:$H$2008,MATCH(A17,Register!$A$9:$A$2008,0)))</f>
        <v/>
      </c>
      <c r="I17" s="10" t="str">
        <f aca="false">IF(A17="","",INDEX(Register!$I$9:$I$2008,MATCH(A17,Register!$A$9:$A$2008,0))&amp;"")</f>
        <v/>
      </c>
      <c r="J17" s="8"/>
    </row>
    <row r="18" customFormat="false" ht="15" hidden="false" customHeight="false" outlineLevel="0" collapsed="false">
      <c r="A18" s="10" t="str">
        <f aca="false">IFERROR(INDEX(Register!$A$9:$A$2008,MATCH(10,Register!$M$9:$M$2008,0)),"")</f>
        <v/>
      </c>
      <c r="B18" s="22" t="str">
        <f aca="false">IF(A18="","",INDEX(Register!$B$9:$B$2008,MATCH(A18,Register!$A$9:$A$2008,0)))</f>
        <v/>
      </c>
      <c r="C18" s="23" t="str">
        <f aca="false">IF(A18="","",SUMIFS(Register!$E$9:$E$2008,Register!$A$9:$A$2008,A18))</f>
        <v/>
      </c>
      <c r="D18" s="23" t="str">
        <f aca="false">IF(A18="","",SUMIFS(Register!$F$9:$F$2008,Register!$A$9:$A$2008,A18))</f>
        <v/>
      </c>
      <c r="E18" s="10" t="str">
        <f aca="false">IF(A18="","",IF(ABS(C18-D18)&lt;0.5,"Yes","No"))</f>
        <v/>
      </c>
      <c r="F18" s="21" t="str">
        <f aca="false">IF(A18="","",COUNTIF(Register!$A$9:$A$2008,A18))</f>
        <v/>
      </c>
      <c r="G18" s="21" t="str">
        <f aca="false">IF(A18="","",COUNTIFS(Register!$A$9:$A$2008,A18,Register!$L$9:$L$2008,"?*"))</f>
        <v/>
      </c>
      <c r="H18" s="10" t="str">
        <f aca="false">IF(A18="","",INDEX(Register!$H$9:$H$2008,MATCH(A18,Register!$A$9:$A$2008,0)))</f>
        <v/>
      </c>
      <c r="I18" s="10" t="str">
        <f aca="false">IF(A18="","",INDEX(Register!$I$9:$I$2008,MATCH(A18,Register!$A$9:$A$2008,0))&amp;"")</f>
        <v/>
      </c>
      <c r="J18" s="8"/>
    </row>
    <row r="19" customFormat="false" ht="15" hidden="false" customHeight="false" outlineLevel="0" collapsed="false">
      <c r="A19" s="10" t="str">
        <f aca="false">IFERROR(INDEX(Register!$A$9:$A$2008,MATCH(11,Register!$M$9:$M$2008,0)),"")</f>
        <v/>
      </c>
      <c r="B19" s="22" t="str">
        <f aca="false">IF(A19="","",INDEX(Register!$B$9:$B$2008,MATCH(A19,Register!$A$9:$A$2008,0)))</f>
        <v/>
      </c>
      <c r="C19" s="23" t="str">
        <f aca="false">IF(A19="","",SUMIFS(Register!$E$9:$E$2008,Register!$A$9:$A$2008,A19))</f>
        <v/>
      </c>
      <c r="D19" s="23" t="str">
        <f aca="false">IF(A19="","",SUMIFS(Register!$F$9:$F$2008,Register!$A$9:$A$2008,A19))</f>
        <v/>
      </c>
      <c r="E19" s="10" t="str">
        <f aca="false">IF(A19="","",IF(ABS(C19-D19)&lt;0.5,"Yes","No"))</f>
        <v/>
      </c>
      <c r="F19" s="21" t="str">
        <f aca="false">IF(A19="","",COUNTIF(Register!$A$9:$A$2008,A19))</f>
        <v/>
      </c>
      <c r="G19" s="21" t="str">
        <f aca="false">IF(A19="","",COUNTIFS(Register!$A$9:$A$2008,A19,Register!$L$9:$L$2008,"?*"))</f>
        <v/>
      </c>
      <c r="H19" s="10" t="str">
        <f aca="false">IF(A19="","",INDEX(Register!$H$9:$H$2008,MATCH(A19,Register!$A$9:$A$2008,0)))</f>
        <v/>
      </c>
      <c r="I19" s="10" t="str">
        <f aca="false">IF(A19="","",INDEX(Register!$I$9:$I$2008,MATCH(A19,Register!$A$9:$A$2008,0))&amp;"")</f>
        <v/>
      </c>
      <c r="J19" s="8"/>
    </row>
    <row r="20" customFormat="false" ht="15" hidden="false" customHeight="false" outlineLevel="0" collapsed="false">
      <c r="A20" s="10" t="str">
        <f aca="false">IFERROR(INDEX(Register!$A$9:$A$2008,MATCH(12,Register!$M$9:$M$2008,0)),"")</f>
        <v/>
      </c>
      <c r="B20" s="22" t="str">
        <f aca="false">IF(A20="","",INDEX(Register!$B$9:$B$2008,MATCH(A20,Register!$A$9:$A$2008,0)))</f>
        <v/>
      </c>
      <c r="C20" s="23" t="str">
        <f aca="false">IF(A20="","",SUMIFS(Register!$E$9:$E$2008,Register!$A$9:$A$2008,A20))</f>
        <v/>
      </c>
      <c r="D20" s="23" t="str">
        <f aca="false">IF(A20="","",SUMIFS(Register!$F$9:$F$2008,Register!$A$9:$A$2008,A20))</f>
        <v/>
      </c>
      <c r="E20" s="10" t="str">
        <f aca="false">IF(A20="","",IF(ABS(C20-D20)&lt;0.5,"Yes","No"))</f>
        <v/>
      </c>
      <c r="F20" s="21" t="str">
        <f aca="false">IF(A20="","",COUNTIF(Register!$A$9:$A$2008,A20))</f>
        <v/>
      </c>
      <c r="G20" s="21" t="str">
        <f aca="false">IF(A20="","",COUNTIFS(Register!$A$9:$A$2008,A20,Register!$L$9:$L$2008,"?*"))</f>
        <v/>
      </c>
      <c r="H20" s="10" t="str">
        <f aca="false">IF(A20="","",INDEX(Register!$H$9:$H$2008,MATCH(A20,Register!$A$9:$A$2008,0)))</f>
        <v/>
      </c>
      <c r="I20" s="10" t="str">
        <f aca="false">IF(A20="","",INDEX(Register!$I$9:$I$2008,MATCH(A20,Register!$A$9:$A$2008,0))&amp;"")</f>
        <v/>
      </c>
      <c r="J20" s="8"/>
    </row>
    <row r="21" customFormat="false" ht="15" hidden="false" customHeight="false" outlineLevel="0" collapsed="false">
      <c r="A21" s="10" t="str">
        <f aca="false">IFERROR(INDEX(Register!$A$9:$A$2008,MATCH(13,Register!$M$9:$M$2008,0)),"")</f>
        <v/>
      </c>
      <c r="B21" s="22" t="str">
        <f aca="false">IF(A21="","",INDEX(Register!$B$9:$B$2008,MATCH(A21,Register!$A$9:$A$2008,0)))</f>
        <v/>
      </c>
      <c r="C21" s="23" t="str">
        <f aca="false">IF(A21="","",SUMIFS(Register!$E$9:$E$2008,Register!$A$9:$A$2008,A21))</f>
        <v/>
      </c>
      <c r="D21" s="23" t="str">
        <f aca="false">IF(A21="","",SUMIFS(Register!$F$9:$F$2008,Register!$A$9:$A$2008,A21))</f>
        <v/>
      </c>
      <c r="E21" s="10" t="str">
        <f aca="false">IF(A21="","",IF(ABS(C21-D21)&lt;0.5,"Yes","No"))</f>
        <v/>
      </c>
      <c r="F21" s="21" t="str">
        <f aca="false">IF(A21="","",COUNTIF(Register!$A$9:$A$2008,A21))</f>
        <v/>
      </c>
      <c r="G21" s="21" t="str">
        <f aca="false">IF(A21="","",COUNTIFS(Register!$A$9:$A$2008,A21,Register!$L$9:$L$2008,"?*"))</f>
        <v/>
      </c>
      <c r="H21" s="10" t="str">
        <f aca="false">IF(A21="","",INDEX(Register!$H$9:$H$2008,MATCH(A21,Register!$A$9:$A$2008,0)))</f>
        <v/>
      </c>
      <c r="I21" s="10" t="str">
        <f aca="false">IF(A21="","",INDEX(Register!$I$9:$I$2008,MATCH(A21,Register!$A$9:$A$2008,0))&amp;"")</f>
        <v/>
      </c>
      <c r="J21" s="8"/>
    </row>
    <row r="22" customFormat="false" ht="15" hidden="false" customHeight="false" outlineLevel="0" collapsed="false">
      <c r="A22" s="10" t="str">
        <f aca="false">IFERROR(INDEX(Register!$A$9:$A$2008,MATCH(14,Register!$M$9:$M$2008,0)),"")</f>
        <v/>
      </c>
      <c r="B22" s="22" t="str">
        <f aca="false">IF(A22="","",INDEX(Register!$B$9:$B$2008,MATCH(A22,Register!$A$9:$A$2008,0)))</f>
        <v/>
      </c>
      <c r="C22" s="23" t="str">
        <f aca="false">IF(A22="","",SUMIFS(Register!$E$9:$E$2008,Register!$A$9:$A$2008,A22))</f>
        <v/>
      </c>
      <c r="D22" s="23" t="str">
        <f aca="false">IF(A22="","",SUMIFS(Register!$F$9:$F$2008,Register!$A$9:$A$2008,A22))</f>
        <v/>
      </c>
      <c r="E22" s="10" t="str">
        <f aca="false">IF(A22="","",IF(ABS(C22-D22)&lt;0.5,"Yes","No"))</f>
        <v/>
      </c>
      <c r="F22" s="21" t="str">
        <f aca="false">IF(A22="","",COUNTIF(Register!$A$9:$A$2008,A22))</f>
        <v/>
      </c>
      <c r="G22" s="21" t="str">
        <f aca="false">IF(A22="","",COUNTIFS(Register!$A$9:$A$2008,A22,Register!$L$9:$L$2008,"?*"))</f>
        <v/>
      </c>
      <c r="H22" s="10" t="str">
        <f aca="false">IF(A22="","",INDEX(Register!$H$9:$H$2008,MATCH(A22,Register!$A$9:$A$2008,0)))</f>
        <v/>
      </c>
      <c r="I22" s="10" t="str">
        <f aca="false">IF(A22="","",INDEX(Register!$I$9:$I$2008,MATCH(A22,Register!$A$9:$A$2008,0))&amp;"")</f>
        <v/>
      </c>
      <c r="J22" s="8"/>
    </row>
    <row r="23" customFormat="false" ht="15" hidden="false" customHeight="false" outlineLevel="0" collapsed="false">
      <c r="A23" s="10" t="str">
        <f aca="false">IFERROR(INDEX(Register!$A$9:$A$2008,MATCH(15,Register!$M$9:$M$2008,0)),"")</f>
        <v/>
      </c>
      <c r="B23" s="22" t="str">
        <f aca="false">IF(A23="","",INDEX(Register!$B$9:$B$2008,MATCH(A23,Register!$A$9:$A$2008,0)))</f>
        <v/>
      </c>
      <c r="C23" s="23" t="str">
        <f aca="false">IF(A23="","",SUMIFS(Register!$E$9:$E$2008,Register!$A$9:$A$2008,A23))</f>
        <v/>
      </c>
      <c r="D23" s="23" t="str">
        <f aca="false">IF(A23="","",SUMIFS(Register!$F$9:$F$2008,Register!$A$9:$A$2008,A23))</f>
        <v/>
      </c>
      <c r="E23" s="10" t="str">
        <f aca="false">IF(A23="","",IF(ABS(C23-D23)&lt;0.5,"Yes","No"))</f>
        <v/>
      </c>
      <c r="F23" s="21" t="str">
        <f aca="false">IF(A23="","",COUNTIF(Register!$A$9:$A$2008,A23))</f>
        <v/>
      </c>
      <c r="G23" s="21" t="str">
        <f aca="false">IF(A23="","",COUNTIFS(Register!$A$9:$A$2008,A23,Register!$L$9:$L$2008,"?*"))</f>
        <v/>
      </c>
      <c r="H23" s="10" t="str">
        <f aca="false">IF(A23="","",INDEX(Register!$H$9:$H$2008,MATCH(A23,Register!$A$9:$A$2008,0)))</f>
        <v/>
      </c>
      <c r="I23" s="10" t="str">
        <f aca="false">IF(A23="","",INDEX(Register!$I$9:$I$2008,MATCH(A23,Register!$A$9:$A$2008,0))&amp;"")</f>
        <v/>
      </c>
      <c r="J23" s="8"/>
    </row>
    <row r="24" customFormat="false" ht="15" hidden="false" customHeight="false" outlineLevel="0" collapsed="false">
      <c r="A24" s="10" t="str">
        <f aca="false">IFERROR(INDEX(Register!$A$9:$A$2008,MATCH(16,Register!$M$9:$M$2008,0)),"")</f>
        <v/>
      </c>
      <c r="B24" s="22" t="str">
        <f aca="false">IF(A24="","",INDEX(Register!$B$9:$B$2008,MATCH(A24,Register!$A$9:$A$2008,0)))</f>
        <v/>
      </c>
      <c r="C24" s="23" t="str">
        <f aca="false">IF(A24="","",SUMIFS(Register!$E$9:$E$2008,Register!$A$9:$A$2008,A24))</f>
        <v/>
      </c>
      <c r="D24" s="23" t="str">
        <f aca="false">IF(A24="","",SUMIFS(Register!$F$9:$F$2008,Register!$A$9:$A$2008,A24))</f>
        <v/>
      </c>
      <c r="E24" s="10" t="str">
        <f aca="false">IF(A24="","",IF(ABS(C24-D24)&lt;0.5,"Yes","No"))</f>
        <v/>
      </c>
      <c r="F24" s="21" t="str">
        <f aca="false">IF(A24="","",COUNTIF(Register!$A$9:$A$2008,A24))</f>
        <v/>
      </c>
      <c r="G24" s="21" t="str">
        <f aca="false">IF(A24="","",COUNTIFS(Register!$A$9:$A$2008,A24,Register!$L$9:$L$2008,"?*"))</f>
        <v/>
      </c>
      <c r="H24" s="10" t="str">
        <f aca="false">IF(A24="","",INDEX(Register!$H$9:$H$2008,MATCH(A24,Register!$A$9:$A$2008,0)))</f>
        <v/>
      </c>
      <c r="I24" s="10" t="str">
        <f aca="false">IF(A24="","",INDEX(Register!$I$9:$I$2008,MATCH(A24,Register!$A$9:$A$2008,0))&amp;"")</f>
        <v/>
      </c>
      <c r="J24" s="8"/>
    </row>
    <row r="25" customFormat="false" ht="15" hidden="false" customHeight="false" outlineLevel="0" collapsed="false">
      <c r="A25" s="10" t="str">
        <f aca="false">IFERROR(INDEX(Register!$A$9:$A$2008,MATCH(17,Register!$M$9:$M$2008,0)),"")</f>
        <v/>
      </c>
      <c r="B25" s="22" t="str">
        <f aca="false">IF(A25="","",INDEX(Register!$B$9:$B$2008,MATCH(A25,Register!$A$9:$A$2008,0)))</f>
        <v/>
      </c>
      <c r="C25" s="23" t="str">
        <f aca="false">IF(A25="","",SUMIFS(Register!$E$9:$E$2008,Register!$A$9:$A$2008,A25))</f>
        <v/>
      </c>
      <c r="D25" s="23" t="str">
        <f aca="false">IF(A25="","",SUMIFS(Register!$F$9:$F$2008,Register!$A$9:$A$2008,A25))</f>
        <v/>
      </c>
      <c r="E25" s="10" t="str">
        <f aca="false">IF(A25="","",IF(ABS(C25-D25)&lt;0.5,"Yes","No"))</f>
        <v/>
      </c>
      <c r="F25" s="21" t="str">
        <f aca="false">IF(A25="","",COUNTIF(Register!$A$9:$A$2008,A25))</f>
        <v/>
      </c>
      <c r="G25" s="21" t="str">
        <f aca="false">IF(A25="","",COUNTIFS(Register!$A$9:$A$2008,A25,Register!$L$9:$L$2008,"?*"))</f>
        <v/>
      </c>
      <c r="H25" s="10" t="str">
        <f aca="false">IF(A25="","",INDEX(Register!$H$9:$H$2008,MATCH(A25,Register!$A$9:$A$2008,0)))</f>
        <v/>
      </c>
      <c r="I25" s="10" t="str">
        <f aca="false">IF(A25="","",INDEX(Register!$I$9:$I$2008,MATCH(A25,Register!$A$9:$A$2008,0))&amp;"")</f>
        <v/>
      </c>
      <c r="J25" s="8"/>
    </row>
    <row r="26" customFormat="false" ht="15" hidden="false" customHeight="false" outlineLevel="0" collapsed="false">
      <c r="A26" s="10" t="str">
        <f aca="false">IFERROR(INDEX(Register!$A$9:$A$2008,MATCH(18,Register!$M$9:$M$2008,0)),"")</f>
        <v/>
      </c>
      <c r="B26" s="22" t="str">
        <f aca="false">IF(A26="","",INDEX(Register!$B$9:$B$2008,MATCH(A26,Register!$A$9:$A$2008,0)))</f>
        <v/>
      </c>
      <c r="C26" s="23" t="str">
        <f aca="false">IF(A26="","",SUMIFS(Register!$E$9:$E$2008,Register!$A$9:$A$2008,A26))</f>
        <v/>
      </c>
      <c r="D26" s="23" t="str">
        <f aca="false">IF(A26="","",SUMIFS(Register!$F$9:$F$2008,Register!$A$9:$A$2008,A26))</f>
        <v/>
      </c>
      <c r="E26" s="10" t="str">
        <f aca="false">IF(A26="","",IF(ABS(C26-D26)&lt;0.5,"Yes","No"))</f>
        <v/>
      </c>
      <c r="F26" s="21" t="str">
        <f aca="false">IF(A26="","",COUNTIF(Register!$A$9:$A$2008,A26))</f>
        <v/>
      </c>
      <c r="G26" s="21" t="str">
        <f aca="false">IF(A26="","",COUNTIFS(Register!$A$9:$A$2008,A26,Register!$L$9:$L$2008,"?*"))</f>
        <v/>
      </c>
      <c r="H26" s="10" t="str">
        <f aca="false">IF(A26="","",INDEX(Register!$H$9:$H$2008,MATCH(A26,Register!$A$9:$A$2008,0)))</f>
        <v/>
      </c>
      <c r="I26" s="10" t="str">
        <f aca="false">IF(A26="","",INDEX(Register!$I$9:$I$2008,MATCH(A26,Register!$A$9:$A$2008,0))&amp;"")</f>
        <v/>
      </c>
      <c r="J26" s="8"/>
    </row>
    <row r="27" customFormat="false" ht="15" hidden="false" customHeight="false" outlineLevel="0" collapsed="false">
      <c r="A27" s="10" t="str">
        <f aca="false">IFERROR(INDEX(Register!$A$9:$A$2008,MATCH(19,Register!$M$9:$M$2008,0)),"")</f>
        <v/>
      </c>
      <c r="B27" s="22" t="str">
        <f aca="false">IF(A27="","",INDEX(Register!$B$9:$B$2008,MATCH(A27,Register!$A$9:$A$2008,0)))</f>
        <v/>
      </c>
      <c r="C27" s="23" t="str">
        <f aca="false">IF(A27="","",SUMIFS(Register!$E$9:$E$2008,Register!$A$9:$A$2008,A27))</f>
        <v/>
      </c>
      <c r="D27" s="23" t="str">
        <f aca="false">IF(A27="","",SUMIFS(Register!$F$9:$F$2008,Register!$A$9:$A$2008,A27))</f>
        <v/>
      </c>
      <c r="E27" s="10" t="str">
        <f aca="false">IF(A27="","",IF(ABS(C27-D27)&lt;0.5,"Yes","No"))</f>
        <v/>
      </c>
      <c r="F27" s="21" t="str">
        <f aca="false">IF(A27="","",COUNTIF(Register!$A$9:$A$2008,A27))</f>
        <v/>
      </c>
      <c r="G27" s="21" t="str">
        <f aca="false">IF(A27="","",COUNTIFS(Register!$A$9:$A$2008,A27,Register!$L$9:$L$2008,"?*"))</f>
        <v/>
      </c>
      <c r="H27" s="10" t="str">
        <f aca="false">IF(A27="","",INDEX(Register!$H$9:$H$2008,MATCH(A27,Register!$A$9:$A$2008,0)))</f>
        <v/>
      </c>
      <c r="I27" s="10" t="str">
        <f aca="false">IF(A27="","",INDEX(Register!$I$9:$I$2008,MATCH(A27,Register!$A$9:$A$2008,0))&amp;"")</f>
        <v/>
      </c>
      <c r="J27" s="8"/>
    </row>
    <row r="28" customFormat="false" ht="15" hidden="false" customHeight="false" outlineLevel="0" collapsed="false">
      <c r="A28" s="10" t="str">
        <f aca="false">IFERROR(INDEX(Register!$A$9:$A$2008,MATCH(20,Register!$M$9:$M$2008,0)),"")</f>
        <v/>
      </c>
      <c r="B28" s="22" t="str">
        <f aca="false">IF(A28="","",INDEX(Register!$B$9:$B$2008,MATCH(A28,Register!$A$9:$A$2008,0)))</f>
        <v/>
      </c>
      <c r="C28" s="23" t="str">
        <f aca="false">IF(A28="","",SUMIFS(Register!$E$9:$E$2008,Register!$A$9:$A$2008,A28))</f>
        <v/>
      </c>
      <c r="D28" s="23" t="str">
        <f aca="false">IF(A28="","",SUMIFS(Register!$F$9:$F$2008,Register!$A$9:$A$2008,A28))</f>
        <v/>
      </c>
      <c r="E28" s="10" t="str">
        <f aca="false">IF(A28="","",IF(ABS(C28-D28)&lt;0.5,"Yes","No"))</f>
        <v/>
      </c>
      <c r="F28" s="21" t="str">
        <f aca="false">IF(A28="","",COUNTIF(Register!$A$9:$A$2008,A28))</f>
        <v/>
      </c>
      <c r="G28" s="21" t="str">
        <f aca="false">IF(A28="","",COUNTIFS(Register!$A$9:$A$2008,A28,Register!$L$9:$L$2008,"?*"))</f>
        <v/>
      </c>
      <c r="H28" s="10" t="str">
        <f aca="false">IF(A28="","",INDEX(Register!$H$9:$H$2008,MATCH(A28,Register!$A$9:$A$2008,0)))</f>
        <v/>
      </c>
      <c r="I28" s="10" t="str">
        <f aca="false">IF(A28="","",INDEX(Register!$I$9:$I$2008,MATCH(A28,Register!$A$9:$A$2008,0))&amp;"")</f>
        <v/>
      </c>
      <c r="J28" s="8"/>
    </row>
    <row r="29" customFormat="false" ht="15" hidden="false" customHeight="false" outlineLevel="0" collapsed="false">
      <c r="A29" s="10" t="str">
        <f aca="false">IFERROR(INDEX(Register!$A$9:$A$2008,MATCH(21,Register!$M$9:$M$2008,0)),"")</f>
        <v/>
      </c>
      <c r="B29" s="22" t="str">
        <f aca="false">IF(A29="","",INDEX(Register!$B$9:$B$2008,MATCH(A29,Register!$A$9:$A$2008,0)))</f>
        <v/>
      </c>
      <c r="C29" s="23" t="str">
        <f aca="false">IF(A29="","",SUMIFS(Register!$E$9:$E$2008,Register!$A$9:$A$2008,A29))</f>
        <v/>
      </c>
      <c r="D29" s="23" t="str">
        <f aca="false">IF(A29="","",SUMIFS(Register!$F$9:$F$2008,Register!$A$9:$A$2008,A29))</f>
        <v/>
      </c>
      <c r="E29" s="10" t="str">
        <f aca="false">IF(A29="","",IF(ABS(C29-D29)&lt;0.5,"Yes","No"))</f>
        <v/>
      </c>
      <c r="F29" s="21" t="str">
        <f aca="false">IF(A29="","",COUNTIF(Register!$A$9:$A$2008,A29))</f>
        <v/>
      </c>
      <c r="G29" s="21" t="str">
        <f aca="false">IF(A29="","",COUNTIFS(Register!$A$9:$A$2008,A29,Register!$L$9:$L$2008,"?*"))</f>
        <v/>
      </c>
      <c r="H29" s="10" t="str">
        <f aca="false">IF(A29="","",INDEX(Register!$H$9:$H$2008,MATCH(A29,Register!$A$9:$A$2008,0)))</f>
        <v/>
      </c>
      <c r="I29" s="10" t="str">
        <f aca="false">IF(A29="","",INDEX(Register!$I$9:$I$2008,MATCH(A29,Register!$A$9:$A$2008,0))&amp;"")</f>
        <v/>
      </c>
      <c r="J29" s="8"/>
    </row>
    <row r="30" customFormat="false" ht="15" hidden="false" customHeight="false" outlineLevel="0" collapsed="false">
      <c r="A30" s="10" t="str">
        <f aca="false">IFERROR(INDEX(Register!$A$9:$A$2008,MATCH(22,Register!$M$9:$M$2008,0)),"")</f>
        <v/>
      </c>
      <c r="B30" s="22" t="str">
        <f aca="false">IF(A30="","",INDEX(Register!$B$9:$B$2008,MATCH(A30,Register!$A$9:$A$2008,0)))</f>
        <v/>
      </c>
      <c r="C30" s="23" t="str">
        <f aca="false">IF(A30="","",SUMIFS(Register!$E$9:$E$2008,Register!$A$9:$A$2008,A30))</f>
        <v/>
      </c>
      <c r="D30" s="23" t="str">
        <f aca="false">IF(A30="","",SUMIFS(Register!$F$9:$F$2008,Register!$A$9:$A$2008,A30))</f>
        <v/>
      </c>
      <c r="E30" s="10" t="str">
        <f aca="false">IF(A30="","",IF(ABS(C30-D30)&lt;0.5,"Yes","No"))</f>
        <v/>
      </c>
      <c r="F30" s="21" t="str">
        <f aca="false">IF(A30="","",COUNTIF(Register!$A$9:$A$2008,A30))</f>
        <v/>
      </c>
      <c r="G30" s="21" t="str">
        <f aca="false">IF(A30="","",COUNTIFS(Register!$A$9:$A$2008,A30,Register!$L$9:$L$2008,"?*"))</f>
        <v/>
      </c>
      <c r="H30" s="10" t="str">
        <f aca="false">IF(A30="","",INDEX(Register!$H$9:$H$2008,MATCH(A30,Register!$A$9:$A$2008,0)))</f>
        <v/>
      </c>
      <c r="I30" s="10" t="str">
        <f aca="false">IF(A30="","",INDEX(Register!$I$9:$I$2008,MATCH(A30,Register!$A$9:$A$2008,0))&amp;"")</f>
        <v/>
      </c>
      <c r="J30" s="8"/>
    </row>
    <row r="31" customFormat="false" ht="15" hidden="false" customHeight="false" outlineLevel="0" collapsed="false">
      <c r="A31" s="10" t="str">
        <f aca="false">IFERROR(INDEX(Register!$A$9:$A$2008,MATCH(23,Register!$M$9:$M$2008,0)),"")</f>
        <v/>
      </c>
      <c r="B31" s="22" t="str">
        <f aca="false">IF(A31="","",INDEX(Register!$B$9:$B$2008,MATCH(A31,Register!$A$9:$A$2008,0)))</f>
        <v/>
      </c>
      <c r="C31" s="23" t="str">
        <f aca="false">IF(A31="","",SUMIFS(Register!$E$9:$E$2008,Register!$A$9:$A$2008,A31))</f>
        <v/>
      </c>
      <c r="D31" s="23" t="str">
        <f aca="false">IF(A31="","",SUMIFS(Register!$F$9:$F$2008,Register!$A$9:$A$2008,A31))</f>
        <v/>
      </c>
      <c r="E31" s="10" t="str">
        <f aca="false">IF(A31="","",IF(ABS(C31-D31)&lt;0.5,"Yes","No"))</f>
        <v/>
      </c>
      <c r="F31" s="21" t="str">
        <f aca="false">IF(A31="","",COUNTIF(Register!$A$9:$A$2008,A31))</f>
        <v/>
      </c>
      <c r="G31" s="21" t="str">
        <f aca="false">IF(A31="","",COUNTIFS(Register!$A$9:$A$2008,A31,Register!$L$9:$L$2008,"?*"))</f>
        <v/>
      </c>
      <c r="H31" s="10" t="str">
        <f aca="false">IF(A31="","",INDEX(Register!$H$9:$H$2008,MATCH(A31,Register!$A$9:$A$2008,0)))</f>
        <v/>
      </c>
      <c r="I31" s="10" t="str">
        <f aca="false">IF(A31="","",INDEX(Register!$I$9:$I$2008,MATCH(A31,Register!$A$9:$A$2008,0))&amp;"")</f>
        <v/>
      </c>
      <c r="J31" s="8"/>
    </row>
    <row r="32" customFormat="false" ht="15" hidden="false" customHeight="false" outlineLevel="0" collapsed="false">
      <c r="A32" s="10" t="str">
        <f aca="false">IFERROR(INDEX(Register!$A$9:$A$2008,MATCH(24,Register!$M$9:$M$2008,0)),"")</f>
        <v/>
      </c>
      <c r="B32" s="22" t="str">
        <f aca="false">IF(A32="","",INDEX(Register!$B$9:$B$2008,MATCH(A32,Register!$A$9:$A$2008,0)))</f>
        <v/>
      </c>
      <c r="C32" s="23" t="str">
        <f aca="false">IF(A32="","",SUMIFS(Register!$E$9:$E$2008,Register!$A$9:$A$2008,A32))</f>
        <v/>
      </c>
      <c r="D32" s="23" t="str">
        <f aca="false">IF(A32="","",SUMIFS(Register!$F$9:$F$2008,Register!$A$9:$A$2008,A32))</f>
        <v/>
      </c>
      <c r="E32" s="10" t="str">
        <f aca="false">IF(A32="","",IF(ABS(C32-D32)&lt;0.5,"Yes","No"))</f>
        <v/>
      </c>
      <c r="F32" s="21" t="str">
        <f aca="false">IF(A32="","",COUNTIF(Register!$A$9:$A$2008,A32))</f>
        <v/>
      </c>
      <c r="G32" s="21" t="str">
        <f aca="false">IF(A32="","",COUNTIFS(Register!$A$9:$A$2008,A32,Register!$L$9:$L$2008,"?*"))</f>
        <v/>
      </c>
      <c r="H32" s="10" t="str">
        <f aca="false">IF(A32="","",INDEX(Register!$H$9:$H$2008,MATCH(A32,Register!$A$9:$A$2008,0)))</f>
        <v/>
      </c>
      <c r="I32" s="10" t="str">
        <f aca="false">IF(A32="","",INDEX(Register!$I$9:$I$2008,MATCH(A32,Register!$A$9:$A$2008,0))&amp;"")</f>
        <v/>
      </c>
      <c r="J32" s="8"/>
    </row>
    <row r="33" customFormat="false" ht="15" hidden="false" customHeight="false" outlineLevel="0" collapsed="false">
      <c r="A33" s="10" t="str">
        <f aca="false">IFERROR(INDEX(Register!$A$9:$A$2008,MATCH(25,Register!$M$9:$M$2008,0)),"")</f>
        <v/>
      </c>
      <c r="B33" s="22" t="str">
        <f aca="false">IF(A33="","",INDEX(Register!$B$9:$B$2008,MATCH(A33,Register!$A$9:$A$2008,0)))</f>
        <v/>
      </c>
      <c r="C33" s="23" t="str">
        <f aca="false">IF(A33="","",SUMIFS(Register!$E$9:$E$2008,Register!$A$9:$A$2008,A33))</f>
        <v/>
      </c>
      <c r="D33" s="23" t="str">
        <f aca="false">IF(A33="","",SUMIFS(Register!$F$9:$F$2008,Register!$A$9:$A$2008,A33))</f>
        <v/>
      </c>
      <c r="E33" s="10" t="str">
        <f aca="false">IF(A33="","",IF(ABS(C33-D33)&lt;0.5,"Yes","No"))</f>
        <v/>
      </c>
      <c r="F33" s="21" t="str">
        <f aca="false">IF(A33="","",COUNTIF(Register!$A$9:$A$2008,A33))</f>
        <v/>
      </c>
      <c r="G33" s="21" t="str">
        <f aca="false">IF(A33="","",COUNTIFS(Register!$A$9:$A$2008,A33,Register!$L$9:$L$2008,"?*"))</f>
        <v/>
      </c>
      <c r="H33" s="10" t="str">
        <f aca="false">IF(A33="","",INDEX(Register!$H$9:$H$2008,MATCH(A33,Register!$A$9:$A$2008,0)))</f>
        <v/>
      </c>
      <c r="I33" s="10" t="str">
        <f aca="false">IF(A33="","",INDEX(Register!$I$9:$I$2008,MATCH(A33,Register!$A$9:$A$2008,0))&amp;"")</f>
        <v/>
      </c>
      <c r="J33" s="8"/>
    </row>
    <row r="34" customFormat="false" ht="15" hidden="false" customHeight="false" outlineLevel="0" collapsed="false">
      <c r="A34" s="10" t="str">
        <f aca="false">IFERROR(INDEX(Register!$A$9:$A$2008,MATCH(26,Register!$M$9:$M$2008,0)),"")</f>
        <v/>
      </c>
      <c r="B34" s="22" t="str">
        <f aca="false">IF(A34="","",INDEX(Register!$B$9:$B$2008,MATCH(A34,Register!$A$9:$A$2008,0)))</f>
        <v/>
      </c>
      <c r="C34" s="23" t="str">
        <f aca="false">IF(A34="","",SUMIFS(Register!$E$9:$E$2008,Register!$A$9:$A$2008,A34))</f>
        <v/>
      </c>
      <c r="D34" s="23" t="str">
        <f aca="false">IF(A34="","",SUMIFS(Register!$F$9:$F$2008,Register!$A$9:$A$2008,A34))</f>
        <v/>
      </c>
      <c r="E34" s="10" t="str">
        <f aca="false">IF(A34="","",IF(ABS(C34-D34)&lt;0.5,"Yes","No"))</f>
        <v/>
      </c>
      <c r="F34" s="21" t="str">
        <f aca="false">IF(A34="","",COUNTIF(Register!$A$9:$A$2008,A34))</f>
        <v/>
      </c>
      <c r="G34" s="21" t="str">
        <f aca="false">IF(A34="","",COUNTIFS(Register!$A$9:$A$2008,A34,Register!$L$9:$L$2008,"?*"))</f>
        <v/>
      </c>
      <c r="H34" s="10" t="str">
        <f aca="false">IF(A34="","",INDEX(Register!$H$9:$H$2008,MATCH(A34,Register!$A$9:$A$2008,0)))</f>
        <v/>
      </c>
      <c r="I34" s="10" t="str">
        <f aca="false">IF(A34="","",INDEX(Register!$I$9:$I$2008,MATCH(A34,Register!$A$9:$A$2008,0))&amp;"")</f>
        <v/>
      </c>
      <c r="J34" s="8"/>
    </row>
    <row r="35" customFormat="false" ht="15" hidden="false" customHeight="false" outlineLevel="0" collapsed="false">
      <c r="A35" s="10" t="str">
        <f aca="false">IFERROR(INDEX(Register!$A$9:$A$2008,MATCH(27,Register!$M$9:$M$2008,0)),"")</f>
        <v/>
      </c>
      <c r="B35" s="22" t="str">
        <f aca="false">IF(A35="","",INDEX(Register!$B$9:$B$2008,MATCH(A35,Register!$A$9:$A$2008,0)))</f>
        <v/>
      </c>
      <c r="C35" s="23" t="str">
        <f aca="false">IF(A35="","",SUMIFS(Register!$E$9:$E$2008,Register!$A$9:$A$2008,A35))</f>
        <v/>
      </c>
      <c r="D35" s="23" t="str">
        <f aca="false">IF(A35="","",SUMIFS(Register!$F$9:$F$2008,Register!$A$9:$A$2008,A35))</f>
        <v/>
      </c>
      <c r="E35" s="10" t="str">
        <f aca="false">IF(A35="","",IF(ABS(C35-D35)&lt;0.5,"Yes","No"))</f>
        <v/>
      </c>
      <c r="F35" s="21" t="str">
        <f aca="false">IF(A35="","",COUNTIF(Register!$A$9:$A$2008,A35))</f>
        <v/>
      </c>
      <c r="G35" s="21" t="str">
        <f aca="false">IF(A35="","",COUNTIFS(Register!$A$9:$A$2008,A35,Register!$L$9:$L$2008,"?*"))</f>
        <v/>
      </c>
      <c r="H35" s="10" t="str">
        <f aca="false">IF(A35="","",INDEX(Register!$H$9:$H$2008,MATCH(A35,Register!$A$9:$A$2008,0)))</f>
        <v/>
      </c>
      <c r="I35" s="10" t="str">
        <f aca="false">IF(A35="","",INDEX(Register!$I$9:$I$2008,MATCH(A35,Register!$A$9:$A$2008,0))&amp;"")</f>
        <v/>
      </c>
      <c r="J35" s="8"/>
    </row>
    <row r="36" customFormat="false" ht="15" hidden="false" customHeight="false" outlineLevel="0" collapsed="false">
      <c r="A36" s="10" t="str">
        <f aca="false">IFERROR(INDEX(Register!$A$9:$A$2008,MATCH(28,Register!$M$9:$M$2008,0)),"")</f>
        <v/>
      </c>
      <c r="B36" s="22" t="str">
        <f aca="false">IF(A36="","",INDEX(Register!$B$9:$B$2008,MATCH(A36,Register!$A$9:$A$2008,0)))</f>
        <v/>
      </c>
      <c r="C36" s="23" t="str">
        <f aca="false">IF(A36="","",SUMIFS(Register!$E$9:$E$2008,Register!$A$9:$A$2008,A36))</f>
        <v/>
      </c>
      <c r="D36" s="23" t="str">
        <f aca="false">IF(A36="","",SUMIFS(Register!$F$9:$F$2008,Register!$A$9:$A$2008,A36))</f>
        <v/>
      </c>
      <c r="E36" s="10" t="str">
        <f aca="false">IF(A36="","",IF(ABS(C36-D36)&lt;0.5,"Yes","No"))</f>
        <v/>
      </c>
      <c r="F36" s="21" t="str">
        <f aca="false">IF(A36="","",COUNTIF(Register!$A$9:$A$2008,A36))</f>
        <v/>
      </c>
      <c r="G36" s="21" t="str">
        <f aca="false">IF(A36="","",COUNTIFS(Register!$A$9:$A$2008,A36,Register!$L$9:$L$2008,"?*"))</f>
        <v/>
      </c>
      <c r="H36" s="10" t="str">
        <f aca="false">IF(A36="","",INDEX(Register!$H$9:$H$2008,MATCH(A36,Register!$A$9:$A$2008,0)))</f>
        <v/>
      </c>
      <c r="I36" s="10" t="str">
        <f aca="false">IF(A36="","",INDEX(Register!$I$9:$I$2008,MATCH(A36,Register!$A$9:$A$2008,0))&amp;"")</f>
        <v/>
      </c>
      <c r="J36" s="8"/>
    </row>
    <row r="37" customFormat="false" ht="15" hidden="false" customHeight="false" outlineLevel="0" collapsed="false">
      <c r="A37" s="10" t="str">
        <f aca="false">IFERROR(INDEX(Register!$A$9:$A$2008,MATCH(29,Register!$M$9:$M$2008,0)),"")</f>
        <v/>
      </c>
      <c r="B37" s="22" t="str">
        <f aca="false">IF(A37="","",INDEX(Register!$B$9:$B$2008,MATCH(A37,Register!$A$9:$A$2008,0)))</f>
        <v/>
      </c>
      <c r="C37" s="23" t="str">
        <f aca="false">IF(A37="","",SUMIFS(Register!$E$9:$E$2008,Register!$A$9:$A$2008,A37))</f>
        <v/>
      </c>
      <c r="D37" s="23" t="str">
        <f aca="false">IF(A37="","",SUMIFS(Register!$F$9:$F$2008,Register!$A$9:$A$2008,A37))</f>
        <v/>
      </c>
      <c r="E37" s="10" t="str">
        <f aca="false">IF(A37="","",IF(ABS(C37-D37)&lt;0.5,"Yes","No"))</f>
        <v/>
      </c>
      <c r="F37" s="21" t="str">
        <f aca="false">IF(A37="","",COUNTIF(Register!$A$9:$A$2008,A37))</f>
        <v/>
      </c>
      <c r="G37" s="21" t="str">
        <f aca="false">IF(A37="","",COUNTIFS(Register!$A$9:$A$2008,A37,Register!$L$9:$L$2008,"?*"))</f>
        <v/>
      </c>
      <c r="H37" s="10" t="str">
        <f aca="false">IF(A37="","",INDEX(Register!$H$9:$H$2008,MATCH(A37,Register!$A$9:$A$2008,0)))</f>
        <v/>
      </c>
      <c r="I37" s="10" t="str">
        <f aca="false">IF(A37="","",INDEX(Register!$I$9:$I$2008,MATCH(A37,Register!$A$9:$A$2008,0))&amp;"")</f>
        <v/>
      </c>
      <c r="J37" s="8"/>
    </row>
    <row r="38" customFormat="false" ht="15" hidden="false" customHeight="false" outlineLevel="0" collapsed="false">
      <c r="A38" s="10" t="str">
        <f aca="false">IFERROR(INDEX(Register!$A$9:$A$2008,MATCH(30,Register!$M$9:$M$2008,0)),"")</f>
        <v/>
      </c>
      <c r="B38" s="22" t="str">
        <f aca="false">IF(A38="","",INDEX(Register!$B$9:$B$2008,MATCH(A38,Register!$A$9:$A$2008,0)))</f>
        <v/>
      </c>
      <c r="C38" s="23" t="str">
        <f aca="false">IF(A38="","",SUMIFS(Register!$E$9:$E$2008,Register!$A$9:$A$2008,A38))</f>
        <v/>
      </c>
      <c r="D38" s="23" t="str">
        <f aca="false">IF(A38="","",SUMIFS(Register!$F$9:$F$2008,Register!$A$9:$A$2008,A38))</f>
        <v/>
      </c>
      <c r="E38" s="10" t="str">
        <f aca="false">IF(A38="","",IF(ABS(C38-D38)&lt;0.5,"Yes","No"))</f>
        <v/>
      </c>
      <c r="F38" s="21" t="str">
        <f aca="false">IF(A38="","",COUNTIF(Register!$A$9:$A$2008,A38))</f>
        <v/>
      </c>
      <c r="G38" s="21" t="str">
        <f aca="false">IF(A38="","",COUNTIFS(Register!$A$9:$A$2008,A38,Register!$L$9:$L$2008,"?*"))</f>
        <v/>
      </c>
      <c r="H38" s="10" t="str">
        <f aca="false">IF(A38="","",INDEX(Register!$H$9:$H$2008,MATCH(A38,Register!$A$9:$A$2008,0)))</f>
        <v/>
      </c>
      <c r="I38" s="10" t="str">
        <f aca="false">IF(A38="","",INDEX(Register!$I$9:$I$2008,MATCH(A38,Register!$A$9:$A$2008,0))&amp;"")</f>
        <v/>
      </c>
      <c r="J38" s="8"/>
    </row>
    <row r="39" customFormat="false" ht="15" hidden="false" customHeight="false" outlineLevel="0" collapsed="false">
      <c r="A39" s="10" t="str">
        <f aca="false">IFERROR(INDEX(Register!$A$9:$A$2008,MATCH(31,Register!$M$9:$M$2008,0)),"")</f>
        <v/>
      </c>
      <c r="B39" s="22" t="str">
        <f aca="false">IF(A39="","",INDEX(Register!$B$9:$B$2008,MATCH(A39,Register!$A$9:$A$2008,0)))</f>
        <v/>
      </c>
      <c r="C39" s="23" t="str">
        <f aca="false">IF(A39="","",SUMIFS(Register!$E$9:$E$2008,Register!$A$9:$A$2008,A39))</f>
        <v/>
      </c>
      <c r="D39" s="23" t="str">
        <f aca="false">IF(A39="","",SUMIFS(Register!$F$9:$F$2008,Register!$A$9:$A$2008,A39))</f>
        <v/>
      </c>
      <c r="E39" s="10" t="str">
        <f aca="false">IF(A39="","",IF(ABS(C39-D39)&lt;0.5,"Yes","No"))</f>
        <v/>
      </c>
      <c r="F39" s="21" t="str">
        <f aca="false">IF(A39="","",COUNTIF(Register!$A$9:$A$2008,A39))</f>
        <v/>
      </c>
      <c r="G39" s="21" t="str">
        <f aca="false">IF(A39="","",COUNTIFS(Register!$A$9:$A$2008,A39,Register!$L$9:$L$2008,"?*"))</f>
        <v/>
      </c>
      <c r="H39" s="10" t="str">
        <f aca="false">IF(A39="","",INDEX(Register!$H$9:$H$2008,MATCH(A39,Register!$A$9:$A$2008,0)))</f>
        <v/>
      </c>
      <c r="I39" s="10" t="str">
        <f aca="false">IF(A39="","",INDEX(Register!$I$9:$I$2008,MATCH(A39,Register!$A$9:$A$2008,0))&amp;"")</f>
        <v/>
      </c>
      <c r="J39" s="8"/>
    </row>
    <row r="40" customFormat="false" ht="15" hidden="false" customHeight="false" outlineLevel="0" collapsed="false">
      <c r="A40" s="10" t="str">
        <f aca="false">IFERROR(INDEX(Register!$A$9:$A$2008,MATCH(32,Register!$M$9:$M$2008,0)),"")</f>
        <v/>
      </c>
      <c r="B40" s="22" t="str">
        <f aca="false">IF(A40="","",INDEX(Register!$B$9:$B$2008,MATCH(A40,Register!$A$9:$A$2008,0)))</f>
        <v/>
      </c>
      <c r="C40" s="23" t="str">
        <f aca="false">IF(A40="","",SUMIFS(Register!$E$9:$E$2008,Register!$A$9:$A$2008,A40))</f>
        <v/>
      </c>
      <c r="D40" s="23" t="str">
        <f aca="false">IF(A40="","",SUMIFS(Register!$F$9:$F$2008,Register!$A$9:$A$2008,A40))</f>
        <v/>
      </c>
      <c r="E40" s="10" t="str">
        <f aca="false">IF(A40="","",IF(ABS(C40-D40)&lt;0.5,"Yes","No"))</f>
        <v/>
      </c>
      <c r="F40" s="21" t="str">
        <f aca="false">IF(A40="","",COUNTIF(Register!$A$9:$A$2008,A40))</f>
        <v/>
      </c>
      <c r="G40" s="21" t="str">
        <f aca="false">IF(A40="","",COUNTIFS(Register!$A$9:$A$2008,A40,Register!$L$9:$L$2008,"?*"))</f>
        <v/>
      </c>
      <c r="H40" s="10" t="str">
        <f aca="false">IF(A40="","",INDEX(Register!$H$9:$H$2008,MATCH(A40,Register!$A$9:$A$2008,0)))</f>
        <v/>
      </c>
      <c r="I40" s="10" t="str">
        <f aca="false">IF(A40="","",INDEX(Register!$I$9:$I$2008,MATCH(A40,Register!$A$9:$A$2008,0))&amp;"")</f>
        <v/>
      </c>
      <c r="J40" s="8"/>
    </row>
    <row r="41" customFormat="false" ht="15" hidden="false" customHeight="false" outlineLevel="0" collapsed="false">
      <c r="A41" s="10" t="str">
        <f aca="false">IFERROR(INDEX(Register!$A$9:$A$2008,MATCH(33,Register!$M$9:$M$2008,0)),"")</f>
        <v/>
      </c>
      <c r="B41" s="22" t="str">
        <f aca="false">IF(A41="","",INDEX(Register!$B$9:$B$2008,MATCH(A41,Register!$A$9:$A$2008,0)))</f>
        <v/>
      </c>
      <c r="C41" s="23" t="str">
        <f aca="false">IF(A41="","",SUMIFS(Register!$E$9:$E$2008,Register!$A$9:$A$2008,A41))</f>
        <v/>
      </c>
      <c r="D41" s="23" t="str">
        <f aca="false">IF(A41="","",SUMIFS(Register!$F$9:$F$2008,Register!$A$9:$A$2008,A41))</f>
        <v/>
      </c>
      <c r="E41" s="10" t="str">
        <f aca="false">IF(A41="","",IF(ABS(C41-D41)&lt;0.5,"Yes","No"))</f>
        <v/>
      </c>
      <c r="F41" s="21" t="str">
        <f aca="false">IF(A41="","",COUNTIF(Register!$A$9:$A$2008,A41))</f>
        <v/>
      </c>
      <c r="G41" s="21" t="str">
        <f aca="false">IF(A41="","",COUNTIFS(Register!$A$9:$A$2008,A41,Register!$L$9:$L$2008,"?*"))</f>
        <v/>
      </c>
      <c r="H41" s="10" t="str">
        <f aca="false">IF(A41="","",INDEX(Register!$H$9:$H$2008,MATCH(A41,Register!$A$9:$A$2008,0)))</f>
        <v/>
      </c>
      <c r="I41" s="10" t="str">
        <f aca="false">IF(A41="","",INDEX(Register!$I$9:$I$2008,MATCH(A41,Register!$A$9:$A$2008,0))&amp;"")</f>
        <v/>
      </c>
      <c r="J41" s="8"/>
    </row>
    <row r="42" customFormat="false" ht="15" hidden="false" customHeight="false" outlineLevel="0" collapsed="false">
      <c r="A42" s="10" t="str">
        <f aca="false">IFERROR(INDEX(Register!$A$9:$A$2008,MATCH(34,Register!$M$9:$M$2008,0)),"")</f>
        <v/>
      </c>
      <c r="B42" s="22" t="str">
        <f aca="false">IF(A42="","",INDEX(Register!$B$9:$B$2008,MATCH(A42,Register!$A$9:$A$2008,0)))</f>
        <v/>
      </c>
      <c r="C42" s="23" t="str">
        <f aca="false">IF(A42="","",SUMIFS(Register!$E$9:$E$2008,Register!$A$9:$A$2008,A42))</f>
        <v/>
      </c>
      <c r="D42" s="23" t="str">
        <f aca="false">IF(A42="","",SUMIFS(Register!$F$9:$F$2008,Register!$A$9:$A$2008,A42))</f>
        <v/>
      </c>
      <c r="E42" s="10" t="str">
        <f aca="false">IF(A42="","",IF(ABS(C42-D42)&lt;0.5,"Yes","No"))</f>
        <v/>
      </c>
      <c r="F42" s="21" t="str">
        <f aca="false">IF(A42="","",COUNTIF(Register!$A$9:$A$2008,A42))</f>
        <v/>
      </c>
      <c r="G42" s="21" t="str">
        <f aca="false">IF(A42="","",COUNTIFS(Register!$A$9:$A$2008,A42,Register!$L$9:$L$2008,"?*"))</f>
        <v/>
      </c>
      <c r="H42" s="10" t="str">
        <f aca="false">IF(A42="","",INDEX(Register!$H$9:$H$2008,MATCH(A42,Register!$A$9:$A$2008,0)))</f>
        <v/>
      </c>
      <c r="I42" s="10" t="str">
        <f aca="false">IF(A42="","",INDEX(Register!$I$9:$I$2008,MATCH(A42,Register!$A$9:$A$2008,0))&amp;"")</f>
        <v/>
      </c>
      <c r="J42" s="8"/>
    </row>
    <row r="43" customFormat="false" ht="15" hidden="false" customHeight="false" outlineLevel="0" collapsed="false">
      <c r="A43" s="10" t="str">
        <f aca="false">IFERROR(INDEX(Register!$A$9:$A$2008,MATCH(35,Register!$M$9:$M$2008,0)),"")</f>
        <v/>
      </c>
      <c r="B43" s="22" t="str">
        <f aca="false">IF(A43="","",INDEX(Register!$B$9:$B$2008,MATCH(A43,Register!$A$9:$A$2008,0)))</f>
        <v/>
      </c>
      <c r="C43" s="23" t="str">
        <f aca="false">IF(A43="","",SUMIFS(Register!$E$9:$E$2008,Register!$A$9:$A$2008,A43))</f>
        <v/>
      </c>
      <c r="D43" s="23" t="str">
        <f aca="false">IF(A43="","",SUMIFS(Register!$F$9:$F$2008,Register!$A$9:$A$2008,A43))</f>
        <v/>
      </c>
      <c r="E43" s="10" t="str">
        <f aca="false">IF(A43="","",IF(ABS(C43-D43)&lt;0.5,"Yes","No"))</f>
        <v/>
      </c>
      <c r="F43" s="21" t="str">
        <f aca="false">IF(A43="","",COUNTIF(Register!$A$9:$A$2008,A43))</f>
        <v/>
      </c>
      <c r="G43" s="21" t="str">
        <f aca="false">IF(A43="","",COUNTIFS(Register!$A$9:$A$2008,A43,Register!$L$9:$L$2008,"?*"))</f>
        <v/>
      </c>
      <c r="H43" s="10" t="str">
        <f aca="false">IF(A43="","",INDEX(Register!$H$9:$H$2008,MATCH(A43,Register!$A$9:$A$2008,0)))</f>
        <v/>
      </c>
      <c r="I43" s="10" t="str">
        <f aca="false">IF(A43="","",INDEX(Register!$I$9:$I$2008,MATCH(A43,Register!$A$9:$A$2008,0))&amp;"")</f>
        <v/>
      </c>
      <c r="J43" s="8"/>
    </row>
    <row r="44" customFormat="false" ht="15" hidden="false" customHeight="false" outlineLevel="0" collapsed="false">
      <c r="A44" s="10" t="str">
        <f aca="false">IFERROR(INDEX(Register!$A$9:$A$2008,MATCH(36,Register!$M$9:$M$2008,0)),"")</f>
        <v/>
      </c>
      <c r="B44" s="22" t="str">
        <f aca="false">IF(A44="","",INDEX(Register!$B$9:$B$2008,MATCH(A44,Register!$A$9:$A$2008,0)))</f>
        <v/>
      </c>
      <c r="C44" s="23" t="str">
        <f aca="false">IF(A44="","",SUMIFS(Register!$E$9:$E$2008,Register!$A$9:$A$2008,A44))</f>
        <v/>
      </c>
      <c r="D44" s="23" t="str">
        <f aca="false">IF(A44="","",SUMIFS(Register!$F$9:$F$2008,Register!$A$9:$A$2008,A44))</f>
        <v/>
      </c>
      <c r="E44" s="10" t="str">
        <f aca="false">IF(A44="","",IF(ABS(C44-D44)&lt;0.5,"Yes","No"))</f>
        <v/>
      </c>
      <c r="F44" s="21" t="str">
        <f aca="false">IF(A44="","",COUNTIF(Register!$A$9:$A$2008,A44))</f>
        <v/>
      </c>
      <c r="G44" s="21" t="str">
        <f aca="false">IF(A44="","",COUNTIFS(Register!$A$9:$A$2008,A44,Register!$L$9:$L$2008,"?*"))</f>
        <v/>
      </c>
      <c r="H44" s="10" t="str">
        <f aca="false">IF(A44="","",INDEX(Register!$H$9:$H$2008,MATCH(A44,Register!$A$9:$A$2008,0)))</f>
        <v/>
      </c>
      <c r="I44" s="10" t="str">
        <f aca="false">IF(A44="","",INDEX(Register!$I$9:$I$2008,MATCH(A44,Register!$A$9:$A$2008,0))&amp;"")</f>
        <v/>
      </c>
      <c r="J44" s="8"/>
    </row>
    <row r="45" customFormat="false" ht="15" hidden="false" customHeight="false" outlineLevel="0" collapsed="false">
      <c r="A45" s="10" t="str">
        <f aca="false">IFERROR(INDEX(Register!$A$9:$A$2008,MATCH(37,Register!$M$9:$M$2008,0)),"")</f>
        <v/>
      </c>
      <c r="B45" s="22" t="str">
        <f aca="false">IF(A45="","",INDEX(Register!$B$9:$B$2008,MATCH(A45,Register!$A$9:$A$2008,0)))</f>
        <v/>
      </c>
      <c r="C45" s="23" t="str">
        <f aca="false">IF(A45="","",SUMIFS(Register!$E$9:$E$2008,Register!$A$9:$A$2008,A45))</f>
        <v/>
      </c>
      <c r="D45" s="23" t="str">
        <f aca="false">IF(A45="","",SUMIFS(Register!$F$9:$F$2008,Register!$A$9:$A$2008,A45))</f>
        <v/>
      </c>
      <c r="E45" s="10" t="str">
        <f aca="false">IF(A45="","",IF(ABS(C45-D45)&lt;0.5,"Yes","No"))</f>
        <v/>
      </c>
      <c r="F45" s="21" t="str">
        <f aca="false">IF(A45="","",COUNTIF(Register!$A$9:$A$2008,A45))</f>
        <v/>
      </c>
      <c r="G45" s="21" t="str">
        <f aca="false">IF(A45="","",COUNTIFS(Register!$A$9:$A$2008,A45,Register!$L$9:$L$2008,"?*"))</f>
        <v/>
      </c>
      <c r="H45" s="10" t="str">
        <f aca="false">IF(A45="","",INDEX(Register!$H$9:$H$2008,MATCH(A45,Register!$A$9:$A$2008,0)))</f>
        <v/>
      </c>
      <c r="I45" s="10" t="str">
        <f aca="false">IF(A45="","",INDEX(Register!$I$9:$I$2008,MATCH(A45,Register!$A$9:$A$2008,0))&amp;"")</f>
        <v/>
      </c>
      <c r="J45" s="8"/>
    </row>
    <row r="46" customFormat="false" ht="15" hidden="false" customHeight="false" outlineLevel="0" collapsed="false">
      <c r="A46" s="10" t="str">
        <f aca="false">IFERROR(INDEX(Register!$A$9:$A$2008,MATCH(38,Register!$M$9:$M$2008,0)),"")</f>
        <v/>
      </c>
      <c r="B46" s="22" t="str">
        <f aca="false">IF(A46="","",INDEX(Register!$B$9:$B$2008,MATCH(A46,Register!$A$9:$A$2008,0)))</f>
        <v/>
      </c>
      <c r="C46" s="23" t="str">
        <f aca="false">IF(A46="","",SUMIFS(Register!$E$9:$E$2008,Register!$A$9:$A$2008,A46))</f>
        <v/>
      </c>
      <c r="D46" s="23" t="str">
        <f aca="false">IF(A46="","",SUMIFS(Register!$F$9:$F$2008,Register!$A$9:$A$2008,A46))</f>
        <v/>
      </c>
      <c r="E46" s="10" t="str">
        <f aca="false">IF(A46="","",IF(ABS(C46-D46)&lt;0.5,"Yes","No"))</f>
        <v/>
      </c>
      <c r="F46" s="21" t="str">
        <f aca="false">IF(A46="","",COUNTIF(Register!$A$9:$A$2008,A46))</f>
        <v/>
      </c>
      <c r="G46" s="21" t="str">
        <f aca="false">IF(A46="","",COUNTIFS(Register!$A$9:$A$2008,A46,Register!$L$9:$L$2008,"?*"))</f>
        <v/>
      </c>
      <c r="H46" s="10" t="str">
        <f aca="false">IF(A46="","",INDEX(Register!$H$9:$H$2008,MATCH(A46,Register!$A$9:$A$2008,0)))</f>
        <v/>
      </c>
      <c r="I46" s="10" t="str">
        <f aca="false">IF(A46="","",INDEX(Register!$I$9:$I$2008,MATCH(A46,Register!$A$9:$A$2008,0))&amp;"")</f>
        <v/>
      </c>
      <c r="J46" s="8"/>
    </row>
    <row r="47" customFormat="false" ht="15" hidden="false" customHeight="false" outlineLevel="0" collapsed="false">
      <c r="A47" s="10" t="str">
        <f aca="false">IFERROR(INDEX(Register!$A$9:$A$2008,MATCH(39,Register!$M$9:$M$2008,0)),"")</f>
        <v/>
      </c>
      <c r="B47" s="22" t="str">
        <f aca="false">IF(A47="","",INDEX(Register!$B$9:$B$2008,MATCH(A47,Register!$A$9:$A$2008,0)))</f>
        <v/>
      </c>
      <c r="C47" s="23" t="str">
        <f aca="false">IF(A47="","",SUMIFS(Register!$E$9:$E$2008,Register!$A$9:$A$2008,A47))</f>
        <v/>
      </c>
      <c r="D47" s="23" t="str">
        <f aca="false">IF(A47="","",SUMIFS(Register!$F$9:$F$2008,Register!$A$9:$A$2008,A47))</f>
        <v/>
      </c>
      <c r="E47" s="10" t="str">
        <f aca="false">IF(A47="","",IF(ABS(C47-D47)&lt;0.5,"Yes","No"))</f>
        <v/>
      </c>
      <c r="F47" s="21" t="str">
        <f aca="false">IF(A47="","",COUNTIF(Register!$A$9:$A$2008,A47))</f>
        <v/>
      </c>
      <c r="G47" s="21" t="str">
        <f aca="false">IF(A47="","",COUNTIFS(Register!$A$9:$A$2008,A47,Register!$L$9:$L$2008,"?*"))</f>
        <v/>
      </c>
      <c r="H47" s="10" t="str">
        <f aca="false">IF(A47="","",INDEX(Register!$H$9:$H$2008,MATCH(A47,Register!$A$9:$A$2008,0)))</f>
        <v/>
      </c>
      <c r="I47" s="10" t="str">
        <f aca="false">IF(A47="","",INDEX(Register!$I$9:$I$2008,MATCH(A47,Register!$A$9:$A$2008,0))&amp;"")</f>
        <v/>
      </c>
      <c r="J47" s="8"/>
    </row>
    <row r="48" customFormat="false" ht="15" hidden="false" customHeight="false" outlineLevel="0" collapsed="false">
      <c r="A48" s="10" t="str">
        <f aca="false">IFERROR(INDEX(Register!$A$9:$A$2008,MATCH(40,Register!$M$9:$M$2008,0)),"")</f>
        <v/>
      </c>
      <c r="B48" s="22" t="str">
        <f aca="false">IF(A48="","",INDEX(Register!$B$9:$B$2008,MATCH(A48,Register!$A$9:$A$2008,0)))</f>
        <v/>
      </c>
      <c r="C48" s="23" t="str">
        <f aca="false">IF(A48="","",SUMIFS(Register!$E$9:$E$2008,Register!$A$9:$A$2008,A48))</f>
        <v/>
      </c>
      <c r="D48" s="23" t="str">
        <f aca="false">IF(A48="","",SUMIFS(Register!$F$9:$F$2008,Register!$A$9:$A$2008,A48))</f>
        <v/>
      </c>
      <c r="E48" s="10" t="str">
        <f aca="false">IF(A48="","",IF(ABS(C48-D48)&lt;0.5,"Yes","No"))</f>
        <v/>
      </c>
      <c r="F48" s="21" t="str">
        <f aca="false">IF(A48="","",COUNTIF(Register!$A$9:$A$2008,A48))</f>
        <v/>
      </c>
      <c r="G48" s="21" t="str">
        <f aca="false">IF(A48="","",COUNTIFS(Register!$A$9:$A$2008,A48,Register!$L$9:$L$2008,"?*"))</f>
        <v/>
      </c>
      <c r="H48" s="10" t="str">
        <f aca="false">IF(A48="","",INDEX(Register!$H$9:$H$2008,MATCH(A48,Register!$A$9:$A$2008,0)))</f>
        <v/>
      </c>
      <c r="I48" s="10" t="str">
        <f aca="false">IF(A48="","",INDEX(Register!$I$9:$I$2008,MATCH(A48,Register!$A$9:$A$2008,0))&amp;"")</f>
        <v/>
      </c>
      <c r="J48" s="8"/>
    </row>
    <row r="49" customFormat="false" ht="15" hidden="false" customHeight="false" outlineLevel="0" collapsed="false">
      <c r="A49" s="10" t="str">
        <f aca="false">IFERROR(INDEX(Register!$A$9:$A$2008,MATCH(41,Register!$M$9:$M$2008,0)),"")</f>
        <v/>
      </c>
      <c r="B49" s="22" t="str">
        <f aca="false">IF(A49="","",INDEX(Register!$B$9:$B$2008,MATCH(A49,Register!$A$9:$A$2008,0)))</f>
        <v/>
      </c>
      <c r="C49" s="23" t="str">
        <f aca="false">IF(A49="","",SUMIFS(Register!$E$9:$E$2008,Register!$A$9:$A$2008,A49))</f>
        <v/>
      </c>
      <c r="D49" s="23" t="str">
        <f aca="false">IF(A49="","",SUMIFS(Register!$F$9:$F$2008,Register!$A$9:$A$2008,A49))</f>
        <v/>
      </c>
      <c r="E49" s="10" t="str">
        <f aca="false">IF(A49="","",IF(ABS(C49-D49)&lt;0.5,"Yes","No"))</f>
        <v/>
      </c>
      <c r="F49" s="21" t="str">
        <f aca="false">IF(A49="","",COUNTIF(Register!$A$9:$A$2008,A49))</f>
        <v/>
      </c>
      <c r="G49" s="21" t="str">
        <f aca="false">IF(A49="","",COUNTIFS(Register!$A$9:$A$2008,A49,Register!$L$9:$L$2008,"?*"))</f>
        <v/>
      </c>
      <c r="H49" s="10" t="str">
        <f aca="false">IF(A49="","",INDEX(Register!$H$9:$H$2008,MATCH(A49,Register!$A$9:$A$2008,0)))</f>
        <v/>
      </c>
      <c r="I49" s="10" t="str">
        <f aca="false">IF(A49="","",INDEX(Register!$I$9:$I$2008,MATCH(A49,Register!$A$9:$A$2008,0))&amp;"")</f>
        <v/>
      </c>
      <c r="J49" s="8"/>
    </row>
    <row r="50" customFormat="false" ht="15" hidden="false" customHeight="false" outlineLevel="0" collapsed="false">
      <c r="A50" s="10" t="str">
        <f aca="false">IFERROR(INDEX(Register!$A$9:$A$2008,MATCH(42,Register!$M$9:$M$2008,0)),"")</f>
        <v/>
      </c>
      <c r="B50" s="22" t="str">
        <f aca="false">IF(A50="","",INDEX(Register!$B$9:$B$2008,MATCH(A50,Register!$A$9:$A$2008,0)))</f>
        <v/>
      </c>
      <c r="C50" s="23" t="str">
        <f aca="false">IF(A50="","",SUMIFS(Register!$E$9:$E$2008,Register!$A$9:$A$2008,A50))</f>
        <v/>
      </c>
      <c r="D50" s="23" t="str">
        <f aca="false">IF(A50="","",SUMIFS(Register!$F$9:$F$2008,Register!$A$9:$A$2008,A50))</f>
        <v/>
      </c>
      <c r="E50" s="10" t="str">
        <f aca="false">IF(A50="","",IF(ABS(C50-D50)&lt;0.5,"Yes","No"))</f>
        <v/>
      </c>
      <c r="F50" s="21" t="str">
        <f aca="false">IF(A50="","",COUNTIF(Register!$A$9:$A$2008,A50))</f>
        <v/>
      </c>
      <c r="G50" s="21" t="str">
        <f aca="false">IF(A50="","",COUNTIFS(Register!$A$9:$A$2008,A50,Register!$L$9:$L$2008,"?*"))</f>
        <v/>
      </c>
      <c r="H50" s="10" t="str">
        <f aca="false">IF(A50="","",INDEX(Register!$H$9:$H$2008,MATCH(A50,Register!$A$9:$A$2008,0)))</f>
        <v/>
      </c>
      <c r="I50" s="10" t="str">
        <f aca="false">IF(A50="","",INDEX(Register!$I$9:$I$2008,MATCH(A50,Register!$A$9:$A$2008,0))&amp;"")</f>
        <v/>
      </c>
      <c r="J50" s="8"/>
    </row>
    <row r="51" customFormat="false" ht="15" hidden="false" customHeight="false" outlineLevel="0" collapsed="false">
      <c r="A51" s="10" t="str">
        <f aca="false">IFERROR(INDEX(Register!$A$9:$A$2008,MATCH(43,Register!$M$9:$M$2008,0)),"")</f>
        <v/>
      </c>
      <c r="B51" s="22" t="str">
        <f aca="false">IF(A51="","",INDEX(Register!$B$9:$B$2008,MATCH(A51,Register!$A$9:$A$2008,0)))</f>
        <v/>
      </c>
      <c r="C51" s="23" t="str">
        <f aca="false">IF(A51="","",SUMIFS(Register!$E$9:$E$2008,Register!$A$9:$A$2008,A51))</f>
        <v/>
      </c>
      <c r="D51" s="23" t="str">
        <f aca="false">IF(A51="","",SUMIFS(Register!$F$9:$F$2008,Register!$A$9:$A$2008,A51))</f>
        <v/>
      </c>
      <c r="E51" s="10" t="str">
        <f aca="false">IF(A51="","",IF(ABS(C51-D51)&lt;0.5,"Yes","No"))</f>
        <v/>
      </c>
      <c r="F51" s="21" t="str">
        <f aca="false">IF(A51="","",COUNTIF(Register!$A$9:$A$2008,A51))</f>
        <v/>
      </c>
      <c r="G51" s="21" t="str">
        <f aca="false">IF(A51="","",COUNTIFS(Register!$A$9:$A$2008,A51,Register!$L$9:$L$2008,"?*"))</f>
        <v/>
      </c>
      <c r="H51" s="10" t="str">
        <f aca="false">IF(A51="","",INDEX(Register!$H$9:$H$2008,MATCH(A51,Register!$A$9:$A$2008,0)))</f>
        <v/>
      </c>
      <c r="I51" s="10" t="str">
        <f aca="false">IF(A51="","",INDEX(Register!$I$9:$I$2008,MATCH(A51,Register!$A$9:$A$2008,0))&amp;"")</f>
        <v/>
      </c>
      <c r="J51" s="8"/>
    </row>
    <row r="52" customFormat="false" ht="15" hidden="false" customHeight="false" outlineLevel="0" collapsed="false">
      <c r="A52" s="10" t="str">
        <f aca="false">IFERROR(INDEX(Register!$A$9:$A$2008,MATCH(44,Register!$M$9:$M$2008,0)),"")</f>
        <v/>
      </c>
      <c r="B52" s="22" t="str">
        <f aca="false">IF(A52="","",INDEX(Register!$B$9:$B$2008,MATCH(A52,Register!$A$9:$A$2008,0)))</f>
        <v/>
      </c>
      <c r="C52" s="23" t="str">
        <f aca="false">IF(A52="","",SUMIFS(Register!$E$9:$E$2008,Register!$A$9:$A$2008,A52))</f>
        <v/>
      </c>
      <c r="D52" s="23" t="str">
        <f aca="false">IF(A52="","",SUMIFS(Register!$F$9:$F$2008,Register!$A$9:$A$2008,A52))</f>
        <v/>
      </c>
      <c r="E52" s="10" t="str">
        <f aca="false">IF(A52="","",IF(ABS(C52-D52)&lt;0.5,"Yes","No"))</f>
        <v/>
      </c>
      <c r="F52" s="21" t="str">
        <f aca="false">IF(A52="","",COUNTIF(Register!$A$9:$A$2008,A52))</f>
        <v/>
      </c>
      <c r="G52" s="21" t="str">
        <f aca="false">IF(A52="","",COUNTIFS(Register!$A$9:$A$2008,A52,Register!$L$9:$L$2008,"?*"))</f>
        <v/>
      </c>
      <c r="H52" s="10" t="str">
        <f aca="false">IF(A52="","",INDEX(Register!$H$9:$H$2008,MATCH(A52,Register!$A$9:$A$2008,0)))</f>
        <v/>
      </c>
      <c r="I52" s="10" t="str">
        <f aca="false">IF(A52="","",INDEX(Register!$I$9:$I$2008,MATCH(A52,Register!$A$9:$A$2008,0))&amp;"")</f>
        <v/>
      </c>
      <c r="J52" s="8"/>
    </row>
    <row r="53" customFormat="false" ht="15" hidden="false" customHeight="false" outlineLevel="0" collapsed="false">
      <c r="A53" s="10" t="str">
        <f aca="false">IFERROR(INDEX(Register!$A$9:$A$2008,MATCH(45,Register!$M$9:$M$2008,0)),"")</f>
        <v/>
      </c>
      <c r="B53" s="22" t="str">
        <f aca="false">IF(A53="","",INDEX(Register!$B$9:$B$2008,MATCH(A53,Register!$A$9:$A$2008,0)))</f>
        <v/>
      </c>
      <c r="C53" s="23" t="str">
        <f aca="false">IF(A53="","",SUMIFS(Register!$E$9:$E$2008,Register!$A$9:$A$2008,A53))</f>
        <v/>
      </c>
      <c r="D53" s="23" t="str">
        <f aca="false">IF(A53="","",SUMIFS(Register!$F$9:$F$2008,Register!$A$9:$A$2008,A53))</f>
        <v/>
      </c>
      <c r="E53" s="10" t="str">
        <f aca="false">IF(A53="","",IF(ABS(C53-D53)&lt;0.5,"Yes","No"))</f>
        <v/>
      </c>
      <c r="F53" s="21" t="str">
        <f aca="false">IF(A53="","",COUNTIF(Register!$A$9:$A$2008,A53))</f>
        <v/>
      </c>
      <c r="G53" s="21" t="str">
        <f aca="false">IF(A53="","",COUNTIFS(Register!$A$9:$A$2008,A53,Register!$L$9:$L$2008,"?*"))</f>
        <v/>
      </c>
      <c r="H53" s="10" t="str">
        <f aca="false">IF(A53="","",INDEX(Register!$H$9:$H$2008,MATCH(A53,Register!$A$9:$A$2008,0)))</f>
        <v/>
      </c>
      <c r="I53" s="10" t="str">
        <f aca="false">IF(A53="","",INDEX(Register!$I$9:$I$2008,MATCH(A53,Register!$A$9:$A$2008,0))&amp;"")</f>
        <v/>
      </c>
      <c r="J53" s="8"/>
    </row>
    <row r="54" customFormat="false" ht="15" hidden="false" customHeight="false" outlineLevel="0" collapsed="false">
      <c r="A54" s="10" t="str">
        <f aca="false">IFERROR(INDEX(Register!$A$9:$A$2008,MATCH(46,Register!$M$9:$M$2008,0)),"")</f>
        <v/>
      </c>
      <c r="B54" s="22" t="str">
        <f aca="false">IF(A54="","",INDEX(Register!$B$9:$B$2008,MATCH(A54,Register!$A$9:$A$2008,0)))</f>
        <v/>
      </c>
      <c r="C54" s="23" t="str">
        <f aca="false">IF(A54="","",SUMIFS(Register!$E$9:$E$2008,Register!$A$9:$A$2008,A54))</f>
        <v/>
      </c>
      <c r="D54" s="23" t="str">
        <f aca="false">IF(A54="","",SUMIFS(Register!$F$9:$F$2008,Register!$A$9:$A$2008,A54))</f>
        <v/>
      </c>
      <c r="E54" s="10" t="str">
        <f aca="false">IF(A54="","",IF(ABS(C54-D54)&lt;0.5,"Yes","No"))</f>
        <v/>
      </c>
      <c r="F54" s="21" t="str">
        <f aca="false">IF(A54="","",COUNTIF(Register!$A$9:$A$2008,A54))</f>
        <v/>
      </c>
      <c r="G54" s="21" t="str">
        <f aca="false">IF(A54="","",COUNTIFS(Register!$A$9:$A$2008,A54,Register!$L$9:$L$2008,"?*"))</f>
        <v/>
      </c>
      <c r="H54" s="10" t="str">
        <f aca="false">IF(A54="","",INDEX(Register!$H$9:$H$2008,MATCH(A54,Register!$A$9:$A$2008,0)))</f>
        <v/>
      </c>
      <c r="I54" s="10" t="str">
        <f aca="false">IF(A54="","",INDEX(Register!$I$9:$I$2008,MATCH(A54,Register!$A$9:$A$2008,0))&amp;"")</f>
        <v/>
      </c>
      <c r="J54" s="8"/>
    </row>
    <row r="55" customFormat="false" ht="15" hidden="false" customHeight="false" outlineLevel="0" collapsed="false">
      <c r="A55" s="10" t="str">
        <f aca="false">IFERROR(INDEX(Register!$A$9:$A$2008,MATCH(47,Register!$M$9:$M$2008,0)),"")</f>
        <v/>
      </c>
      <c r="B55" s="22" t="str">
        <f aca="false">IF(A55="","",INDEX(Register!$B$9:$B$2008,MATCH(A55,Register!$A$9:$A$2008,0)))</f>
        <v/>
      </c>
      <c r="C55" s="23" t="str">
        <f aca="false">IF(A55="","",SUMIFS(Register!$E$9:$E$2008,Register!$A$9:$A$2008,A55))</f>
        <v/>
      </c>
      <c r="D55" s="23" t="str">
        <f aca="false">IF(A55="","",SUMIFS(Register!$F$9:$F$2008,Register!$A$9:$A$2008,A55))</f>
        <v/>
      </c>
      <c r="E55" s="10" t="str">
        <f aca="false">IF(A55="","",IF(ABS(C55-D55)&lt;0.5,"Yes","No"))</f>
        <v/>
      </c>
      <c r="F55" s="21" t="str">
        <f aca="false">IF(A55="","",COUNTIF(Register!$A$9:$A$2008,A55))</f>
        <v/>
      </c>
      <c r="G55" s="21" t="str">
        <f aca="false">IF(A55="","",COUNTIFS(Register!$A$9:$A$2008,A55,Register!$L$9:$L$2008,"?*"))</f>
        <v/>
      </c>
      <c r="H55" s="10" t="str">
        <f aca="false">IF(A55="","",INDEX(Register!$H$9:$H$2008,MATCH(A55,Register!$A$9:$A$2008,0)))</f>
        <v/>
      </c>
      <c r="I55" s="10" t="str">
        <f aca="false">IF(A55="","",INDEX(Register!$I$9:$I$2008,MATCH(A55,Register!$A$9:$A$2008,0))&amp;"")</f>
        <v/>
      </c>
      <c r="J55" s="8"/>
    </row>
    <row r="56" customFormat="false" ht="15" hidden="false" customHeight="false" outlineLevel="0" collapsed="false">
      <c r="A56" s="10" t="str">
        <f aca="false">IFERROR(INDEX(Register!$A$9:$A$2008,MATCH(48,Register!$M$9:$M$2008,0)),"")</f>
        <v/>
      </c>
      <c r="B56" s="22" t="str">
        <f aca="false">IF(A56="","",INDEX(Register!$B$9:$B$2008,MATCH(A56,Register!$A$9:$A$2008,0)))</f>
        <v/>
      </c>
      <c r="C56" s="23" t="str">
        <f aca="false">IF(A56="","",SUMIFS(Register!$E$9:$E$2008,Register!$A$9:$A$2008,A56))</f>
        <v/>
      </c>
      <c r="D56" s="23" t="str">
        <f aca="false">IF(A56="","",SUMIFS(Register!$F$9:$F$2008,Register!$A$9:$A$2008,A56))</f>
        <v/>
      </c>
      <c r="E56" s="10" t="str">
        <f aca="false">IF(A56="","",IF(ABS(C56-D56)&lt;0.5,"Yes","No"))</f>
        <v/>
      </c>
      <c r="F56" s="21" t="str">
        <f aca="false">IF(A56="","",COUNTIF(Register!$A$9:$A$2008,A56))</f>
        <v/>
      </c>
      <c r="G56" s="21" t="str">
        <f aca="false">IF(A56="","",COUNTIFS(Register!$A$9:$A$2008,A56,Register!$L$9:$L$2008,"?*"))</f>
        <v/>
      </c>
      <c r="H56" s="10" t="str">
        <f aca="false">IF(A56="","",INDEX(Register!$H$9:$H$2008,MATCH(A56,Register!$A$9:$A$2008,0)))</f>
        <v/>
      </c>
      <c r="I56" s="10" t="str">
        <f aca="false">IF(A56="","",INDEX(Register!$I$9:$I$2008,MATCH(A56,Register!$A$9:$A$2008,0))&amp;"")</f>
        <v/>
      </c>
      <c r="J56" s="8"/>
    </row>
    <row r="57" customFormat="false" ht="15" hidden="false" customHeight="false" outlineLevel="0" collapsed="false">
      <c r="A57" s="10" t="str">
        <f aca="false">IFERROR(INDEX(Register!$A$9:$A$2008,MATCH(49,Register!$M$9:$M$2008,0)),"")</f>
        <v/>
      </c>
      <c r="B57" s="22" t="str">
        <f aca="false">IF(A57="","",INDEX(Register!$B$9:$B$2008,MATCH(A57,Register!$A$9:$A$2008,0)))</f>
        <v/>
      </c>
      <c r="C57" s="23" t="str">
        <f aca="false">IF(A57="","",SUMIFS(Register!$E$9:$E$2008,Register!$A$9:$A$2008,A57))</f>
        <v/>
      </c>
      <c r="D57" s="23" t="str">
        <f aca="false">IF(A57="","",SUMIFS(Register!$F$9:$F$2008,Register!$A$9:$A$2008,A57))</f>
        <v/>
      </c>
      <c r="E57" s="10" t="str">
        <f aca="false">IF(A57="","",IF(ABS(C57-D57)&lt;0.5,"Yes","No"))</f>
        <v/>
      </c>
      <c r="F57" s="21" t="str">
        <f aca="false">IF(A57="","",COUNTIF(Register!$A$9:$A$2008,A57))</f>
        <v/>
      </c>
      <c r="G57" s="21" t="str">
        <f aca="false">IF(A57="","",COUNTIFS(Register!$A$9:$A$2008,A57,Register!$L$9:$L$2008,"?*"))</f>
        <v/>
      </c>
      <c r="H57" s="10" t="str">
        <f aca="false">IF(A57="","",INDEX(Register!$H$9:$H$2008,MATCH(A57,Register!$A$9:$A$2008,0)))</f>
        <v/>
      </c>
      <c r="I57" s="10" t="str">
        <f aca="false">IF(A57="","",INDEX(Register!$I$9:$I$2008,MATCH(A57,Register!$A$9:$A$2008,0))&amp;"")</f>
        <v/>
      </c>
      <c r="J57" s="8"/>
    </row>
    <row r="58" customFormat="false" ht="15" hidden="false" customHeight="false" outlineLevel="0" collapsed="false">
      <c r="A58" s="10" t="str">
        <f aca="false">IFERROR(INDEX(Register!$A$9:$A$2008,MATCH(50,Register!$M$9:$M$2008,0)),"")</f>
        <v/>
      </c>
      <c r="B58" s="22" t="str">
        <f aca="false">IF(A58="","",INDEX(Register!$B$9:$B$2008,MATCH(A58,Register!$A$9:$A$2008,0)))</f>
        <v/>
      </c>
      <c r="C58" s="23" t="str">
        <f aca="false">IF(A58="","",SUMIFS(Register!$E$9:$E$2008,Register!$A$9:$A$2008,A58))</f>
        <v/>
      </c>
      <c r="D58" s="23" t="str">
        <f aca="false">IF(A58="","",SUMIFS(Register!$F$9:$F$2008,Register!$A$9:$A$2008,A58))</f>
        <v/>
      </c>
      <c r="E58" s="10" t="str">
        <f aca="false">IF(A58="","",IF(ABS(C58-D58)&lt;0.5,"Yes","No"))</f>
        <v/>
      </c>
      <c r="F58" s="21" t="str">
        <f aca="false">IF(A58="","",COUNTIF(Register!$A$9:$A$2008,A58))</f>
        <v/>
      </c>
      <c r="G58" s="21" t="str">
        <f aca="false">IF(A58="","",COUNTIFS(Register!$A$9:$A$2008,A58,Register!$L$9:$L$2008,"?*"))</f>
        <v/>
      </c>
      <c r="H58" s="10" t="str">
        <f aca="false">IF(A58="","",INDEX(Register!$H$9:$H$2008,MATCH(A58,Register!$A$9:$A$2008,0)))</f>
        <v/>
      </c>
      <c r="I58" s="10" t="str">
        <f aca="false">IF(A58="","",INDEX(Register!$I$9:$I$2008,MATCH(A58,Register!$A$9:$A$2008,0))&amp;"")</f>
        <v/>
      </c>
      <c r="J58" s="8"/>
    </row>
    <row r="59" customFormat="false" ht="15" hidden="false" customHeight="false" outlineLevel="0" collapsed="false">
      <c r="A59" s="10" t="str">
        <f aca="false">IFERROR(INDEX(Register!$A$9:$A$2008,MATCH(51,Register!$M$9:$M$2008,0)),"")</f>
        <v/>
      </c>
      <c r="B59" s="22" t="str">
        <f aca="false">IF(A59="","",INDEX(Register!$B$9:$B$2008,MATCH(A59,Register!$A$9:$A$2008,0)))</f>
        <v/>
      </c>
      <c r="C59" s="23" t="str">
        <f aca="false">IF(A59="","",SUMIFS(Register!$E$9:$E$2008,Register!$A$9:$A$2008,A59))</f>
        <v/>
      </c>
      <c r="D59" s="23" t="str">
        <f aca="false">IF(A59="","",SUMIFS(Register!$F$9:$F$2008,Register!$A$9:$A$2008,A59))</f>
        <v/>
      </c>
      <c r="E59" s="10" t="str">
        <f aca="false">IF(A59="","",IF(ABS(C59-D59)&lt;0.5,"Yes","No"))</f>
        <v/>
      </c>
      <c r="F59" s="21" t="str">
        <f aca="false">IF(A59="","",COUNTIF(Register!$A$9:$A$2008,A59))</f>
        <v/>
      </c>
      <c r="G59" s="21" t="str">
        <f aca="false">IF(A59="","",COUNTIFS(Register!$A$9:$A$2008,A59,Register!$L$9:$L$2008,"?*"))</f>
        <v/>
      </c>
      <c r="H59" s="10" t="str">
        <f aca="false">IF(A59="","",INDEX(Register!$H$9:$H$2008,MATCH(A59,Register!$A$9:$A$2008,0)))</f>
        <v/>
      </c>
      <c r="I59" s="10" t="str">
        <f aca="false">IF(A59="","",INDEX(Register!$I$9:$I$2008,MATCH(A59,Register!$A$9:$A$2008,0))&amp;"")</f>
        <v/>
      </c>
      <c r="J59" s="8"/>
    </row>
    <row r="60" customFormat="false" ht="15" hidden="false" customHeight="false" outlineLevel="0" collapsed="false">
      <c r="A60" s="10" t="str">
        <f aca="false">IFERROR(INDEX(Register!$A$9:$A$2008,MATCH(52,Register!$M$9:$M$2008,0)),"")</f>
        <v/>
      </c>
      <c r="B60" s="22" t="str">
        <f aca="false">IF(A60="","",INDEX(Register!$B$9:$B$2008,MATCH(A60,Register!$A$9:$A$2008,0)))</f>
        <v/>
      </c>
      <c r="C60" s="23" t="str">
        <f aca="false">IF(A60="","",SUMIFS(Register!$E$9:$E$2008,Register!$A$9:$A$2008,A60))</f>
        <v/>
      </c>
      <c r="D60" s="23" t="str">
        <f aca="false">IF(A60="","",SUMIFS(Register!$F$9:$F$2008,Register!$A$9:$A$2008,A60))</f>
        <v/>
      </c>
      <c r="E60" s="10" t="str">
        <f aca="false">IF(A60="","",IF(ABS(C60-D60)&lt;0.5,"Yes","No"))</f>
        <v/>
      </c>
      <c r="F60" s="21" t="str">
        <f aca="false">IF(A60="","",COUNTIF(Register!$A$9:$A$2008,A60))</f>
        <v/>
      </c>
      <c r="G60" s="21" t="str">
        <f aca="false">IF(A60="","",COUNTIFS(Register!$A$9:$A$2008,A60,Register!$L$9:$L$2008,"?*"))</f>
        <v/>
      </c>
      <c r="H60" s="10" t="str">
        <f aca="false">IF(A60="","",INDEX(Register!$H$9:$H$2008,MATCH(A60,Register!$A$9:$A$2008,0)))</f>
        <v/>
      </c>
      <c r="I60" s="10" t="str">
        <f aca="false">IF(A60="","",INDEX(Register!$I$9:$I$2008,MATCH(A60,Register!$A$9:$A$2008,0))&amp;"")</f>
        <v/>
      </c>
      <c r="J60" s="8"/>
    </row>
    <row r="61" customFormat="false" ht="15" hidden="false" customHeight="false" outlineLevel="0" collapsed="false">
      <c r="A61" s="10" t="str">
        <f aca="false">IFERROR(INDEX(Register!$A$9:$A$2008,MATCH(53,Register!$M$9:$M$2008,0)),"")</f>
        <v/>
      </c>
      <c r="B61" s="22" t="str">
        <f aca="false">IF(A61="","",INDEX(Register!$B$9:$B$2008,MATCH(A61,Register!$A$9:$A$2008,0)))</f>
        <v/>
      </c>
      <c r="C61" s="23" t="str">
        <f aca="false">IF(A61="","",SUMIFS(Register!$E$9:$E$2008,Register!$A$9:$A$2008,A61))</f>
        <v/>
      </c>
      <c r="D61" s="23" t="str">
        <f aca="false">IF(A61="","",SUMIFS(Register!$F$9:$F$2008,Register!$A$9:$A$2008,A61))</f>
        <v/>
      </c>
      <c r="E61" s="10" t="str">
        <f aca="false">IF(A61="","",IF(ABS(C61-D61)&lt;0.5,"Yes","No"))</f>
        <v/>
      </c>
      <c r="F61" s="21" t="str">
        <f aca="false">IF(A61="","",COUNTIF(Register!$A$9:$A$2008,A61))</f>
        <v/>
      </c>
      <c r="G61" s="21" t="str">
        <f aca="false">IF(A61="","",COUNTIFS(Register!$A$9:$A$2008,A61,Register!$L$9:$L$2008,"?*"))</f>
        <v/>
      </c>
      <c r="H61" s="10" t="str">
        <f aca="false">IF(A61="","",INDEX(Register!$H$9:$H$2008,MATCH(A61,Register!$A$9:$A$2008,0)))</f>
        <v/>
      </c>
      <c r="I61" s="10" t="str">
        <f aca="false">IF(A61="","",INDEX(Register!$I$9:$I$2008,MATCH(A61,Register!$A$9:$A$2008,0))&amp;"")</f>
        <v/>
      </c>
      <c r="J61" s="8"/>
    </row>
    <row r="62" customFormat="false" ht="15" hidden="false" customHeight="false" outlineLevel="0" collapsed="false">
      <c r="A62" s="10" t="str">
        <f aca="false">IFERROR(INDEX(Register!$A$9:$A$2008,MATCH(54,Register!$M$9:$M$2008,0)),"")</f>
        <v/>
      </c>
      <c r="B62" s="22" t="str">
        <f aca="false">IF(A62="","",INDEX(Register!$B$9:$B$2008,MATCH(A62,Register!$A$9:$A$2008,0)))</f>
        <v/>
      </c>
      <c r="C62" s="23" t="str">
        <f aca="false">IF(A62="","",SUMIFS(Register!$E$9:$E$2008,Register!$A$9:$A$2008,A62))</f>
        <v/>
      </c>
      <c r="D62" s="23" t="str">
        <f aca="false">IF(A62="","",SUMIFS(Register!$F$9:$F$2008,Register!$A$9:$A$2008,A62))</f>
        <v/>
      </c>
      <c r="E62" s="10" t="str">
        <f aca="false">IF(A62="","",IF(ABS(C62-D62)&lt;0.5,"Yes","No"))</f>
        <v/>
      </c>
      <c r="F62" s="21" t="str">
        <f aca="false">IF(A62="","",COUNTIF(Register!$A$9:$A$2008,A62))</f>
        <v/>
      </c>
      <c r="G62" s="21" t="str">
        <f aca="false">IF(A62="","",COUNTIFS(Register!$A$9:$A$2008,A62,Register!$L$9:$L$2008,"?*"))</f>
        <v/>
      </c>
      <c r="H62" s="10" t="str">
        <f aca="false">IF(A62="","",INDEX(Register!$H$9:$H$2008,MATCH(A62,Register!$A$9:$A$2008,0)))</f>
        <v/>
      </c>
      <c r="I62" s="10" t="str">
        <f aca="false">IF(A62="","",INDEX(Register!$I$9:$I$2008,MATCH(A62,Register!$A$9:$A$2008,0))&amp;"")</f>
        <v/>
      </c>
      <c r="J62" s="8"/>
    </row>
    <row r="63" customFormat="false" ht="15" hidden="false" customHeight="false" outlineLevel="0" collapsed="false">
      <c r="A63" s="10" t="str">
        <f aca="false">IFERROR(INDEX(Register!$A$9:$A$2008,MATCH(55,Register!$M$9:$M$2008,0)),"")</f>
        <v/>
      </c>
      <c r="B63" s="22" t="str">
        <f aca="false">IF(A63="","",INDEX(Register!$B$9:$B$2008,MATCH(A63,Register!$A$9:$A$2008,0)))</f>
        <v/>
      </c>
      <c r="C63" s="23" t="str">
        <f aca="false">IF(A63="","",SUMIFS(Register!$E$9:$E$2008,Register!$A$9:$A$2008,A63))</f>
        <v/>
      </c>
      <c r="D63" s="23" t="str">
        <f aca="false">IF(A63="","",SUMIFS(Register!$F$9:$F$2008,Register!$A$9:$A$2008,A63))</f>
        <v/>
      </c>
      <c r="E63" s="10" t="str">
        <f aca="false">IF(A63="","",IF(ABS(C63-D63)&lt;0.5,"Yes","No"))</f>
        <v/>
      </c>
      <c r="F63" s="21" t="str">
        <f aca="false">IF(A63="","",COUNTIF(Register!$A$9:$A$2008,A63))</f>
        <v/>
      </c>
      <c r="G63" s="21" t="str">
        <f aca="false">IF(A63="","",COUNTIFS(Register!$A$9:$A$2008,A63,Register!$L$9:$L$2008,"?*"))</f>
        <v/>
      </c>
      <c r="H63" s="10" t="str">
        <f aca="false">IF(A63="","",INDEX(Register!$H$9:$H$2008,MATCH(A63,Register!$A$9:$A$2008,0)))</f>
        <v/>
      </c>
      <c r="I63" s="10" t="str">
        <f aca="false">IF(A63="","",INDEX(Register!$I$9:$I$2008,MATCH(A63,Register!$A$9:$A$2008,0))&amp;"")</f>
        <v/>
      </c>
      <c r="J63" s="8"/>
    </row>
    <row r="64" customFormat="false" ht="15" hidden="false" customHeight="false" outlineLevel="0" collapsed="false">
      <c r="A64" s="10" t="str">
        <f aca="false">IFERROR(INDEX(Register!$A$9:$A$2008,MATCH(56,Register!$M$9:$M$2008,0)),"")</f>
        <v/>
      </c>
      <c r="B64" s="22" t="str">
        <f aca="false">IF(A64="","",INDEX(Register!$B$9:$B$2008,MATCH(A64,Register!$A$9:$A$2008,0)))</f>
        <v/>
      </c>
      <c r="C64" s="23" t="str">
        <f aca="false">IF(A64="","",SUMIFS(Register!$E$9:$E$2008,Register!$A$9:$A$2008,A64))</f>
        <v/>
      </c>
      <c r="D64" s="23" t="str">
        <f aca="false">IF(A64="","",SUMIFS(Register!$F$9:$F$2008,Register!$A$9:$A$2008,A64))</f>
        <v/>
      </c>
      <c r="E64" s="10" t="str">
        <f aca="false">IF(A64="","",IF(ABS(C64-D64)&lt;0.5,"Yes","No"))</f>
        <v/>
      </c>
      <c r="F64" s="21" t="str">
        <f aca="false">IF(A64="","",COUNTIF(Register!$A$9:$A$2008,A64))</f>
        <v/>
      </c>
      <c r="G64" s="21" t="str">
        <f aca="false">IF(A64="","",COUNTIFS(Register!$A$9:$A$2008,A64,Register!$L$9:$L$2008,"?*"))</f>
        <v/>
      </c>
      <c r="H64" s="10" t="str">
        <f aca="false">IF(A64="","",INDEX(Register!$H$9:$H$2008,MATCH(A64,Register!$A$9:$A$2008,0)))</f>
        <v/>
      </c>
      <c r="I64" s="10" t="str">
        <f aca="false">IF(A64="","",INDEX(Register!$I$9:$I$2008,MATCH(A64,Register!$A$9:$A$2008,0))&amp;"")</f>
        <v/>
      </c>
      <c r="J64" s="8"/>
    </row>
    <row r="65" customFormat="false" ht="15" hidden="false" customHeight="false" outlineLevel="0" collapsed="false">
      <c r="A65" s="10" t="str">
        <f aca="false">IFERROR(INDEX(Register!$A$9:$A$2008,MATCH(57,Register!$M$9:$M$2008,0)),"")</f>
        <v/>
      </c>
      <c r="B65" s="22" t="str">
        <f aca="false">IF(A65="","",INDEX(Register!$B$9:$B$2008,MATCH(A65,Register!$A$9:$A$2008,0)))</f>
        <v/>
      </c>
      <c r="C65" s="23" t="str">
        <f aca="false">IF(A65="","",SUMIFS(Register!$E$9:$E$2008,Register!$A$9:$A$2008,A65))</f>
        <v/>
      </c>
      <c r="D65" s="23" t="str">
        <f aca="false">IF(A65="","",SUMIFS(Register!$F$9:$F$2008,Register!$A$9:$A$2008,A65))</f>
        <v/>
      </c>
      <c r="E65" s="10" t="str">
        <f aca="false">IF(A65="","",IF(ABS(C65-D65)&lt;0.5,"Yes","No"))</f>
        <v/>
      </c>
      <c r="F65" s="21" t="str">
        <f aca="false">IF(A65="","",COUNTIF(Register!$A$9:$A$2008,A65))</f>
        <v/>
      </c>
      <c r="G65" s="21" t="str">
        <f aca="false">IF(A65="","",COUNTIFS(Register!$A$9:$A$2008,A65,Register!$L$9:$L$2008,"?*"))</f>
        <v/>
      </c>
      <c r="H65" s="10" t="str">
        <f aca="false">IF(A65="","",INDEX(Register!$H$9:$H$2008,MATCH(A65,Register!$A$9:$A$2008,0)))</f>
        <v/>
      </c>
      <c r="I65" s="10" t="str">
        <f aca="false">IF(A65="","",INDEX(Register!$I$9:$I$2008,MATCH(A65,Register!$A$9:$A$2008,0))&amp;"")</f>
        <v/>
      </c>
      <c r="J65" s="8"/>
    </row>
    <row r="66" customFormat="false" ht="15" hidden="false" customHeight="false" outlineLevel="0" collapsed="false">
      <c r="A66" s="10" t="str">
        <f aca="false">IFERROR(INDEX(Register!$A$9:$A$2008,MATCH(58,Register!$M$9:$M$2008,0)),"")</f>
        <v/>
      </c>
      <c r="B66" s="22" t="str">
        <f aca="false">IF(A66="","",INDEX(Register!$B$9:$B$2008,MATCH(A66,Register!$A$9:$A$2008,0)))</f>
        <v/>
      </c>
      <c r="C66" s="23" t="str">
        <f aca="false">IF(A66="","",SUMIFS(Register!$E$9:$E$2008,Register!$A$9:$A$2008,A66))</f>
        <v/>
      </c>
      <c r="D66" s="23" t="str">
        <f aca="false">IF(A66="","",SUMIFS(Register!$F$9:$F$2008,Register!$A$9:$A$2008,A66))</f>
        <v/>
      </c>
      <c r="E66" s="10" t="str">
        <f aca="false">IF(A66="","",IF(ABS(C66-D66)&lt;0.5,"Yes","No"))</f>
        <v/>
      </c>
      <c r="F66" s="21" t="str">
        <f aca="false">IF(A66="","",COUNTIF(Register!$A$9:$A$2008,A66))</f>
        <v/>
      </c>
      <c r="G66" s="21" t="str">
        <f aca="false">IF(A66="","",COUNTIFS(Register!$A$9:$A$2008,A66,Register!$L$9:$L$2008,"?*"))</f>
        <v/>
      </c>
      <c r="H66" s="10" t="str">
        <f aca="false">IF(A66="","",INDEX(Register!$H$9:$H$2008,MATCH(A66,Register!$A$9:$A$2008,0)))</f>
        <v/>
      </c>
      <c r="I66" s="10" t="str">
        <f aca="false">IF(A66="","",INDEX(Register!$I$9:$I$2008,MATCH(A66,Register!$A$9:$A$2008,0))&amp;"")</f>
        <v/>
      </c>
      <c r="J66" s="8"/>
    </row>
    <row r="67" customFormat="false" ht="15" hidden="false" customHeight="false" outlineLevel="0" collapsed="false">
      <c r="A67" s="10" t="str">
        <f aca="false">IFERROR(INDEX(Register!$A$9:$A$2008,MATCH(59,Register!$M$9:$M$2008,0)),"")</f>
        <v/>
      </c>
      <c r="B67" s="22" t="str">
        <f aca="false">IF(A67="","",INDEX(Register!$B$9:$B$2008,MATCH(A67,Register!$A$9:$A$2008,0)))</f>
        <v/>
      </c>
      <c r="C67" s="23" t="str">
        <f aca="false">IF(A67="","",SUMIFS(Register!$E$9:$E$2008,Register!$A$9:$A$2008,A67))</f>
        <v/>
      </c>
      <c r="D67" s="23" t="str">
        <f aca="false">IF(A67="","",SUMIFS(Register!$F$9:$F$2008,Register!$A$9:$A$2008,A67))</f>
        <v/>
      </c>
      <c r="E67" s="10" t="str">
        <f aca="false">IF(A67="","",IF(ABS(C67-D67)&lt;0.5,"Yes","No"))</f>
        <v/>
      </c>
      <c r="F67" s="21" t="str">
        <f aca="false">IF(A67="","",COUNTIF(Register!$A$9:$A$2008,A67))</f>
        <v/>
      </c>
      <c r="G67" s="21" t="str">
        <f aca="false">IF(A67="","",COUNTIFS(Register!$A$9:$A$2008,A67,Register!$L$9:$L$2008,"?*"))</f>
        <v/>
      </c>
      <c r="H67" s="10" t="str">
        <f aca="false">IF(A67="","",INDEX(Register!$H$9:$H$2008,MATCH(A67,Register!$A$9:$A$2008,0)))</f>
        <v/>
      </c>
      <c r="I67" s="10" t="str">
        <f aca="false">IF(A67="","",INDEX(Register!$I$9:$I$2008,MATCH(A67,Register!$A$9:$A$2008,0))&amp;"")</f>
        <v/>
      </c>
      <c r="J67" s="8"/>
    </row>
    <row r="68" customFormat="false" ht="15" hidden="false" customHeight="false" outlineLevel="0" collapsed="false">
      <c r="A68" s="10" t="str">
        <f aca="false">IFERROR(INDEX(Register!$A$9:$A$2008,MATCH(60,Register!$M$9:$M$2008,0)),"")</f>
        <v/>
      </c>
      <c r="B68" s="22" t="str">
        <f aca="false">IF(A68="","",INDEX(Register!$B$9:$B$2008,MATCH(A68,Register!$A$9:$A$2008,0)))</f>
        <v/>
      </c>
      <c r="C68" s="23" t="str">
        <f aca="false">IF(A68="","",SUMIFS(Register!$E$9:$E$2008,Register!$A$9:$A$2008,A68))</f>
        <v/>
      </c>
      <c r="D68" s="23" t="str">
        <f aca="false">IF(A68="","",SUMIFS(Register!$F$9:$F$2008,Register!$A$9:$A$2008,A68))</f>
        <v/>
      </c>
      <c r="E68" s="10" t="str">
        <f aca="false">IF(A68="","",IF(ABS(C68-D68)&lt;0.5,"Yes","No"))</f>
        <v/>
      </c>
      <c r="F68" s="21" t="str">
        <f aca="false">IF(A68="","",COUNTIF(Register!$A$9:$A$2008,A68))</f>
        <v/>
      </c>
      <c r="G68" s="21" t="str">
        <f aca="false">IF(A68="","",COUNTIFS(Register!$A$9:$A$2008,A68,Register!$L$9:$L$2008,"?*"))</f>
        <v/>
      </c>
      <c r="H68" s="10" t="str">
        <f aca="false">IF(A68="","",INDEX(Register!$H$9:$H$2008,MATCH(A68,Register!$A$9:$A$2008,0)))</f>
        <v/>
      </c>
      <c r="I68" s="10" t="str">
        <f aca="false">IF(A68="","",INDEX(Register!$I$9:$I$2008,MATCH(A68,Register!$A$9:$A$2008,0))&amp;"")</f>
        <v/>
      </c>
      <c r="J68" s="8"/>
    </row>
    <row r="69" customFormat="false" ht="15" hidden="false" customHeight="false" outlineLevel="0" collapsed="false">
      <c r="A69" s="10" t="str">
        <f aca="false">IFERROR(INDEX(Register!$A$9:$A$2008,MATCH(61,Register!$M$9:$M$2008,0)),"")</f>
        <v/>
      </c>
      <c r="B69" s="22" t="str">
        <f aca="false">IF(A69="","",INDEX(Register!$B$9:$B$2008,MATCH(A69,Register!$A$9:$A$2008,0)))</f>
        <v/>
      </c>
      <c r="C69" s="23" t="str">
        <f aca="false">IF(A69="","",SUMIFS(Register!$E$9:$E$2008,Register!$A$9:$A$2008,A69))</f>
        <v/>
      </c>
      <c r="D69" s="23" t="str">
        <f aca="false">IF(A69="","",SUMIFS(Register!$F$9:$F$2008,Register!$A$9:$A$2008,A69))</f>
        <v/>
      </c>
      <c r="E69" s="10" t="str">
        <f aca="false">IF(A69="","",IF(ABS(C69-D69)&lt;0.5,"Yes","No"))</f>
        <v/>
      </c>
      <c r="F69" s="21" t="str">
        <f aca="false">IF(A69="","",COUNTIF(Register!$A$9:$A$2008,A69))</f>
        <v/>
      </c>
      <c r="G69" s="21" t="str">
        <f aca="false">IF(A69="","",COUNTIFS(Register!$A$9:$A$2008,A69,Register!$L$9:$L$2008,"?*"))</f>
        <v/>
      </c>
      <c r="H69" s="10" t="str">
        <f aca="false">IF(A69="","",INDEX(Register!$H$9:$H$2008,MATCH(A69,Register!$A$9:$A$2008,0)))</f>
        <v/>
      </c>
      <c r="I69" s="10" t="str">
        <f aca="false">IF(A69="","",INDEX(Register!$I$9:$I$2008,MATCH(A69,Register!$A$9:$A$2008,0))&amp;"")</f>
        <v/>
      </c>
      <c r="J69" s="8"/>
    </row>
    <row r="70" customFormat="false" ht="15" hidden="false" customHeight="false" outlineLevel="0" collapsed="false">
      <c r="A70" s="10" t="str">
        <f aca="false">IFERROR(INDEX(Register!$A$9:$A$2008,MATCH(62,Register!$M$9:$M$2008,0)),"")</f>
        <v/>
      </c>
      <c r="B70" s="22" t="str">
        <f aca="false">IF(A70="","",INDEX(Register!$B$9:$B$2008,MATCH(A70,Register!$A$9:$A$2008,0)))</f>
        <v/>
      </c>
      <c r="C70" s="23" t="str">
        <f aca="false">IF(A70="","",SUMIFS(Register!$E$9:$E$2008,Register!$A$9:$A$2008,A70))</f>
        <v/>
      </c>
      <c r="D70" s="23" t="str">
        <f aca="false">IF(A70="","",SUMIFS(Register!$F$9:$F$2008,Register!$A$9:$A$2008,A70))</f>
        <v/>
      </c>
      <c r="E70" s="10" t="str">
        <f aca="false">IF(A70="","",IF(ABS(C70-D70)&lt;0.5,"Yes","No"))</f>
        <v/>
      </c>
      <c r="F70" s="21" t="str">
        <f aca="false">IF(A70="","",COUNTIF(Register!$A$9:$A$2008,A70))</f>
        <v/>
      </c>
      <c r="G70" s="21" t="str">
        <f aca="false">IF(A70="","",COUNTIFS(Register!$A$9:$A$2008,A70,Register!$L$9:$L$2008,"?*"))</f>
        <v/>
      </c>
      <c r="H70" s="10" t="str">
        <f aca="false">IF(A70="","",INDEX(Register!$H$9:$H$2008,MATCH(A70,Register!$A$9:$A$2008,0)))</f>
        <v/>
      </c>
      <c r="I70" s="10" t="str">
        <f aca="false">IF(A70="","",INDEX(Register!$I$9:$I$2008,MATCH(A70,Register!$A$9:$A$2008,0))&amp;"")</f>
        <v/>
      </c>
      <c r="J70" s="8"/>
    </row>
    <row r="71" customFormat="false" ht="15" hidden="false" customHeight="false" outlineLevel="0" collapsed="false">
      <c r="A71" s="10" t="str">
        <f aca="false">IFERROR(INDEX(Register!$A$9:$A$2008,MATCH(63,Register!$M$9:$M$2008,0)),"")</f>
        <v/>
      </c>
      <c r="B71" s="22" t="str">
        <f aca="false">IF(A71="","",INDEX(Register!$B$9:$B$2008,MATCH(A71,Register!$A$9:$A$2008,0)))</f>
        <v/>
      </c>
      <c r="C71" s="23" t="str">
        <f aca="false">IF(A71="","",SUMIFS(Register!$E$9:$E$2008,Register!$A$9:$A$2008,A71))</f>
        <v/>
      </c>
      <c r="D71" s="23" t="str">
        <f aca="false">IF(A71="","",SUMIFS(Register!$F$9:$F$2008,Register!$A$9:$A$2008,A71))</f>
        <v/>
      </c>
      <c r="E71" s="10" t="str">
        <f aca="false">IF(A71="","",IF(ABS(C71-D71)&lt;0.5,"Yes","No"))</f>
        <v/>
      </c>
      <c r="F71" s="21" t="str">
        <f aca="false">IF(A71="","",COUNTIF(Register!$A$9:$A$2008,A71))</f>
        <v/>
      </c>
      <c r="G71" s="21" t="str">
        <f aca="false">IF(A71="","",COUNTIFS(Register!$A$9:$A$2008,A71,Register!$L$9:$L$2008,"?*"))</f>
        <v/>
      </c>
      <c r="H71" s="10" t="str">
        <f aca="false">IF(A71="","",INDEX(Register!$H$9:$H$2008,MATCH(A71,Register!$A$9:$A$2008,0)))</f>
        <v/>
      </c>
      <c r="I71" s="10" t="str">
        <f aca="false">IF(A71="","",INDEX(Register!$I$9:$I$2008,MATCH(A71,Register!$A$9:$A$2008,0))&amp;"")</f>
        <v/>
      </c>
      <c r="J71" s="8"/>
    </row>
    <row r="72" customFormat="false" ht="15" hidden="false" customHeight="false" outlineLevel="0" collapsed="false">
      <c r="A72" s="10" t="str">
        <f aca="false">IFERROR(INDEX(Register!$A$9:$A$2008,MATCH(64,Register!$M$9:$M$2008,0)),"")</f>
        <v/>
      </c>
      <c r="B72" s="22" t="str">
        <f aca="false">IF(A72="","",INDEX(Register!$B$9:$B$2008,MATCH(A72,Register!$A$9:$A$2008,0)))</f>
        <v/>
      </c>
      <c r="C72" s="23" t="str">
        <f aca="false">IF(A72="","",SUMIFS(Register!$E$9:$E$2008,Register!$A$9:$A$2008,A72))</f>
        <v/>
      </c>
      <c r="D72" s="23" t="str">
        <f aca="false">IF(A72="","",SUMIFS(Register!$F$9:$F$2008,Register!$A$9:$A$2008,A72))</f>
        <v/>
      </c>
      <c r="E72" s="10" t="str">
        <f aca="false">IF(A72="","",IF(ABS(C72-D72)&lt;0.5,"Yes","No"))</f>
        <v/>
      </c>
      <c r="F72" s="21" t="str">
        <f aca="false">IF(A72="","",COUNTIF(Register!$A$9:$A$2008,A72))</f>
        <v/>
      </c>
      <c r="G72" s="21" t="str">
        <f aca="false">IF(A72="","",COUNTIFS(Register!$A$9:$A$2008,A72,Register!$L$9:$L$2008,"?*"))</f>
        <v/>
      </c>
      <c r="H72" s="10" t="str">
        <f aca="false">IF(A72="","",INDEX(Register!$H$9:$H$2008,MATCH(A72,Register!$A$9:$A$2008,0)))</f>
        <v/>
      </c>
      <c r="I72" s="10" t="str">
        <f aca="false">IF(A72="","",INDEX(Register!$I$9:$I$2008,MATCH(A72,Register!$A$9:$A$2008,0))&amp;"")</f>
        <v/>
      </c>
      <c r="J72" s="8"/>
    </row>
    <row r="73" customFormat="false" ht="15" hidden="false" customHeight="false" outlineLevel="0" collapsed="false">
      <c r="A73" s="10" t="str">
        <f aca="false">IFERROR(INDEX(Register!$A$9:$A$2008,MATCH(65,Register!$M$9:$M$2008,0)),"")</f>
        <v/>
      </c>
      <c r="B73" s="22" t="str">
        <f aca="false">IF(A73="","",INDEX(Register!$B$9:$B$2008,MATCH(A73,Register!$A$9:$A$2008,0)))</f>
        <v/>
      </c>
      <c r="C73" s="23" t="str">
        <f aca="false">IF(A73="","",SUMIFS(Register!$E$9:$E$2008,Register!$A$9:$A$2008,A73))</f>
        <v/>
      </c>
      <c r="D73" s="23" t="str">
        <f aca="false">IF(A73="","",SUMIFS(Register!$F$9:$F$2008,Register!$A$9:$A$2008,A73))</f>
        <v/>
      </c>
      <c r="E73" s="10" t="str">
        <f aca="false">IF(A73="","",IF(ABS(C73-D73)&lt;0.5,"Yes","No"))</f>
        <v/>
      </c>
      <c r="F73" s="21" t="str">
        <f aca="false">IF(A73="","",COUNTIF(Register!$A$9:$A$2008,A73))</f>
        <v/>
      </c>
      <c r="G73" s="21" t="str">
        <f aca="false">IF(A73="","",COUNTIFS(Register!$A$9:$A$2008,A73,Register!$L$9:$L$2008,"?*"))</f>
        <v/>
      </c>
      <c r="H73" s="10" t="str">
        <f aca="false">IF(A73="","",INDEX(Register!$H$9:$H$2008,MATCH(A73,Register!$A$9:$A$2008,0)))</f>
        <v/>
      </c>
      <c r="I73" s="10" t="str">
        <f aca="false">IF(A73="","",INDEX(Register!$I$9:$I$2008,MATCH(A73,Register!$A$9:$A$2008,0))&amp;"")</f>
        <v/>
      </c>
      <c r="J73" s="8"/>
    </row>
    <row r="74" customFormat="false" ht="15" hidden="false" customHeight="false" outlineLevel="0" collapsed="false">
      <c r="A74" s="10" t="str">
        <f aca="false">IFERROR(INDEX(Register!$A$9:$A$2008,MATCH(66,Register!$M$9:$M$2008,0)),"")</f>
        <v/>
      </c>
      <c r="B74" s="22" t="str">
        <f aca="false">IF(A74="","",INDEX(Register!$B$9:$B$2008,MATCH(A74,Register!$A$9:$A$2008,0)))</f>
        <v/>
      </c>
      <c r="C74" s="23" t="str">
        <f aca="false">IF(A74="","",SUMIFS(Register!$E$9:$E$2008,Register!$A$9:$A$2008,A74))</f>
        <v/>
      </c>
      <c r="D74" s="23" t="str">
        <f aca="false">IF(A74="","",SUMIFS(Register!$F$9:$F$2008,Register!$A$9:$A$2008,A74))</f>
        <v/>
      </c>
      <c r="E74" s="10" t="str">
        <f aca="false">IF(A74="","",IF(ABS(C74-D74)&lt;0.5,"Yes","No"))</f>
        <v/>
      </c>
      <c r="F74" s="21" t="str">
        <f aca="false">IF(A74="","",COUNTIF(Register!$A$9:$A$2008,A74))</f>
        <v/>
      </c>
      <c r="G74" s="21" t="str">
        <f aca="false">IF(A74="","",COUNTIFS(Register!$A$9:$A$2008,A74,Register!$L$9:$L$2008,"?*"))</f>
        <v/>
      </c>
      <c r="H74" s="10" t="str">
        <f aca="false">IF(A74="","",INDEX(Register!$H$9:$H$2008,MATCH(A74,Register!$A$9:$A$2008,0)))</f>
        <v/>
      </c>
      <c r="I74" s="10" t="str">
        <f aca="false">IF(A74="","",INDEX(Register!$I$9:$I$2008,MATCH(A74,Register!$A$9:$A$2008,0))&amp;"")</f>
        <v/>
      </c>
      <c r="J74" s="8"/>
    </row>
    <row r="75" customFormat="false" ht="15" hidden="false" customHeight="false" outlineLevel="0" collapsed="false">
      <c r="A75" s="10" t="str">
        <f aca="false">IFERROR(INDEX(Register!$A$9:$A$2008,MATCH(67,Register!$M$9:$M$2008,0)),"")</f>
        <v/>
      </c>
      <c r="B75" s="22" t="str">
        <f aca="false">IF(A75="","",INDEX(Register!$B$9:$B$2008,MATCH(A75,Register!$A$9:$A$2008,0)))</f>
        <v/>
      </c>
      <c r="C75" s="23" t="str">
        <f aca="false">IF(A75="","",SUMIFS(Register!$E$9:$E$2008,Register!$A$9:$A$2008,A75))</f>
        <v/>
      </c>
      <c r="D75" s="23" t="str">
        <f aca="false">IF(A75="","",SUMIFS(Register!$F$9:$F$2008,Register!$A$9:$A$2008,A75))</f>
        <v/>
      </c>
      <c r="E75" s="10" t="str">
        <f aca="false">IF(A75="","",IF(ABS(C75-D75)&lt;0.5,"Yes","No"))</f>
        <v/>
      </c>
      <c r="F75" s="21" t="str">
        <f aca="false">IF(A75="","",COUNTIF(Register!$A$9:$A$2008,A75))</f>
        <v/>
      </c>
      <c r="G75" s="21" t="str">
        <f aca="false">IF(A75="","",COUNTIFS(Register!$A$9:$A$2008,A75,Register!$L$9:$L$2008,"?*"))</f>
        <v/>
      </c>
      <c r="H75" s="10" t="str">
        <f aca="false">IF(A75="","",INDEX(Register!$H$9:$H$2008,MATCH(A75,Register!$A$9:$A$2008,0)))</f>
        <v/>
      </c>
      <c r="I75" s="10" t="str">
        <f aca="false">IF(A75="","",INDEX(Register!$I$9:$I$2008,MATCH(A75,Register!$A$9:$A$2008,0))&amp;"")</f>
        <v/>
      </c>
      <c r="J75" s="8"/>
    </row>
    <row r="76" customFormat="false" ht="15" hidden="false" customHeight="false" outlineLevel="0" collapsed="false">
      <c r="A76" s="10" t="str">
        <f aca="false">IFERROR(INDEX(Register!$A$9:$A$2008,MATCH(68,Register!$M$9:$M$2008,0)),"")</f>
        <v/>
      </c>
      <c r="B76" s="22" t="str">
        <f aca="false">IF(A76="","",INDEX(Register!$B$9:$B$2008,MATCH(A76,Register!$A$9:$A$2008,0)))</f>
        <v/>
      </c>
      <c r="C76" s="23" t="str">
        <f aca="false">IF(A76="","",SUMIFS(Register!$E$9:$E$2008,Register!$A$9:$A$2008,A76))</f>
        <v/>
      </c>
      <c r="D76" s="23" t="str">
        <f aca="false">IF(A76="","",SUMIFS(Register!$F$9:$F$2008,Register!$A$9:$A$2008,A76))</f>
        <v/>
      </c>
      <c r="E76" s="10" t="str">
        <f aca="false">IF(A76="","",IF(ABS(C76-D76)&lt;0.5,"Yes","No"))</f>
        <v/>
      </c>
      <c r="F76" s="21" t="str">
        <f aca="false">IF(A76="","",COUNTIF(Register!$A$9:$A$2008,A76))</f>
        <v/>
      </c>
      <c r="G76" s="21" t="str">
        <f aca="false">IF(A76="","",COUNTIFS(Register!$A$9:$A$2008,A76,Register!$L$9:$L$2008,"?*"))</f>
        <v/>
      </c>
      <c r="H76" s="10" t="str">
        <f aca="false">IF(A76="","",INDEX(Register!$H$9:$H$2008,MATCH(A76,Register!$A$9:$A$2008,0)))</f>
        <v/>
      </c>
      <c r="I76" s="10" t="str">
        <f aca="false">IF(A76="","",INDEX(Register!$I$9:$I$2008,MATCH(A76,Register!$A$9:$A$2008,0))&amp;"")</f>
        <v/>
      </c>
      <c r="J76" s="8"/>
    </row>
    <row r="77" customFormat="false" ht="15" hidden="false" customHeight="false" outlineLevel="0" collapsed="false">
      <c r="A77" s="10" t="str">
        <f aca="false">IFERROR(INDEX(Register!$A$9:$A$2008,MATCH(69,Register!$M$9:$M$2008,0)),"")</f>
        <v/>
      </c>
      <c r="B77" s="22" t="str">
        <f aca="false">IF(A77="","",INDEX(Register!$B$9:$B$2008,MATCH(A77,Register!$A$9:$A$2008,0)))</f>
        <v/>
      </c>
      <c r="C77" s="23" t="str">
        <f aca="false">IF(A77="","",SUMIFS(Register!$E$9:$E$2008,Register!$A$9:$A$2008,A77))</f>
        <v/>
      </c>
      <c r="D77" s="23" t="str">
        <f aca="false">IF(A77="","",SUMIFS(Register!$F$9:$F$2008,Register!$A$9:$A$2008,A77))</f>
        <v/>
      </c>
      <c r="E77" s="10" t="str">
        <f aca="false">IF(A77="","",IF(ABS(C77-D77)&lt;0.5,"Yes","No"))</f>
        <v/>
      </c>
      <c r="F77" s="21" t="str">
        <f aca="false">IF(A77="","",COUNTIF(Register!$A$9:$A$2008,A77))</f>
        <v/>
      </c>
      <c r="G77" s="21" t="str">
        <f aca="false">IF(A77="","",COUNTIFS(Register!$A$9:$A$2008,A77,Register!$L$9:$L$2008,"?*"))</f>
        <v/>
      </c>
      <c r="H77" s="10" t="str">
        <f aca="false">IF(A77="","",INDEX(Register!$H$9:$H$2008,MATCH(A77,Register!$A$9:$A$2008,0)))</f>
        <v/>
      </c>
      <c r="I77" s="10" t="str">
        <f aca="false">IF(A77="","",INDEX(Register!$I$9:$I$2008,MATCH(A77,Register!$A$9:$A$2008,0))&amp;"")</f>
        <v/>
      </c>
      <c r="J77" s="8"/>
    </row>
    <row r="78" customFormat="false" ht="15" hidden="false" customHeight="false" outlineLevel="0" collapsed="false">
      <c r="A78" s="10" t="str">
        <f aca="false">IFERROR(INDEX(Register!$A$9:$A$2008,MATCH(70,Register!$M$9:$M$2008,0)),"")</f>
        <v/>
      </c>
      <c r="B78" s="22" t="str">
        <f aca="false">IF(A78="","",INDEX(Register!$B$9:$B$2008,MATCH(A78,Register!$A$9:$A$2008,0)))</f>
        <v/>
      </c>
      <c r="C78" s="23" t="str">
        <f aca="false">IF(A78="","",SUMIFS(Register!$E$9:$E$2008,Register!$A$9:$A$2008,A78))</f>
        <v/>
      </c>
      <c r="D78" s="23" t="str">
        <f aca="false">IF(A78="","",SUMIFS(Register!$F$9:$F$2008,Register!$A$9:$A$2008,A78))</f>
        <v/>
      </c>
      <c r="E78" s="10" t="str">
        <f aca="false">IF(A78="","",IF(ABS(C78-D78)&lt;0.5,"Yes","No"))</f>
        <v/>
      </c>
      <c r="F78" s="21" t="str">
        <f aca="false">IF(A78="","",COUNTIF(Register!$A$9:$A$2008,A78))</f>
        <v/>
      </c>
      <c r="G78" s="21" t="str">
        <f aca="false">IF(A78="","",COUNTIFS(Register!$A$9:$A$2008,A78,Register!$L$9:$L$2008,"?*"))</f>
        <v/>
      </c>
      <c r="H78" s="10" t="str">
        <f aca="false">IF(A78="","",INDEX(Register!$H$9:$H$2008,MATCH(A78,Register!$A$9:$A$2008,0)))</f>
        <v/>
      </c>
      <c r="I78" s="10" t="str">
        <f aca="false">IF(A78="","",INDEX(Register!$I$9:$I$2008,MATCH(A78,Register!$A$9:$A$2008,0))&amp;"")</f>
        <v/>
      </c>
      <c r="J78" s="8"/>
    </row>
    <row r="79" customFormat="false" ht="15" hidden="false" customHeight="false" outlineLevel="0" collapsed="false">
      <c r="A79" s="10" t="str">
        <f aca="false">IFERROR(INDEX(Register!$A$9:$A$2008,MATCH(71,Register!$M$9:$M$2008,0)),"")</f>
        <v/>
      </c>
      <c r="B79" s="22" t="str">
        <f aca="false">IF(A79="","",INDEX(Register!$B$9:$B$2008,MATCH(A79,Register!$A$9:$A$2008,0)))</f>
        <v/>
      </c>
      <c r="C79" s="23" t="str">
        <f aca="false">IF(A79="","",SUMIFS(Register!$E$9:$E$2008,Register!$A$9:$A$2008,A79))</f>
        <v/>
      </c>
      <c r="D79" s="23" t="str">
        <f aca="false">IF(A79="","",SUMIFS(Register!$F$9:$F$2008,Register!$A$9:$A$2008,A79))</f>
        <v/>
      </c>
      <c r="E79" s="10" t="str">
        <f aca="false">IF(A79="","",IF(ABS(C79-D79)&lt;0.5,"Yes","No"))</f>
        <v/>
      </c>
      <c r="F79" s="21" t="str">
        <f aca="false">IF(A79="","",COUNTIF(Register!$A$9:$A$2008,A79))</f>
        <v/>
      </c>
      <c r="G79" s="21" t="str">
        <f aca="false">IF(A79="","",COUNTIFS(Register!$A$9:$A$2008,A79,Register!$L$9:$L$2008,"?*"))</f>
        <v/>
      </c>
      <c r="H79" s="10" t="str">
        <f aca="false">IF(A79="","",INDEX(Register!$H$9:$H$2008,MATCH(A79,Register!$A$9:$A$2008,0)))</f>
        <v/>
      </c>
      <c r="I79" s="10" t="str">
        <f aca="false">IF(A79="","",INDEX(Register!$I$9:$I$2008,MATCH(A79,Register!$A$9:$A$2008,0))&amp;"")</f>
        <v/>
      </c>
      <c r="J79" s="8"/>
    </row>
    <row r="80" customFormat="false" ht="15" hidden="false" customHeight="false" outlineLevel="0" collapsed="false">
      <c r="A80" s="10" t="str">
        <f aca="false">IFERROR(INDEX(Register!$A$9:$A$2008,MATCH(72,Register!$M$9:$M$2008,0)),"")</f>
        <v/>
      </c>
      <c r="B80" s="22" t="str">
        <f aca="false">IF(A80="","",INDEX(Register!$B$9:$B$2008,MATCH(A80,Register!$A$9:$A$2008,0)))</f>
        <v/>
      </c>
      <c r="C80" s="23" t="str">
        <f aca="false">IF(A80="","",SUMIFS(Register!$E$9:$E$2008,Register!$A$9:$A$2008,A80))</f>
        <v/>
      </c>
      <c r="D80" s="23" t="str">
        <f aca="false">IF(A80="","",SUMIFS(Register!$F$9:$F$2008,Register!$A$9:$A$2008,A80))</f>
        <v/>
      </c>
      <c r="E80" s="10" t="str">
        <f aca="false">IF(A80="","",IF(ABS(C80-D80)&lt;0.5,"Yes","No"))</f>
        <v/>
      </c>
      <c r="F80" s="21" t="str">
        <f aca="false">IF(A80="","",COUNTIF(Register!$A$9:$A$2008,A80))</f>
        <v/>
      </c>
      <c r="G80" s="21" t="str">
        <f aca="false">IF(A80="","",COUNTIFS(Register!$A$9:$A$2008,A80,Register!$L$9:$L$2008,"?*"))</f>
        <v/>
      </c>
      <c r="H80" s="10" t="str">
        <f aca="false">IF(A80="","",INDEX(Register!$H$9:$H$2008,MATCH(A80,Register!$A$9:$A$2008,0)))</f>
        <v/>
      </c>
      <c r="I80" s="10" t="str">
        <f aca="false">IF(A80="","",INDEX(Register!$I$9:$I$2008,MATCH(A80,Register!$A$9:$A$2008,0))&amp;"")</f>
        <v/>
      </c>
      <c r="J80" s="8"/>
    </row>
    <row r="81" customFormat="false" ht="15" hidden="false" customHeight="false" outlineLevel="0" collapsed="false">
      <c r="A81" s="10" t="str">
        <f aca="false">IFERROR(INDEX(Register!$A$9:$A$2008,MATCH(73,Register!$M$9:$M$2008,0)),"")</f>
        <v/>
      </c>
      <c r="B81" s="22" t="str">
        <f aca="false">IF(A81="","",INDEX(Register!$B$9:$B$2008,MATCH(A81,Register!$A$9:$A$2008,0)))</f>
        <v/>
      </c>
      <c r="C81" s="23" t="str">
        <f aca="false">IF(A81="","",SUMIFS(Register!$E$9:$E$2008,Register!$A$9:$A$2008,A81))</f>
        <v/>
      </c>
      <c r="D81" s="23" t="str">
        <f aca="false">IF(A81="","",SUMIFS(Register!$F$9:$F$2008,Register!$A$9:$A$2008,A81))</f>
        <v/>
      </c>
      <c r="E81" s="10" t="str">
        <f aca="false">IF(A81="","",IF(ABS(C81-D81)&lt;0.5,"Yes","No"))</f>
        <v/>
      </c>
      <c r="F81" s="21" t="str">
        <f aca="false">IF(A81="","",COUNTIF(Register!$A$9:$A$2008,A81))</f>
        <v/>
      </c>
      <c r="G81" s="21" t="str">
        <f aca="false">IF(A81="","",COUNTIFS(Register!$A$9:$A$2008,A81,Register!$L$9:$L$2008,"?*"))</f>
        <v/>
      </c>
      <c r="H81" s="10" t="str">
        <f aca="false">IF(A81="","",INDEX(Register!$H$9:$H$2008,MATCH(A81,Register!$A$9:$A$2008,0)))</f>
        <v/>
      </c>
      <c r="I81" s="10" t="str">
        <f aca="false">IF(A81="","",INDEX(Register!$I$9:$I$2008,MATCH(A81,Register!$A$9:$A$2008,0))&amp;"")</f>
        <v/>
      </c>
      <c r="J81" s="8"/>
    </row>
    <row r="82" customFormat="false" ht="15" hidden="false" customHeight="false" outlineLevel="0" collapsed="false">
      <c r="A82" s="10" t="str">
        <f aca="false">IFERROR(INDEX(Register!$A$9:$A$2008,MATCH(74,Register!$M$9:$M$2008,0)),"")</f>
        <v/>
      </c>
      <c r="B82" s="22" t="str">
        <f aca="false">IF(A82="","",INDEX(Register!$B$9:$B$2008,MATCH(A82,Register!$A$9:$A$2008,0)))</f>
        <v/>
      </c>
      <c r="C82" s="23" t="str">
        <f aca="false">IF(A82="","",SUMIFS(Register!$E$9:$E$2008,Register!$A$9:$A$2008,A82))</f>
        <v/>
      </c>
      <c r="D82" s="23" t="str">
        <f aca="false">IF(A82="","",SUMIFS(Register!$F$9:$F$2008,Register!$A$9:$A$2008,A82))</f>
        <v/>
      </c>
      <c r="E82" s="10" t="str">
        <f aca="false">IF(A82="","",IF(ABS(C82-D82)&lt;0.5,"Yes","No"))</f>
        <v/>
      </c>
      <c r="F82" s="21" t="str">
        <f aca="false">IF(A82="","",COUNTIF(Register!$A$9:$A$2008,A82))</f>
        <v/>
      </c>
      <c r="G82" s="21" t="str">
        <f aca="false">IF(A82="","",COUNTIFS(Register!$A$9:$A$2008,A82,Register!$L$9:$L$2008,"?*"))</f>
        <v/>
      </c>
      <c r="H82" s="10" t="str">
        <f aca="false">IF(A82="","",INDEX(Register!$H$9:$H$2008,MATCH(A82,Register!$A$9:$A$2008,0)))</f>
        <v/>
      </c>
      <c r="I82" s="10" t="str">
        <f aca="false">IF(A82="","",INDEX(Register!$I$9:$I$2008,MATCH(A82,Register!$A$9:$A$2008,0))&amp;"")</f>
        <v/>
      </c>
      <c r="J82" s="8"/>
    </row>
    <row r="83" customFormat="false" ht="15" hidden="false" customHeight="false" outlineLevel="0" collapsed="false">
      <c r="A83" s="10" t="str">
        <f aca="false">IFERROR(INDEX(Register!$A$9:$A$2008,MATCH(75,Register!$M$9:$M$2008,0)),"")</f>
        <v/>
      </c>
      <c r="B83" s="22" t="str">
        <f aca="false">IF(A83="","",INDEX(Register!$B$9:$B$2008,MATCH(A83,Register!$A$9:$A$2008,0)))</f>
        <v/>
      </c>
      <c r="C83" s="23" t="str">
        <f aca="false">IF(A83="","",SUMIFS(Register!$E$9:$E$2008,Register!$A$9:$A$2008,A83))</f>
        <v/>
      </c>
      <c r="D83" s="23" t="str">
        <f aca="false">IF(A83="","",SUMIFS(Register!$F$9:$F$2008,Register!$A$9:$A$2008,A83))</f>
        <v/>
      </c>
      <c r="E83" s="10" t="str">
        <f aca="false">IF(A83="","",IF(ABS(C83-D83)&lt;0.5,"Yes","No"))</f>
        <v/>
      </c>
      <c r="F83" s="21" t="str">
        <f aca="false">IF(A83="","",COUNTIF(Register!$A$9:$A$2008,A83))</f>
        <v/>
      </c>
      <c r="G83" s="21" t="str">
        <f aca="false">IF(A83="","",COUNTIFS(Register!$A$9:$A$2008,A83,Register!$L$9:$L$2008,"?*"))</f>
        <v/>
      </c>
      <c r="H83" s="10" t="str">
        <f aca="false">IF(A83="","",INDEX(Register!$H$9:$H$2008,MATCH(A83,Register!$A$9:$A$2008,0)))</f>
        <v/>
      </c>
      <c r="I83" s="10" t="str">
        <f aca="false">IF(A83="","",INDEX(Register!$I$9:$I$2008,MATCH(A83,Register!$A$9:$A$2008,0))&amp;"")</f>
        <v/>
      </c>
      <c r="J83" s="8"/>
    </row>
    <row r="84" customFormat="false" ht="15" hidden="false" customHeight="false" outlineLevel="0" collapsed="false">
      <c r="A84" s="10" t="str">
        <f aca="false">IFERROR(INDEX(Register!$A$9:$A$2008,MATCH(76,Register!$M$9:$M$2008,0)),"")</f>
        <v/>
      </c>
      <c r="B84" s="22" t="str">
        <f aca="false">IF(A84="","",INDEX(Register!$B$9:$B$2008,MATCH(A84,Register!$A$9:$A$2008,0)))</f>
        <v/>
      </c>
      <c r="C84" s="23" t="str">
        <f aca="false">IF(A84="","",SUMIFS(Register!$E$9:$E$2008,Register!$A$9:$A$2008,A84))</f>
        <v/>
      </c>
      <c r="D84" s="23" t="str">
        <f aca="false">IF(A84="","",SUMIFS(Register!$F$9:$F$2008,Register!$A$9:$A$2008,A84))</f>
        <v/>
      </c>
      <c r="E84" s="10" t="str">
        <f aca="false">IF(A84="","",IF(ABS(C84-D84)&lt;0.5,"Yes","No"))</f>
        <v/>
      </c>
      <c r="F84" s="21" t="str">
        <f aca="false">IF(A84="","",COUNTIF(Register!$A$9:$A$2008,A84))</f>
        <v/>
      </c>
      <c r="G84" s="21" t="str">
        <f aca="false">IF(A84="","",COUNTIFS(Register!$A$9:$A$2008,A84,Register!$L$9:$L$2008,"?*"))</f>
        <v/>
      </c>
      <c r="H84" s="10" t="str">
        <f aca="false">IF(A84="","",INDEX(Register!$H$9:$H$2008,MATCH(A84,Register!$A$9:$A$2008,0)))</f>
        <v/>
      </c>
      <c r="I84" s="10" t="str">
        <f aca="false">IF(A84="","",INDEX(Register!$I$9:$I$2008,MATCH(A84,Register!$A$9:$A$2008,0))&amp;"")</f>
        <v/>
      </c>
      <c r="J84" s="8"/>
    </row>
    <row r="85" customFormat="false" ht="15" hidden="false" customHeight="false" outlineLevel="0" collapsed="false">
      <c r="A85" s="10" t="str">
        <f aca="false">IFERROR(INDEX(Register!$A$9:$A$2008,MATCH(77,Register!$M$9:$M$2008,0)),"")</f>
        <v/>
      </c>
      <c r="B85" s="22" t="str">
        <f aca="false">IF(A85="","",INDEX(Register!$B$9:$B$2008,MATCH(A85,Register!$A$9:$A$2008,0)))</f>
        <v/>
      </c>
      <c r="C85" s="23" t="str">
        <f aca="false">IF(A85="","",SUMIFS(Register!$E$9:$E$2008,Register!$A$9:$A$2008,A85))</f>
        <v/>
      </c>
      <c r="D85" s="23" t="str">
        <f aca="false">IF(A85="","",SUMIFS(Register!$F$9:$F$2008,Register!$A$9:$A$2008,A85))</f>
        <v/>
      </c>
      <c r="E85" s="10" t="str">
        <f aca="false">IF(A85="","",IF(ABS(C85-D85)&lt;0.5,"Yes","No"))</f>
        <v/>
      </c>
      <c r="F85" s="21" t="str">
        <f aca="false">IF(A85="","",COUNTIF(Register!$A$9:$A$2008,A85))</f>
        <v/>
      </c>
      <c r="G85" s="21" t="str">
        <f aca="false">IF(A85="","",COUNTIFS(Register!$A$9:$A$2008,A85,Register!$L$9:$L$2008,"?*"))</f>
        <v/>
      </c>
      <c r="H85" s="10" t="str">
        <f aca="false">IF(A85="","",INDEX(Register!$H$9:$H$2008,MATCH(A85,Register!$A$9:$A$2008,0)))</f>
        <v/>
      </c>
      <c r="I85" s="10" t="str">
        <f aca="false">IF(A85="","",INDEX(Register!$I$9:$I$2008,MATCH(A85,Register!$A$9:$A$2008,0))&amp;"")</f>
        <v/>
      </c>
      <c r="J85" s="8"/>
    </row>
    <row r="86" customFormat="false" ht="15" hidden="false" customHeight="false" outlineLevel="0" collapsed="false">
      <c r="A86" s="10" t="str">
        <f aca="false">IFERROR(INDEX(Register!$A$9:$A$2008,MATCH(78,Register!$M$9:$M$2008,0)),"")</f>
        <v/>
      </c>
      <c r="B86" s="22" t="str">
        <f aca="false">IF(A86="","",INDEX(Register!$B$9:$B$2008,MATCH(A86,Register!$A$9:$A$2008,0)))</f>
        <v/>
      </c>
      <c r="C86" s="23" t="str">
        <f aca="false">IF(A86="","",SUMIFS(Register!$E$9:$E$2008,Register!$A$9:$A$2008,A86))</f>
        <v/>
      </c>
      <c r="D86" s="23" t="str">
        <f aca="false">IF(A86="","",SUMIFS(Register!$F$9:$F$2008,Register!$A$9:$A$2008,A86))</f>
        <v/>
      </c>
      <c r="E86" s="10" t="str">
        <f aca="false">IF(A86="","",IF(ABS(C86-D86)&lt;0.5,"Yes","No"))</f>
        <v/>
      </c>
      <c r="F86" s="21" t="str">
        <f aca="false">IF(A86="","",COUNTIF(Register!$A$9:$A$2008,A86))</f>
        <v/>
      </c>
      <c r="G86" s="21" t="str">
        <f aca="false">IF(A86="","",COUNTIFS(Register!$A$9:$A$2008,A86,Register!$L$9:$L$2008,"?*"))</f>
        <v/>
      </c>
      <c r="H86" s="10" t="str">
        <f aca="false">IF(A86="","",INDEX(Register!$H$9:$H$2008,MATCH(A86,Register!$A$9:$A$2008,0)))</f>
        <v/>
      </c>
      <c r="I86" s="10" t="str">
        <f aca="false">IF(A86="","",INDEX(Register!$I$9:$I$2008,MATCH(A86,Register!$A$9:$A$2008,0))&amp;"")</f>
        <v/>
      </c>
      <c r="J86" s="8"/>
    </row>
    <row r="87" customFormat="false" ht="15" hidden="false" customHeight="false" outlineLevel="0" collapsed="false">
      <c r="A87" s="10" t="str">
        <f aca="false">IFERROR(INDEX(Register!$A$9:$A$2008,MATCH(79,Register!$M$9:$M$2008,0)),"")</f>
        <v/>
      </c>
      <c r="B87" s="22" t="str">
        <f aca="false">IF(A87="","",INDEX(Register!$B$9:$B$2008,MATCH(A87,Register!$A$9:$A$2008,0)))</f>
        <v/>
      </c>
      <c r="C87" s="23" t="str">
        <f aca="false">IF(A87="","",SUMIFS(Register!$E$9:$E$2008,Register!$A$9:$A$2008,A87))</f>
        <v/>
      </c>
      <c r="D87" s="23" t="str">
        <f aca="false">IF(A87="","",SUMIFS(Register!$F$9:$F$2008,Register!$A$9:$A$2008,A87))</f>
        <v/>
      </c>
      <c r="E87" s="10" t="str">
        <f aca="false">IF(A87="","",IF(ABS(C87-D87)&lt;0.5,"Yes","No"))</f>
        <v/>
      </c>
      <c r="F87" s="21" t="str">
        <f aca="false">IF(A87="","",COUNTIF(Register!$A$9:$A$2008,A87))</f>
        <v/>
      </c>
      <c r="G87" s="21" t="str">
        <f aca="false">IF(A87="","",COUNTIFS(Register!$A$9:$A$2008,A87,Register!$L$9:$L$2008,"?*"))</f>
        <v/>
      </c>
      <c r="H87" s="10" t="str">
        <f aca="false">IF(A87="","",INDEX(Register!$H$9:$H$2008,MATCH(A87,Register!$A$9:$A$2008,0)))</f>
        <v/>
      </c>
      <c r="I87" s="10" t="str">
        <f aca="false">IF(A87="","",INDEX(Register!$I$9:$I$2008,MATCH(A87,Register!$A$9:$A$2008,0))&amp;"")</f>
        <v/>
      </c>
      <c r="J87" s="8"/>
    </row>
    <row r="88" customFormat="false" ht="15" hidden="false" customHeight="false" outlineLevel="0" collapsed="false">
      <c r="A88" s="10" t="str">
        <f aca="false">IFERROR(INDEX(Register!$A$9:$A$2008,MATCH(80,Register!$M$9:$M$2008,0)),"")</f>
        <v/>
      </c>
      <c r="B88" s="22" t="str">
        <f aca="false">IF(A88="","",INDEX(Register!$B$9:$B$2008,MATCH(A88,Register!$A$9:$A$2008,0)))</f>
        <v/>
      </c>
      <c r="C88" s="23" t="str">
        <f aca="false">IF(A88="","",SUMIFS(Register!$E$9:$E$2008,Register!$A$9:$A$2008,A88))</f>
        <v/>
      </c>
      <c r="D88" s="23" t="str">
        <f aca="false">IF(A88="","",SUMIFS(Register!$F$9:$F$2008,Register!$A$9:$A$2008,A88))</f>
        <v/>
      </c>
      <c r="E88" s="10" t="str">
        <f aca="false">IF(A88="","",IF(ABS(C88-D88)&lt;0.5,"Yes","No"))</f>
        <v/>
      </c>
      <c r="F88" s="21" t="str">
        <f aca="false">IF(A88="","",COUNTIF(Register!$A$9:$A$2008,A88))</f>
        <v/>
      </c>
      <c r="G88" s="21" t="str">
        <f aca="false">IF(A88="","",COUNTIFS(Register!$A$9:$A$2008,A88,Register!$L$9:$L$2008,"?*"))</f>
        <v/>
      </c>
      <c r="H88" s="10" t="str">
        <f aca="false">IF(A88="","",INDEX(Register!$H$9:$H$2008,MATCH(A88,Register!$A$9:$A$2008,0)))</f>
        <v/>
      </c>
      <c r="I88" s="10" t="str">
        <f aca="false">IF(A88="","",INDEX(Register!$I$9:$I$2008,MATCH(A88,Register!$A$9:$A$2008,0))&amp;"")</f>
        <v/>
      </c>
      <c r="J88" s="8"/>
    </row>
    <row r="89" customFormat="false" ht="15" hidden="false" customHeight="false" outlineLevel="0" collapsed="false">
      <c r="A89" s="10" t="str">
        <f aca="false">IFERROR(INDEX(Register!$A$9:$A$2008,MATCH(81,Register!$M$9:$M$2008,0)),"")</f>
        <v/>
      </c>
      <c r="B89" s="22" t="str">
        <f aca="false">IF(A89="","",INDEX(Register!$B$9:$B$2008,MATCH(A89,Register!$A$9:$A$2008,0)))</f>
        <v/>
      </c>
      <c r="C89" s="23" t="str">
        <f aca="false">IF(A89="","",SUMIFS(Register!$E$9:$E$2008,Register!$A$9:$A$2008,A89))</f>
        <v/>
      </c>
      <c r="D89" s="23" t="str">
        <f aca="false">IF(A89="","",SUMIFS(Register!$F$9:$F$2008,Register!$A$9:$A$2008,A89))</f>
        <v/>
      </c>
      <c r="E89" s="10" t="str">
        <f aca="false">IF(A89="","",IF(ABS(C89-D89)&lt;0.5,"Yes","No"))</f>
        <v/>
      </c>
      <c r="F89" s="21" t="str">
        <f aca="false">IF(A89="","",COUNTIF(Register!$A$9:$A$2008,A89))</f>
        <v/>
      </c>
      <c r="G89" s="21" t="str">
        <f aca="false">IF(A89="","",COUNTIFS(Register!$A$9:$A$2008,A89,Register!$L$9:$L$2008,"?*"))</f>
        <v/>
      </c>
      <c r="H89" s="10" t="str">
        <f aca="false">IF(A89="","",INDEX(Register!$H$9:$H$2008,MATCH(A89,Register!$A$9:$A$2008,0)))</f>
        <v/>
      </c>
      <c r="I89" s="10" t="str">
        <f aca="false">IF(A89="","",INDEX(Register!$I$9:$I$2008,MATCH(A89,Register!$A$9:$A$2008,0))&amp;"")</f>
        <v/>
      </c>
      <c r="J89" s="8"/>
    </row>
    <row r="90" customFormat="false" ht="15" hidden="false" customHeight="false" outlineLevel="0" collapsed="false">
      <c r="A90" s="10" t="str">
        <f aca="false">IFERROR(INDEX(Register!$A$9:$A$2008,MATCH(82,Register!$M$9:$M$2008,0)),"")</f>
        <v/>
      </c>
      <c r="B90" s="22" t="str">
        <f aca="false">IF(A90="","",INDEX(Register!$B$9:$B$2008,MATCH(A90,Register!$A$9:$A$2008,0)))</f>
        <v/>
      </c>
      <c r="C90" s="23" t="str">
        <f aca="false">IF(A90="","",SUMIFS(Register!$E$9:$E$2008,Register!$A$9:$A$2008,A90))</f>
        <v/>
      </c>
      <c r="D90" s="23" t="str">
        <f aca="false">IF(A90="","",SUMIFS(Register!$F$9:$F$2008,Register!$A$9:$A$2008,A90))</f>
        <v/>
      </c>
      <c r="E90" s="10" t="str">
        <f aca="false">IF(A90="","",IF(ABS(C90-D90)&lt;0.5,"Yes","No"))</f>
        <v/>
      </c>
      <c r="F90" s="21" t="str">
        <f aca="false">IF(A90="","",COUNTIF(Register!$A$9:$A$2008,A90))</f>
        <v/>
      </c>
      <c r="G90" s="21" t="str">
        <f aca="false">IF(A90="","",COUNTIFS(Register!$A$9:$A$2008,A90,Register!$L$9:$L$2008,"?*"))</f>
        <v/>
      </c>
      <c r="H90" s="10" t="str">
        <f aca="false">IF(A90="","",INDEX(Register!$H$9:$H$2008,MATCH(A90,Register!$A$9:$A$2008,0)))</f>
        <v/>
      </c>
      <c r="I90" s="10" t="str">
        <f aca="false">IF(A90="","",INDEX(Register!$I$9:$I$2008,MATCH(A90,Register!$A$9:$A$2008,0))&amp;"")</f>
        <v/>
      </c>
      <c r="J90" s="8"/>
    </row>
    <row r="91" customFormat="false" ht="15" hidden="false" customHeight="false" outlineLevel="0" collapsed="false">
      <c r="A91" s="10" t="str">
        <f aca="false">IFERROR(INDEX(Register!$A$9:$A$2008,MATCH(83,Register!$M$9:$M$2008,0)),"")</f>
        <v/>
      </c>
      <c r="B91" s="22" t="str">
        <f aca="false">IF(A91="","",INDEX(Register!$B$9:$B$2008,MATCH(A91,Register!$A$9:$A$2008,0)))</f>
        <v/>
      </c>
      <c r="C91" s="23" t="str">
        <f aca="false">IF(A91="","",SUMIFS(Register!$E$9:$E$2008,Register!$A$9:$A$2008,A91))</f>
        <v/>
      </c>
      <c r="D91" s="23" t="str">
        <f aca="false">IF(A91="","",SUMIFS(Register!$F$9:$F$2008,Register!$A$9:$A$2008,A91))</f>
        <v/>
      </c>
      <c r="E91" s="10" t="str">
        <f aca="false">IF(A91="","",IF(ABS(C91-D91)&lt;0.5,"Yes","No"))</f>
        <v/>
      </c>
      <c r="F91" s="21" t="str">
        <f aca="false">IF(A91="","",COUNTIF(Register!$A$9:$A$2008,A91))</f>
        <v/>
      </c>
      <c r="G91" s="21" t="str">
        <f aca="false">IF(A91="","",COUNTIFS(Register!$A$9:$A$2008,A91,Register!$L$9:$L$2008,"?*"))</f>
        <v/>
      </c>
      <c r="H91" s="10" t="str">
        <f aca="false">IF(A91="","",INDEX(Register!$H$9:$H$2008,MATCH(A91,Register!$A$9:$A$2008,0)))</f>
        <v/>
      </c>
      <c r="I91" s="10" t="str">
        <f aca="false">IF(A91="","",INDEX(Register!$I$9:$I$2008,MATCH(A91,Register!$A$9:$A$2008,0))&amp;"")</f>
        <v/>
      </c>
      <c r="J91" s="8"/>
    </row>
    <row r="92" customFormat="false" ht="15" hidden="false" customHeight="false" outlineLevel="0" collapsed="false">
      <c r="A92" s="10" t="str">
        <f aca="false">IFERROR(INDEX(Register!$A$9:$A$2008,MATCH(84,Register!$M$9:$M$2008,0)),"")</f>
        <v/>
      </c>
      <c r="B92" s="22" t="str">
        <f aca="false">IF(A92="","",INDEX(Register!$B$9:$B$2008,MATCH(A92,Register!$A$9:$A$2008,0)))</f>
        <v/>
      </c>
      <c r="C92" s="23" t="str">
        <f aca="false">IF(A92="","",SUMIFS(Register!$E$9:$E$2008,Register!$A$9:$A$2008,A92))</f>
        <v/>
      </c>
      <c r="D92" s="23" t="str">
        <f aca="false">IF(A92="","",SUMIFS(Register!$F$9:$F$2008,Register!$A$9:$A$2008,A92))</f>
        <v/>
      </c>
      <c r="E92" s="10" t="str">
        <f aca="false">IF(A92="","",IF(ABS(C92-D92)&lt;0.5,"Yes","No"))</f>
        <v/>
      </c>
      <c r="F92" s="21" t="str">
        <f aca="false">IF(A92="","",COUNTIF(Register!$A$9:$A$2008,A92))</f>
        <v/>
      </c>
      <c r="G92" s="21" t="str">
        <f aca="false">IF(A92="","",COUNTIFS(Register!$A$9:$A$2008,A92,Register!$L$9:$L$2008,"?*"))</f>
        <v/>
      </c>
      <c r="H92" s="10" t="str">
        <f aca="false">IF(A92="","",INDEX(Register!$H$9:$H$2008,MATCH(A92,Register!$A$9:$A$2008,0)))</f>
        <v/>
      </c>
      <c r="I92" s="10" t="str">
        <f aca="false">IF(A92="","",INDEX(Register!$I$9:$I$2008,MATCH(A92,Register!$A$9:$A$2008,0))&amp;"")</f>
        <v/>
      </c>
      <c r="J92" s="8"/>
    </row>
    <row r="93" customFormat="false" ht="15" hidden="false" customHeight="false" outlineLevel="0" collapsed="false">
      <c r="A93" s="10" t="str">
        <f aca="false">IFERROR(INDEX(Register!$A$9:$A$2008,MATCH(85,Register!$M$9:$M$2008,0)),"")</f>
        <v/>
      </c>
      <c r="B93" s="22" t="str">
        <f aca="false">IF(A93="","",INDEX(Register!$B$9:$B$2008,MATCH(A93,Register!$A$9:$A$2008,0)))</f>
        <v/>
      </c>
      <c r="C93" s="23" t="str">
        <f aca="false">IF(A93="","",SUMIFS(Register!$E$9:$E$2008,Register!$A$9:$A$2008,A93))</f>
        <v/>
      </c>
      <c r="D93" s="23" t="str">
        <f aca="false">IF(A93="","",SUMIFS(Register!$F$9:$F$2008,Register!$A$9:$A$2008,A93))</f>
        <v/>
      </c>
      <c r="E93" s="10" t="str">
        <f aca="false">IF(A93="","",IF(ABS(C93-D93)&lt;0.5,"Yes","No"))</f>
        <v/>
      </c>
      <c r="F93" s="21" t="str">
        <f aca="false">IF(A93="","",COUNTIF(Register!$A$9:$A$2008,A93))</f>
        <v/>
      </c>
      <c r="G93" s="21" t="str">
        <f aca="false">IF(A93="","",COUNTIFS(Register!$A$9:$A$2008,A93,Register!$L$9:$L$2008,"?*"))</f>
        <v/>
      </c>
      <c r="H93" s="10" t="str">
        <f aca="false">IF(A93="","",INDEX(Register!$H$9:$H$2008,MATCH(A93,Register!$A$9:$A$2008,0)))</f>
        <v/>
      </c>
      <c r="I93" s="10" t="str">
        <f aca="false">IF(A93="","",INDEX(Register!$I$9:$I$2008,MATCH(A93,Register!$A$9:$A$2008,0))&amp;"")</f>
        <v/>
      </c>
      <c r="J93" s="8"/>
    </row>
    <row r="94" customFormat="false" ht="15" hidden="false" customHeight="false" outlineLevel="0" collapsed="false">
      <c r="A94" s="10" t="str">
        <f aca="false">IFERROR(INDEX(Register!$A$9:$A$2008,MATCH(86,Register!$M$9:$M$2008,0)),"")</f>
        <v/>
      </c>
      <c r="B94" s="22" t="str">
        <f aca="false">IF(A94="","",INDEX(Register!$B$9:$B$2008,MATCH(A94,Register!$A$9:$A$2008,0)))</f>
        <v/>
      </c>
      <c r="C94" s="23" t="str">
        <f aca="false">IF(A94="","",SUMIFS(Register!$E$9:$E$2008,Register!$A$9:$A$2008,A94))</f>
        <v/>
      </c>
      <c r="D94" s="23" t="str">
        <f aca="false">IF(A94="","",SUMIFS(Register!$F$9:$F$2008,Register!$A$9:$A$2008,A94))</f>
        <v/>
      </c>
      <c r="E94" s="10" t="str">
        <f aca="false">IF(A94="","",IF(ABS(C94-D94)&lt;0.5,"Yes","No"))</f>
        <v/>
      </c>
      <c r="F94" s="21" t="str">
        <f aca="false">IF(A94="","",COUNTIF(Register!$A$9:$A$2008,A94))</f>
        <v/>
      </c>
      <c r="G94" s="21" t="str">
        <f aca="false">IF(A94="","",COUNTIFS(Register!$A$9:$A$2008,A94,Register!$L$9:$L$2008,"?*"))</f>
        <v/>
      </c>
      <c r="H94" s="10" t="str">
        <f aca="false">IF(A94="","",INDEX(Register!$H$9:$H$2008,MATCH(A94,Register!$A$9:$A$2008,0)))</f>
        <v/>
      </c>
      <c r="I94" s="10" t="str">
        <f aca="false">IF(A94="","",INDEX(Register!$I$9:$I$2008,MATCH(A94,Register!$A$9:$A$2008,0))&amp;"")</f>
        <v/>
      </c>
      <c r="J94" s="8"/>
    </row>
    <row r="95" customFormat="false" ht="15" hidden="false" customHeight="false" outlineLevel="0" collapsed="false">
      <c r="A95" s="10" t="str">
        <f aca="false">IFERROR(INDEX(Register!$A$9:$A$2008,MATCH(87,Register!$M$9:$M$2008,0)),"")</f>
        <v/>
      </c>
      <c r="B95" s="22" t="str">
        <f aca="false">IF(A95="","",INDEX(Register!$B$9:$B$2008,MATCH(A95,Register!$A$9:$A$2008,0)))</f>
        <v/>
      </c>
      <c r="C95" s="23" t="str">
        <f aca="false">IF(A95="","",SUMIFS(Register!$E$9:$E$2008,Register!$A$9:$A$2008,A95))</f>
        <v/>
      </c>
      <c r="D95" s="23" t="str">
        <f aca="false">IF(A95="","",SUMIFS(Register!$F$9:$F$2008,Register!$A$9:$A$2008,A95))</f>
        <v/>
      </c>
      <c r="E95" s="10" t="str">
        <f aca="false">IF(A95="","",IF(ABS(C95-D95)&lt;0.5,"Yes","No"))</f>
        <v/>
      </c>
      <c r="F95" s="21" t="str">
        <f aca="false">IF(A95="","",COUNTIF(Register!$A$9:$A$2008,A95))</f>
        <v/>
      </c>
      <c r="G95" s="21" t="str">
        <f aca="false">IF(A95="","",COUNTIFS(Register!$A$9:$A$2008,A95,Register!$L$9:$L$2008,"?*"))</f>
        <v/>
      </c>
      <c r="H95" s="10" t="str">
        <f aca="false">IF(A95="","",INDEX(Register!$H$9:$H$2008,MATCH(A95,Register!$A$9:$A$2008,0)))</f>
        <v/>
      </c>
      <c r="I95" s="10" t="str">
        <f aca="false">IF(A95="","",INDEX(Register!$I$9:$I$2008,MATCH(A95,Register!$A$9:$A$2008,0))&amp;"")</f>
        <v/>
      </c>
      <c r="J95" s="8"/>
    </row>
    <row r="96" customFormat="false" ht="15" hidden="false" customHeight="false" outlineLevel="0" collapsed="false">
      <c r="A96" s="10" t="str">
        <f aca="false">IFERROR(INDEX(Register!$A$9:$A$2008,MATCH(88,Register!$M$9:$M$2008,0)),"")</f>
        <v/>
      </c>
      <c r="B96" s="22" t="str">
        <f aca="false">IF(A96="","",INDEX(Register!$B$9:$B$2008,MATCH(A96,Register!$A$9:$A$2008,0)))</f>
        <v/>
      </c>
      <c r="C96" s="23" t="str">
        <f aca="false">IF(A96="","",SUMIFS(Register!$E$9:$E$2008,Register!$A$9:$A$2008,A96))</f>
        <v/>
      </c>
      <c r="D96" s="23" t="str">
        <f aca="false">IF(A96="","",SUMIFS(Register!$F$9:$F$2008,Register!$A$9:$A$2008,A96))</f>
        <v/>
      </c>
      <c r="E96" s="10" t="str">
        <f aca="false">IF(A96="","",IF(ABS(C96-D96)&lt;0.5,"Yes","No"))</f>
        <v/>
      </c>
      <c r="F96" s="21" t="str">
        <f aca="false">IF(A96="","",COUNTIF(Register!$A$9:$A$2008,A96))</f>
        <v/>
      </c>
      <c r="G96" s="21" t="str">
        <f aca="false">IF(A96="","",COUNTIFS(Register!$A$9:$A$2008,A96,Register!$L$9:$L$2008,"?*"))</f>
        <v/>
      </c>
      <c r="H96" s="10" t="str">
        <f aca="false">IF(A96="","",INDEX(Register!$H$9:$H$2008,MATCH(A96,Register!$A$9:$A$2008,0)))</f>
        <v/>
      </c>
      <c r="I96" s="10" t="str">
        <f aca="false">IF(A96="","",INDEX(Register!$I$9:$I$2008,MATCH(A96,Register!$A$9:$A$2008,0))&amp;"")</f>
        <v/>
      </c>
      <c r="J96" s="8"/>
    </row>
    <row r="97" customFormat="false" ht="15" hidden="false" customHeight="false" outlineLevel="0" collapsed="false">
      <c r="A97" s="10" t="str">
        <f aca="false">IFERROR(INDEX(Register!$A$9:$A$2008,MATCH(89,Register!$M$9:$M$2008,0)),"")</f>
        <v/>
      </c>
      <c r="B97" s="22" t="str">
        <f aca="false">IF(A97="","",INDEX(Register!$B$9:$B$2008,MATCH(A97,Register!$A$9:$A$2008,0)))</f>
        <v/>
      </c>
      <c r="C97" s="23" t="str">
        <f aca="false">IF(A97="","",SUMIFS(Register!$E$9:$E$2008,Register!$A$9:$A$2008,A97))</f>
        <v/>
      </c>
      <c r="D97" s="23" t="str">
        <f aca="false">IF(A97="","",SUMIFS(Register!$F$9:$F$2008,Register!$A$9:$A$2008,A97))</f>
        <v/>
      </c>
      <c r="E97" s="10" t="str">
        <f aca="false">IF(A97="","",IF(ABS(C97-D97)&lt;0.5,"Yes","No"))</f>
        <v/>
      </c>
      <c r="F97" s="21" t="str">
        <f aca="false">IF(A97="","",COUNTIF(Register!$A$9:$A$2008,A97))</f>
        <v/>
      </c>
      <c r="G97" s="21" t="str">
        <f aca="false">IF(A97="","",COUNTIFS(Register!$A$9:$A$2008,A97,Register!$L$9:$L$2008,"?*"))</f>
        <v/>
      </c>
      <c r="H97" s="10" t="str">
        <f aca="false">IF(A97="","",INDEX(Register!$H$9:$H$2008,MATCH(A97,Register!$A$9:$A$2008,0)))</f>
        <v/>
      </c>
      <c r="I97" s="10" t="str">
        <f aca="false">IF(A97="","",INDEX(Register!$I$9:$I$2008,MATCH(A97,Register!$A$9:$A$2008,0))&amp;"")</f>
        <v/>
      </c>
      <c r="J97" s="8"/>
    </row>
    <row r="98" customFormat="false" ht="15" hidden="false" customHeight="false" outlineLevel="0" collapsed="false">
      <c r="A98" s="10" t="str">
        <f aca="false">IFERROR(INDEX(Register!$A$9:$A$2008,MATCH(90,Register!$M$9:$M$2008,0)),"")</f>
        <v/>
      </c>
      <c r="B98" s="22" t="str">
        <f aca="false">IF(A98="","",INDEX(Register!$B$9:$B$2008,MATCH(A98,Register!$A$9:$A$2008,0)))</f>
        <v/>
      </c>
      <c r="C98" s="23" t="str">
        <f aca="false">IF(A98="","",SUMIFS(Register!$E$9:$E$2008,Register!$A$9:$A$2008,A98))</f>
        <v/>
      </c>
      <c r="D98" s="23" t="str">
        <f aca="false">IF(A98="","",SUMIFS(Register!$F$9:$F$2008,Register!$A$9:$A$2008,A98))</f>
        <v/>
      </c>
      <c r="E98" s="10" t="str">
        <f aca="false">IF(A98="","",IF(ABS(C98-D98)&lt;0.5,"Yes","No"))</f>
        <v/>
      </c>
      <c r="F98" s="21" t="str">
        <f aca="false">IF(A98="","",COUNTIF(Register!$A$9:$A$2008,A98))</f>
        <v/>
      </c>
      <c r="G98" s="21" t="str">
        <f aca="false">IF(A98="","",COUNTIFS(Register!$A$9:$A$2008,A98,Register!$L$9:$L$2008,"?*"))</f>
        <v/>
      </c>
      <c r="H98" s="10" t="str">
        <f aca="false">IF(A98="","",INDEX(Register!$H$9:$H$2008,MATCH(A98,Register!$A$9:$A$2008,0)))</f>
        <v/>
      </c>
      <c r="I98" s="10" t="str">
        <f aca="false">IF(A98="","",INDEX(Register!$I$9:$I$2008,MATCH(A98,Register!$A$9:$A$2008,0))&amp;"")</f>
        <v/>
      </c>
      <c r="J98" s="8"/>
    </row>
    <row r="99" customFormat="false" ht="15" hidden="false" customHeight="false" outlineLevel="0" collapsed="false">
      <c r="A99" s="10" t="str">
        <f aca="false">IFERROR(INDEX(Register!$A$9:$A$2008,MATCH(91,Register!$M$9:$M$2008,0)),"")</f>
        <v/>
      </c>
      <c r="B99" s="22" t="str">
        <f aca="false">IF(A99="","",INDEX(Register!$B$9:$B$2008,MATCH(A99,Register!$A$9:$A$2008,0)))</f>
        <v/>
      </c>
      <c r="C99" s="23" t="str">
        <f aca="false">IF(A99="","",SUMIFS(Register!$E$9:$E$2008,Register!$A$9:$A$2008,A99))</f>
        <v/>
      </c>
      <c r="D99" s="23" t="str">
        <f aca="false">IF(A99="","",SUMIFS(Register!$F$9:$F$2008,Register!$A$9:$A$2008,A99))</f>
        <v/>
      </c>
      <c r="E99" s="10" t="str">
        <f aca="false">IF(A99="","",IF(ABS(C99-D99)&lt;0.5,"Yes","No"))</f>
        <v/>
      </c>
      <c r="F99" s="21" t="str">
        <f aca="false">IF(A99="","",COUNTIF(Register!$A$9:$A$2008,A99))</f>
        <v/>
      </c>
      <c r="G99" s="21" t="str">
        <f aca="false">IF(A99="","",COUNTIFS(Register!$A$9:$A$2008,A99,Register!$L$9:$L$2008,"?*"))</f>
        <v/>
      </c>
      <c r="H99" s="10" t="str">
        <f aca="false">IF(A99="","",INDEX(Register!$H$9:$H$2008,MATCH(A99,Register!$A$9:$A$2008,0)))</f>
        <v/>
      </c>
      <c r="I99" s="10" t="str">
        <f aca="false">IF(A99="","",INDEX(Register!$I$9:$I$2008,MATCH(A99,Register!$A$9:$A$2008,0))&amp;"")</f>
        <v/>
      </c>
      <c r="J99" s="8"/>
    </row>
    <row r="100" customFormat="false" ht="15" hidden="false" customHeight="false" outlineLevel="0" collapsed="false">
      <c r="A100" s="10" t="str">
        <f aca="false">IFERROR(INDEX(Register!$A$9:$A$2008,MATCH(92,Register!$M$9:$M$2008,0)),"")</f>
        <v/>
      </c>
      <c r="B100" s="22" t="str">
        <f aca="false">IF(A100="","",INDEX(Register!$B$9:$B$2008,MATCH(A100,Register!$A$9:$A$2008,0)))</f>
        <v/>
      </c>
      <c r="C100" s="23" t="str">
        <f aca="false">IF(A100="","",SUMIFS(Register!$E$9:$E$2008,Register!$A$9:$A$2008,A100))</f>
        <v/>
      </c>
      <c r="D100" s="23" t="str">
        <f aca="false">IF(A100="","",SUMIFS(Register!$F$9:$F$2008,Register!$A$9:$A$2008,A100))</f>
        <v/>
      </c>
      <c r="E100" s="10" t="str">
        <f aca="false">IF(A100="","",IF(ABS(C100-D100)&lt;0.5,"Yes","No"))</f>
        <v/>
      </c>
      <c r="F100" s="21" t="str">
        <f aca="false">IF(A100="","",COUNTIF(Register!$A$9:$A$2008,A100))</f>
        <v/>
      </c>
      <c r="G100" s="21" t="str">
        <f aca="false">IF(A100="","",COUNTIFS(Register!$A$9:$A$2008,A100,Register!$L$9:$L$2008,"?*"))</f>
        <v/>
      </c>
      <c r="H100" s="10" t="str">
        <f aca="false">IF(A100="","",INDEX(Register!$H$9:$H$2008,MATCH(A100,Register!$A$9:$A$2008,0)))</f>
        <v/>
      </c>
      <c r="I100" s="10" t="str">
        <f aca="false">IF(A100="","",INDEX(Register!$I$9:$I$2008,MATCH(A100,Register!$A$9:$A$2008,0))&amp;"")</f>
        <v/>
      </c>
      <c r="J100" s="8"/>
    </row>
    <row r="101" customFormat="false" ht="15" hidden="false" customHeight="false" outlineLevel="0" collapsed="false">
      <c r="A101" s="10" t="str">
        <f aca="false">IFERROR(INDEX(Register!$A$9:$A$2008,MATCH(93,Register!$M$9:$M$2008,0)),"")</f>
        <v/>
      </c>
      <c r="B101" s="22" t="str">
        <f aca="false">IF(A101="","",INDEX(Register!$B$9:$B$2008,MATCH(A101,Register!$A$9:$A$2008,0)))</f>
        <v/>
      </c>
      <c r="C101" s="23" t="str">
        <f aca="false">IF(A101="","",SUMIFS(Register!$E$9:$E$2008,Register!$A$9:$A$2008,A101))</f>
        <v/>
      </c>
      <c r="D101" s="23" t="str">
        <f aca="false">IF(A101="","",SUMIFS(Register!$F$9:$F$2008,Register!$A$9:$A$2008,A101))</f>
        <v/>
      </c>
      <c r="E101" s="10" t="str">
        <f aca="false">IF(A101="","",IF(ABS(C101-D101)&lt;0.5,"Yes","No"))</f>
        <v/>
      </c>
      <c r="F101" s="21" t="str">
        <f aca="false">IF(A101="","",COUNTIF(Register!$A$9:$A$2008,A101))</f>
        <v/>
      </c>
      <c r="G101" s="21" t="str">
        <f aca="false">IF(A101="","",COUNTIFS(Register!$A$9:$A$2008,A101,Register!$L$9:$L$2008,"?*"))</f>
        <v/>
      </c>
      <c r="H101" s="10" t="str">
        <f aca="false">IF(A101="","",INDEX(Register!$H$9:$H$2008,MATCH(A101,Register!$A$9:$A$2008,0)))</f>
        <v/>
      </c>
      <c r="I101" s="10" t="str">
        <f aca="false">IF(A101="","",INDEX(Register!$I$9:$I$2008,MATCH(A101,Register!$A$9:$A$2008,0))&amp;"")</f>
        <v/>
      </c>
      <c r="J101" s="8"/>
    </row>
    <row r="102" customFormat="false" ht="15" hidden="false" customHeight="false" outlineLevel="0" collapsed="false">
      <c r="A102" s="10" t="str">
        <f aca="false">IFERROR(INDEX(Register!$A$9:$A$2008,MATCH(94,Register!$M$9:$M$2008,0)),"")</f>
        <v/>
      </c>
      <c r="B102" s="22" t="str">
        <f aca="false">IF(A102="","",INDEX(Register!$B$9:$B$2008,MATCH(A102,Register!$A$9:$A$2008,0)))</f>
        <v/>
      </c>
      <c r="C102" s="23" t="str">
        <f aca="false">IF(A102="","",SUMIFS(Register!$E$9:$E$2008,Register!$A$9:$A$2008,A102))</f>
        <v/>
      </c>
      <c r="D102" s="23" t="str">
        <f aca="false">IF(A102="","",SUMIFS(Register!$F$9:$F$2008,Register!$A$9:$A$2008,A102))</f>
        <v/>
      </c>
      <c r="E102" s="10" t="str">
        <f aca="false">IF(A102="","",IF(ABS(C102-D102)&lt;0.5,"Yes","No"))</f>
        <v/>
      </c>
      <c r="F102" s="21" t="str">
        <f aca="false">IF(A102="","",COUNTIF(Register!$A$9:$A$2008,A102))</f>
        <v/>
      </c>
      <c r="G102" s="21" t="str">
        <f aca="false">IF(A102="","",COUNTIFS(Register!$A$9:$A$2008,A102,Register!$L$9:$L$2008,"?*"))</f>
        <v/>
      </c>
      <c r="H102" s="10" t="str">
        <f aca="false">IF(A102="","",INDEX(Register!$H$9:$H$2008,MATCH(A102,Register!$A$9:$A$2008,0)))</f>
        <v/>
      </c>
      <c r="I102" s="10" t="str">
        <f aca="false">IF(A102="","",INDEX(Register!$I$9:$I$2008,MATCH(A102,Register!$A$9:$A$2008,0))&amp;"")</f>
        <v/>
      </c>
      <c r="J102" s="8"/>
    </row>
    <row r="103" customFormat="false" ht="15" hidden="false" customHeight="false" outlineLevel="0" collapsed="false">
      <c r="A103" s="10" t="str">
        <f aca="false">IFERROR(INDEX(Register!$A$9:$A$2008,MATCH(95,Register!$M$9:$M$2008,0)),"")</f>
        <v/>
      </c>
      <c r="B103" s="22" t="str">
        <f aca="false">IF(A103="","",INDEX(Register!$B$9:$B$2008,MATCH(A103,Register!$A$9:$A$2008,0)))</f>
        <v/>
      </c>
      <c r="C103" s="23" t="str">
        <f aca="false">IF(A103="","",SUMIFS(Register!$E$9:$E$2008,Register!$A$9:$A$2008,A103))</f>
        <v/>
      </c>
      <c r="D103" s="23" t="str">
        <f aca="false">IF(A103="","",SUMIFS(Register!$F$9:$F$2008,Register!$A$9:$A$2008,A103))</f>
        <v/>
      </c>
      <c r="E103" s="10" t="str">
        <f aca="false">IF(A103="","",IF(ABS(C103-D103)&lt;0.5,"Yes","No"))</f>
        <v/>
      </c>
      <c r="F103" s="21" t="str">
        <f aca="false">IF(A103="","",COUNTIF(Register!$A$9:$A$2008,A103))</f>
        <v/>
      </c>
      <c r="G103" s="21" t="str">
        <f aca="false">IF(A103="","",COUNTIFS(Register!$A$9:$A$2008,A103,Register!$L$9:$L$2008,"?*"))</f>
        <v/>
      </c>
      <c r="H103" s="10" t="str">
        <f aca="false">IF(A103="","",INDEX(Register!$H$9:$H$2008,MATCH(A103,Register!$A$9:$A$2008,0)))</f>
        <v/>
      </c>
      <c r="I103" s="10" t="str">
        <f aca="false">IF(A103="","",INDEX(Register!$I$9:$I$2008,MATCH(A103,Register!$A$9:$A$2008,0))&amp;"")</f>
        <v/>
      </c>
      <c r="J103" s="8"/>
    </row>
    <row r="104" customFormat="false" ht="15" hidden="false" customHeight="false" outlineLevel="0" collapsed="false">
      <c r="A104" s="10" t="str">
        <f aca="false">IFERROR(INDEX(Register!$A$9:$A$2008,MATCH(96,Register!$M$9:$M$2008,0)),"")</f>
        <v/>
      </c>
      <c r="B104" s="22" t="str">
        <f aca="false">IF(A104="","",INDEX(Register!$B$9:$B$2008,MATCH(A104,Register!$A$9:$A$2008,0)))</f>
        <v/>
      </c>
      <c r="C104" s="23" t="str">
        <f aca="false">IF(A104="","",SUMIFS(Register!$E$9:$E$2008,Register!$A$9:$A$2008,A104))</f>
        <v/>
      </c>
      <c r="D104" s="23" t="str">
        <f aca="false">IF(A104="","",SUMIFS(Register!$F$9:$F$2008,Register!$A$9:$A$2008,A104))</f>
        <v/>
      </c>
      <c r="E104" s="10" t="str">
        <f aca="false">IF(A104="","",IF(ABS(C104-D104)&lt;0.5,"Yes","No"))</f>
        <v/>
      </c>
      <c r="F104" s="21" t="str">
        <f aca="false">IF(A104="","",COUNTIF(Register!$A$9:$A$2008,A104))</f>
        <v/>
      </c>
      <c r="G104" s="21" t="str">
        <f aca="false">IF(A104="","",COUNTIFS(Register!$A$9:$A$2008,A104,Register!$L$9:$L$2008,"?*"))</f>
        <v/>
      </c>
      <c r="H104" s="10" t="str">
        <f aca="false">IF(A104="","",INDEX(Register!$H$9:$H$2008,MATCH(A104,Register!$A$9:$A$2008,0)))</f>
        <v/>
      </c>
      <c r="I104" s="10" t="str">
        <f aca="false">IF(A104="","",INDEX(Register!$I$9:$I$2008,MATCH(A104,Register!$A$9:$A$2008,0))&amp;"")</f>
        <v/>
      </c>
      <c r="J104" s="8"/>
    </row>
    <row r="105" customFormat="false" ht="15" hidden="false" customHeight="false" outlineLevel="0" collapsed="false">
      <c r="A105" s="10" t="str">
        <f aca="false">IFERROR(INDEX(Register!$A$9:$A$2008,MATCH(97,Register!$M$9:$M$2008,0)),"")</f>
        <v/>
      </c>
      <c r="B105" s="22" t="str">
        <f aca="false">IF(A105="","",INDEX(Register!$B$9:$B$2008,MATCH(A105,Register!$A$9:$A$2008,0)))</f>
        <v/>
      </c>
      <c r="C105" s="23" t="str">
        <f aca="false">IF(A105="","",SUMIFS(Register!$E$9:$E$2008,Register!$A$9:$A$2008,A105))</f>
        <v/>
      </c>
      <c r="D105" s="23" t="str">
        <f aca="false">IF(A105="","",SUMIFS(Register!$F$9:$F$2008,Register!$A$9:$A$2008,A105))</f>
        <v/>
      </c>
      <c r="E105" s="10" t="str">
        <f aca="false">IF(A105="","",IF(ABS(C105-D105)&lt;0.5,"Yes","No"))</f>
        <v/>
      </c>
      <c r="F105" s="21" t="str">
        <f aca="false">IF(A105="","",COUNTIF(Register!$A$9:$A$2008,A105))</f>
        <v/>
      </c>
      <c r="G105" s="21" t="str">
        <f aca="false">IF(A105="","",COUNTIFS(Register!$A$9:$A$2008,A105,Register!$L$9:$L$2008,"?*"))</f>
        <v/>
      </c>
      <c r="H105" s="10" t="str">
        <f aca="false">IF(A105="","",INDEX(Register!$H$9:$H$2008,MATCH(A105,Register!$A$9:$A$2008,0)))</f>
        <v/>
      </c>
      <c r="I105" s="10" t="str">
        <f aca="false">IF(A105="","",INDEX(Register!$I$9:$I$2008,MATCH(A105,Register!$A$9:$A$2008,0))&amp;"")</f>
        <v/>
      </c>
      <c r="J105" s="8"/>
    </row>
    <row r="106" customFormat="false" ht="15" hidden="false" customHeight="false" outlineLevel="0" collapsed="false">
      <c r="A106" s="10" t="str">
        <f aca="false">IFERROR(INDEX(Register!$A$9:$A$2008,MATCH(98,Register!$M$9:$M$2008,0)),"")</f>
        <v/>
      </c>
      <c r="B106" s="22" t="str">
        <f aca="false">IF(A106="","",INDEX(Register!$B$9:$B$2008,MATCH(A106,Register!$A$9:$A$2008,0)))</f>
        <v/>
      </c>
      <c r="C106" s="23" t="str">
        <f aca="false">IF(A106="","",SUMIFS(Register!$E$9:$E$2008,Register!$A$9:$A$2008,A106))</f>
        <v/>
      </c>
      <c r="D106" s="23" t="str">
        <f aca="false">IF(A106="","",SUMIFS(Register!$F$9:$F$2008,Register!$A$9:$A$2008,A106))</f>
        <v/>
      </c>
      <c r="E106" s="10" t="str">
        <f aca="false">IF(A106="","",IF(ABS(C106-D106)&lt;0.5,"Yes","No"))</f>
        <v/>
      </c>
      <c r="F106" s="21" t="str">
        <f aca="false">IF(A106="","",COUNTIF(Register!$A$9:$A$2008,A106))</f>
        <v/>
      </c>
      <c r="G106" s="21" t="str">
        <f aca="false">IF(A106="","",COUNTIFS(Register!$A$9:$A$2008,A106,Register!$L$9:$L$2008,"?*"))</f>
        <v/>
      </c>
      <c r="H106" s="10" t="str">
        <f aca="false">IF(A106="","",INDEX(Register!$H$9:$H$2008,MATCH(A106,Register!$A$9:$A$2008,0)))</f>
        <v/>
      </c>
      <c r="I106" s="10" t="str">
        <f aca="false">IF(A106="","",INDEX(Register!$I$9:$I$2008,MATCH(A106,Register!$A$9:$A$2008,0))&amp;"")</f>
        <v/>
      </c>
      <c r="J106" s="8"/>
    </row>
    <row r="107" customFormat="false" ht="15" hidden="false" customHeight="false" outlineLevel="0" collapsed="false">
      <c r="A107" s="10" t="str">
        <f aca="false">IFERROR(INDEX(Register!$A$9:$A$2008,MATCH(99,Register!$M$9:$M$2008,0)),"")</f>
        <v/>
      </c>
      <c r="B107" s="22" t="str">
        <f aca="false">IF(A107="","",INDEX(Register!$B$9:$B$2008,MATCH(A107,Register!$A$9:$A$2008,0)))</f>
        <v/>
      </c>
      <c r="C107" s="23" t="str">
        <f aca="false">IF(A107="","",SUMIFS(Register!$E$9:$E$2008,Register!$A$9:$A$2008,A107))</f>
        <v/>
      </c>
      <c r="D107" s="23" t="str">
        <f aca="false">IF(A107="","",SUMIFS(Register!$F$9:$F$2008,Register!$A$9:$A$2008,A107))</f>
        <v/>
      </c>
      <c r="E107" s="10" t="str">
        <f aca="false">IF(A107="","",IF(ABS(C107-D107)&lt;0.5,"Yes","No"))</f>
        <v/>
      </c>
      <c r="F107" s="21" t="str">
        <f aca="false">IF(A107="","",COUNTIF(Register!$A$9:$A$2008,A107))</f>
        <v/>
      </c>
      <c r="G107" s="21" t="str">
        <f aca="false">IF(A107="","",COUNTIFS(Register!$A$9:$A$2008,A107,Register!$L$9:$L$2008,"?*"))</f>
        <v/>
      </c>
      <c r="H107" s="10" t="str">
        <f aca="false">IF(A107="","",INDEX(Register!$H$9:$H$2008,MATCH(A107,Register!$A$9:$A$2008,0)))</f>
        <v/>
      </c>
      <c r="I107" s="10" t="str">
        <f aca="false">IF(A107="","",INDEX(Register!$I$9:$I$2008,MATCH(A107,Register!$A$9:$A$2008,0))&amp;"")</f>
        <v/>
      </c>
      <c r="J107" s="8"/>
    </row>
    <row r="108" customFormat="false" ht="15" hidden="false" customHeight="false" outlineLevel="0" collapsed="false">
      <c r="A108" s="10" t="str">
        <f aca="false">IFERROR(INDEX(Register!$A$9:$A$2008,MATCH(100,Register!$M$9:$M$2008,0)),"")</f>
        <v/>
      </c>
      <c r="B108" s="22" t="str">
        <f aca="false">IF(A108="","",INDEX(Register!$B$9:$B$2008,MATCH(A108,Register!$A$9:$A$2008,0)))</f>
        <v/>
      </c>
      <c r="C108" s="23" t="str">
        <f aca="false">IF(A108="","",SUMIFS(Register!$E$9:$E$2008,Register!$A$9:$A$2008,A108))</f>
        <v/>
      </c>
      <c r="D108" s="23" t="str">
        <f aca="false">IF(A108="","",SUMIFS(Register!$F$9:$F$2008,Register!$A$9:$A$2008,A108))</f>
        <v/>
      </c>
      <c r="E108" s="10" t="str">
        <f aca="false">IF(A108="","",IF(ABS(C108-D108)&lt;0.5,"Yes","No"))</f>
        <v/>
      </c>
      <c r="F108" s="21" t="str">
        <f aca="false">IF(A108="","",COUNTIF(Register!$A$9:$A$2008,A108))</f>
        <v/>
      </c>
      <c r="G108" s="21" t="str">
        <f aca="false">IF(A108="","",COUNTIFS(Register!$A$9:$A$2008,A108,Register!$L$9:$L$2008,"?*"))</f>
        <v/>
      </c>
      <c r="H108" s="10" t="str">
        <f aca="false">IF(A108="","",INDEX(Register!$H$9:$H$2008,MATCH(A108,Register!$A$9:$A$2008,0)))</f>
        <v/>
      </c>
      <c r="I108" s="10" t="str">
        <f aca="false">IF(A108="","",INDEX(Register!$I$9:$I$2008,MATCH(A108,Register!$A$9:$A$2008,0))&amp;"")</f>
        <v/>
      </c>
      <c r="J108" s="8"/>
    </row>
    <row r="109" customFormat="false" ht="15" hidden="false" customHeight="false" outlineLevel="0" collapsed="false">
      <c r="A109" s="10" t="str">
        <f aca="false">IFERROR(INDEX(Register!$A$9:$A$2008,MATCH(101,Register!$M$9:$M$2008,0)),"")</f>
        <v/>
      </c>
      <c r="B109" s="22" t="str">
        <f aca="false">IF(A109="","",INDEX(Register!$B$9:$B$2008,MATCH(A109,Register!$A$9:$A$2008,0)))</f>
        <v/>
      </c>
      <c r="C109" s="23" t="str">
        <f aca="false">IF(A109="","",SUMIFS(Register!$E$9:$E$2008,Register!$A$9:$A$2008,A109))</f>
        <v/>
      </c>
      <c r="D109" s="23" t="str">
        <f aca="false">IF(A109="","",SUMIFS(Register!$F$9:$F$2008,Register!$A$9:$A$2008,A109))</f>
        <v/>
      </c>
      <c r="E109" s="10" t="str">
        <f aca="false">IF(A109="","",IF(ABS(C109-D109)&lt;0.5,"Yes","No"))</f>
        <v/>
      </c>
      <c r="F109" s="21" t="str">
        <f aca="false">IF(A109="","",COUNTIF(Register!$A$9:$A$2008,A109))</f>
        <v/>
      </c>
      <c r="G109" s="21" t="str">
        <f aca="false">IF(A109="","",COUNTIFS(Register!$A$9:$A$2008,A109,Register!$L$9:$L$2008,"?*"))</f>
        <v/>
      </c>
      <c r="H109" s="10" t="str">
        <f aca="false">IF(A109="","",INDEX(Register!$H$9:$H$2008,MATCH(A109,Register!$A$9:$A$2008,0)))</f>
        <v/>
      </c>
      <c r="I109" s="10" t="str">
        <f aca="false">IF(A109="","",INDEX(Register!$I$9:$I$2008,MATCH(A109,Register!$A$9:$A$2008,0))&amp;"")</f>
        <v/>
      </c>
      <c r="J109" s="8"/>
    </row>
    <row r="110" customFormat="false" ht="15" hidden="false" customHeight="false" outlineLevel="0" collapsed="false">
      <c r="A110" s="10" t="str">
        <f aca="false">IFERROR(INDEX(Register!$A$9:$A$2008,MATCH(102,Register!$M$9:$M$2008,0)),"")</f>
        <v/>
      </c>
      <c r="B110" s="22" t="str">
        <f aca="false">IF(A110="","",INDEX(Register!$B$9:$B$2008,MATCH(A110,Register!$A$9:$A$2008,0)))</f>
        <v/>
      </c>
      <c r="C110" s="23" t="str">
        <f aca="false">IF(A110="","",SUMIFS(Register!$E$9:$E$2008,Register!$A$9:$A$2008,A110))</f>
        <v/>
      </c>
      <c r="D110" s="23" t="str">
        <f aca="false">IF(A110="","",SUMIFS(Register!$F$9:$F$2008,Register!$A$9:$A$2008,A110))</f>
        <v/>
      </c>
      <c r="E110" s="10" t="str">
        <f aca="false">IF(A110="","",IF(ABS(C110-D110)&lt;0.5,"Yes","No"))</f>
        <v/>
      </c>
      <c r="F110" s="21" t="str">
        <f aca="false">IF(A110="","",COUNTIF(Register!$A$9:$A$2008,A110))</f>
        <v/>
      </c>
      <c r="G110" s="21" t="str">
        <f aca="false">IF(A110="","",COUNTIFS(Register!$A$9:$A$2008,A110,Register!$L$9:$L$2008,"?*"))</f>
        <v/>
      </c>
      <c r="H110" s="10" t="str">
        <f aca="false">IF(A110="","",INDEX(Register!$H$9:$H$2008,MATCH(A110,Register!$A$9:$A$2008,0)))</f>
        <v/>
      </c>
      <c r="I110" s="10" t="str">
        <f aca="false">IF(A110="","",INDEX(Register!$I$9:$I$2008,MATCH(A110,Register!$A$9:$A$2008,0))&amp;"")</f>
        <v/>
      </c>
      <c r="J110" s="8"/>
    </row>
    <row r="111" customFormat="false" ht="15" hidden="false" customHeight="false" outlineLevel="0" collapsed="false">
      <c r="A111" s="10" t="str">
        <f aca="false">IFERROR(INDEX(Register!$A$9:$A$2008,MATCH(103,Register!$M$9:$M$2008,0)),"")</f>
        <v/>
      </c>
      <c r="B111" s="22" t="str">
        <f aca="false">IF(A111="","",INDEX(Register!$B$9:$B$2008,MATCH(A111,Register!$A$9:$A$2008,0)))</f>
        <v/>
      </c>
      <c r="C111" s="23" t="str">
        <f aca="false">IF(A111="","",SUMIFS(Register!$E$9:$E$2008,Register!$A$9:$A$2008,A111))</f>
        <v/>
      </c>
      <c r="D111" s="23" t="str">
        <f aca="false">IF(A111="","",SUMIFS(Register!$F$9:$F$2008,Register!$A$9:$A$2008,A111))</f>
        <v/>
      </c>
      <c r="E111" s="10" t="str">
        <f aca="false">IF(A111="","",IF(ABS(C111-D111)&lt;0.5,"Yes","No"))</f>
        <v/>
      </c>
      <c r="F111" s="21" t="str">
        <f aca="false">IF(A111="","",COUNTIF(Register!$A$9:$A$2008,A111))</f>
        <v/>
      </c>
      <c r="G111" s="21" t="str">
        <f aca="false">IF(A111="","",COUNTIFS(Register!$A$9:$A$2008,A111,Register!$L$9:$L$2008,"?*"))</f>
        <v/>
      </c>
      <c r="H111" s="10" t="str">
        <f aca="false">IF(A111="","",INDEX(Register!$H$9:$H$2008,MATCH(A111,Register!$A$9:$A$2008,0)))</f>
        <v/>
      </c>
      <c r="I111" s="10" t="str">
        <f aca="false">IF(A111="","",INDEX(Register!$I$9:$I$2008,MATCH(A111,Register!$A$9:$A$2008,0))&amp;"")</f>
        <v/>
      </c>
      <c r="J111" s="8"/>
    </row>
    <row r="112" customFormat="false" ht="15" hidden="false" customHeight="false" outlineLevel="0" collapsed="false">
      <c r="A112" s="10" t="str">
        <f aca="false">IFERROR(INDEX(Register!$A$9:$A$2008,MATCH(104,Register!$M$9:$M$2008,0)),"")</f>
        <v/>
      </c>
      <c r="B112" s="22" t="str">
        <f aca="false">IF(A112="","",INDEX(Register!$B$9:$B$2008,MATCH(A112,Register!$A$9:$A$2008,0)))</f>
        <v/>
      </c>
      <c r="C112" s="23" t="str">
        <f aca="false">IF(A112="","",SUMIFS(Register!$E$9:$E$2008,Register!$A$9:$A$2008,A112))</f>
        <v/>
      </c>
      <c r="D112" s="23" t="str">
        <f aca="false">IF(A112="","",SUMIFS(Register!$F$9:$F$2008,Register!$A$9:$A$2008,A112))</f>
        <v/>
      </c>
      <c r="E112" s="10" t="str">
        <f aca="false">IF(A112="","",IF(ABS(C112-D112)&lt;0.5,"Yes","No"))</f>
        <v/>
      </c>
      <c r="F112" s="21" t="str">
        <f aca="false">IF(A112="","",COUNTIF(Register!$A$9:$A$2008,A112))</f>
        <v/>
      </c>
      <c r="G112" s="21" t="str">
        <f aca="false">IF(A112="","",COUNTIFS(Register!$A$9:$A$2008,A112,Register!$L$9:$L$2008,"?*"))</f>
        <v/>
      </c>
      <c r="H112" s="10" t="str">
        <f aca="false">IF(A112="","",INDEX(Register!$H$9:$H$2008,MATCH(A112,Register!$A$9:$A$2008,0)))</f>
        <v/>
      </c>
      <c r="I112" s="10" t="str">
        <f aca="false">IF(A112="","",INDEX(Register!$I$9:$I$2008,MATCH(A112,Register!$A$9:$A$2008,0))&amp;"")</f>
        <v/>
      </c>
      <c r="J112" s="8"/>
    </row>
    <row r="113" customFormat="false" ht="15" hidden="false" customHeight="false" outlineLevel="0" collapsed="false">
      <c r="A113" s="10" t="str">
        <f aca="false">IFERROR(INDEX(Register!$A$9:$A$2008,MATCH(105,Register!$M$9:$M$2008,0)),"")</f>
        <v/>
      </c>
      <c r="B113" s="22" t="str">
        <f aca="false">IF(A113="","",INDEX(Register!$B$9:$B$2008,MATCH(A113,Register!$A$9:$A$2008,0)))</f>
        <v/>
      </c>
      <c r="C113" s="23" t="str">
        <f aca="false">IF(A113="","",SUMIFS(Register!$E$9:$E$2008,Register!$A$9:$A$2008,A113))</f>
        <v/>
      </c>
      <c r="D113" s="23" t="str">
        <f aca="false">IF(A113="","",SUMIFS(Register!$F$9:$F$2008,Register!$A$9:$A$2008,A113))</f>
        <v/>
      </c>
      <c r="E113" s="10" t="str">
        <f aca="false">IF(A113="","",IF(ABS(C113-D113)&lt;0.5,"Yes","No"))</f>
        <v/>
      </c>
      <c r="F113" s="21" t="str">
        <f aca="false">IF(A113="","",COUNTIF(Register!$A$9:$A$2008,A113))</f>
        <v/>
      </c>
      <c r="G113" s="21" t="str">
        <f aca="false">IF(A113="","",COUNTIFS(Register!$A$9:$A$2008,A113,Register!$L$9:$L$2008,"?*"))</f>
        <v/>
      </c>
      <c r="H113" s="10" t="str">
        <f aca="false">IF(A113="","",INDEX(Register!$H$9:$H$2008,MATCH(A113,Register!$A$9:$A$2008,0)))</f>
        <v/>
      </c>
      <c r="I113" s="10" t="str">
        <f aca="false">IF(A113="","",INDEX(Register!$I$9:$I$2008,MATCH(A113,Register!$A$9:$A$2008,0))&amp;"")</f>
        <v/>
      </c>
      <c r="J113" s="8"/>
    </row>
    <row r="114" customFormat="false" ht="15" hidden="false" customHeight="false" outlineLevel="0" collapsed="false">
      <c r="A114" s="10" t="str">
        <f aca="false">IFERROR(INDEX(Register!$A$9:$A$2008,MATCH(106,Register!$M$9:$M$2008,0)),"")</f>
        <v/>
      </c>
      <c r="B114" s="22" t="str">
        <f aca="false">IF(A114="","",INDEX(Register!$B$9:$B$2008,MATCH(A114,Register!$A$9:$A$2008,0)))</f>
        <v/>
      </c>
      <c r="C114" s="23" t="str">
        <f aca="false">IF(A114="","",SUMIFS(Register!$E$9:$E$2008,Register!$A$9:$A$2008,A114))</f>
        <v/>
      </c>
      <c r="D114" s="23" t="str">
        <f aca="false">IF(A114="","",SUMIFS(Register!$F$9:$F$2008,Register!$A$9:$A$2008,A114))</f>
        <v/>
      </c>
      <c r="E114" s="10" t="str">
        <f aca="false">IF(A114="","",IF(ABS(C114-D114)&lt;0.5,"Yes","No"))</f>
        <v/>
      </c>
      <c r="F114" s="21" t="str">
        <f aca="false">IF(A114="","",COUNTIF(Register!$A$9:$A$2008,A114))</f>
        <v/>
      </c>
      <c r="G114" s="21" t="str">
        <f aca="false">IF(A114="","",COUNTIFS(Register!$A$9:$A$2008,A114,Register!$L$9:$L$2008,"?*"))</f>
        <v/>
      </c>
      <c r="H114" s="10" t="str">
        <f aca="false">IF(A114="","",INDEX(Register!$H$9:$H$2008,MATCH(A114,Register!$A$9:$A$2008,0)))</f>
        <v/>
      </c>
      <c r="I114" s="10" t="str">
        <f aca="false">IF(A114="","",INDEX(Register!$I$9:$I$2008,MATCH(A114,Register!$A$9:$A$2008,0))&amp;"")</f>
        <v/>
      </c>
      <c r="J114" s="8"/>
    </row>
    <row r="115" customFormat="false" ht="15" hidden="false" customHeight="false" outlineLevel="0" collapsed="false">
      <c r="A115" s="10" t="str">
        <f aca="false">IFERROR(INDEX(Register!$A$9:$A$2008,MATCH(107,Register!$M$9:$M$2008,0)),"")</f>
        <v/>
      </c>
      <c r="B115" s="22" t="str">
        <f aca="false">IF(A115="","",INDEX(Register!$B$9:$B$2008,MATCH(A115,Register!$A$9:$A$2008,0)))</f>
        <v/>
      </c>
      <c r="C115" s="23" t="str">
        <f aca="false">IF(A115="","",SUMIFS(Register!$E$9:$E$2008,Register!$A$9:$A$2008,A115))</f>
        <v/>
      </c>
      <c r="D115" s="23" t="str">
        <f aca="false">IF(A115="","",SUMIFS(Register!$F$9:$F$2008,Register!$A$9:$A$2008,A115))</f>
        <v/>
      </c>
      <c r="E115" s="10" t="str">
        <f aca="false">IF(A115="","",IF(ABS(C115-D115)&lt;0.5,"Yes","No"))</f>
        <v/>
      </c>
      <c r="F115" s="21" t="str">
        <f aca="false">IF(A115="","",COUNTIF(Register!$A$9:$A$2008,A115))</f>
        <v/>
      </c>
      <c r="G115" s="21" t="str">
        <f aca="false">IF(A115="","",COUNTIFS(Register!$A$9:$A$2008,A115,Register!$L$9:$L$2008,"?*"))</f>
        <v/>
      </c>
      <c r="H115" s="10" t="str">
        <f aca="false">IF(A115="","",INDEX(Register!$H$9:$H$2008,MATCH(A115,Register!$A$9:$A$2008,0)))</f>
        <v/>
      </c>
      <c r="I115" s="10" t="str">
        <f aca="false">IF(A115="","",INDEX(Register!$I$9:$I$2008,MATCH(A115,Register!$A$9:$A$2008,0))&amp;"")</f>
        <v/>
      </c>
      <c r="J115" s="8"/>
    </row>
    <row r="116" customFormat="false" ht="15" hidden="false" customHeight="false" outlineLevel="0" collapsed="false">
      <c r="A116" s="10" t="str">
        <f aca="false">IFERROR(INDEX(Register!$A$9:$A$2008,MATCH(108,Register!$M$9:$M$2008,0)),"")</f>
        <v/>
      </c>
      <c r="B116" s="22" t="str">
        <f aca="false">IF(A116="","",INDEX(Register!$B$9:$B$2008,MATCH(A116,Register!$A$9:$A$2008,0)))</f>
        <v/>
      </c>
      <c r="C116" s="23" t="str">
        <f aca="false">IF(A116="","",SUMIFS(Register!$E$9:$E$2008,Register!$A$9:$A$2008,A116))</f>
        <v/>
      </c>
      <c r="D116" s="23" t="str">
        <f aca="false">IF(A116="","",SUMIFS(Register!$F$9:$F$2008,Register!$A$9:$A$2008,A116))</f>
        <v/>
      </c>
      <c r="E116" s="10" t="str">
        <f aca="false">IF(A116="","",IF(ABS(C116-D116)&lt;0.5,"Yes","No"))</f>
        <v/>
      </c>
      <c r="F116" s="21" t="str">
        <f aca="false">IF(A116="","",COUNTIF(Register!$A$9:$A$2008,A116))</f>
        <v/>
      </c>
      <c r="G116" s="21" t="str">
        <f aca="false">IF(A116="","",COUNTIFS(Register!$A$9:$A$2008,A116,Register!$L$9:$L$2008,"?*"))</f>
        <v/>
      </c>
      <c r="H116" s="10" t="str">
        <f aca="false">IF(A116="","",INDEX(Register!$H$9:$H$2008,MATCH(A116,Register!$A$9:$A$2008,0)))</f>
        <v/>
      </c>
      <c r="I116" s="10" t="str">
        <f aca="false">IF(A116="","",INDEX(Register!$I$9:$I$2008,MATCH(A116,Register!$A$9:$A$2008,0))&amp;"")</f>
        <v/>
      </c>
      <c r="J116" s="8"/>
    </row>
    <row r="117" customFormat="false" ht="15" hidden="false" customHeight="false" outlineLevel="0" collapsed="false">
      <c r="A117" s="10" t="str">
        <f aca="false">IFERROR(INDEX(Register!$A$9:$A$2008,MATCH(109,Register!$M$9:$M$2008,0)),"")</f>
        <v/>
      </c>
      <c r="B117" s="22" t="str">
        <f aca="false">IF(A117="","",INDEX(Register!$B$9:$B$2008,MATCH(A117,Register!$A$9:$A$2008,0)))</f>
        <v/>
      </c>
      <c r="C117" s="23" t="str">
        <f aca="false">IF(A117="","",SUMIFS(Register!$E$9:$E$2008,Register!$A$9:$A$2008,A117))</f>
        <v/>
      </c>
      <c r="D117" s="23" t="str">
        <f aca="false">IF(A117="","",SUMIFS(Register!$F$9:$F$2008,Register!$A$9:$A$2008,A117))</f>
        <v/>
      </c>
      <c r="E117" s="10" t="str">
        <f aca="false">IF(A117="","",IF(ABS(C117-D117)&lt;0.5,"Yes","No"))</f>
        <v/>
      </c>
      <c r="F117" s="21" t="str">
        <f aca="false">IF(A117="","",COUNTIF(Register!$A$9:$A$2008,A117))</f>
        <v/>
      </c>
      <c r="G117" s="21" t="str">
        <f aca="false">IF(A117="","",COUNTIFS(Register!$A$9:$A$2008,A117,Register!$L$9:$L$2008,"?*"))</f>
        <v/>
      </c>
      <c r="H117" s="10" t="str">
        <f aca="false">IF(A117="","",INDEX(Register!$H$9:$H$2008,MATCH(A117,Register!$A$9:$A$2008,0)))</f>
        <v/>
      </c>
      <c r="I117" s="10" t="str">
        <f aca="false">IF(A117="","",INDEX(Register!$I$9:$I$2008,MATCH(A117,Register!$A$9:$A$2008,0))&amp;"")</f>
        <v/>
      </c>
      <c r="J117" s="8"/>
    </row>
    <row r="118" customFormat="false" ht="15" hidden="false" customHeight="false" outlineLevel="0" collapsed="false">
      <c r="A118" s="10" t="str">
        <f aca="false">IFERROR(INDEX(Register!$A$9:$A$2008,MATCH(110,Register!$M$9:$M$2008,0)),"")</f>
        <v/>
      </c>
      <c r="B118" s="22" t="str">
        <f aca="false">IF(A118="","",INDEX(Register!$B$9:$B$2008,MATCH(A118,Register!$A$9:$A$2008,0)))</f>
        <v/>
      </c>
      <c r="C118" s="23" t="str">
        <f aca="false">IF(A118="","",SUMIFS(Register!$E$9:$E$2008,Register!$A$9:$A$2008,A118))</f>
        <v/>
      </c>
      <c r="D118" s="23" t="str">
        <f aca="false">IF(A118="","",SUMIFS(Register!$F$9:$F$2008,Register!$A$9:$A$2008,A118))</f>
        <v/>
      </c>
      <c r="E118" s="10" t="str">
        <f aca="false">IF(A118="","",IF(ABS(C118-D118)&lt;0.5,"Yes","No"))</f>
        <v/>
      </c>
      <c r="F118" s="21" t="str">
        <f aca="false">IF(A118="","",COUNTIF(Register!$A$9:$A$2008,A118))</f>
        <v/>
      </c>
      <c r="G118" s="21" t="str">
        <f aca="false">IF(A118="","",COUNTIFS(Register!$A$9:$A$2008,A118,Register!$L$9:$L$2008,"?*"))</f>
        <v/>
      </c>
      <c r="H118" s="10" t="str">
        <f aca="false">IF(A118="","",INDEX(Register!$H$9:$H$2008,MATCH(A118,Register!$A$9:$A$2008,0)))</f>
        <v/>
      </c>
      <c r="I118" s="10" t="str">
        <f aca="false">IF(A118="","",INDEX(Register!$I$9:$I$2008,MATCH(A118,Register!$A$9:$A$2008,0))&amp;"")</f>
        <v/>
      </c>
      <c r="J118" s="8"/>
    </row>
    <row r="119" customFormat="false" ht="15" hidden="false" customHeight="false" outlineLevel="0" collapsed="false">
      <c r="A119" s="10" t="str">
        <f aca="false">IFERROR(INDEX(Register!$A$9:$A$2008,MATCH(111,Register!$M$9:$M$2008,0)),"")</f>
        <v/>
      </c>
      <c r="B119" s="22" t="str">
        <f aca="false">IF(A119="","",INDEX(Register!$B$9:$B$2008,MATCH(A119,Register!$A$9:$A$2008,0)))</f>
        <v/>
      </c>
      <c r="C119" s="23" t="str">
        <f aca="false">IF(A119="","",SUMIFS(Register!$E$9:$E$2008,Register!$A$9:$A$2008,A119))</f>
        <v/>
      </c>
      <c r="D119" s="23" t="str">
        <f aca="false">IF(A119="","",SUMIFS(Register!$F$9:$F$2008,Register!$A$9:$A$2008,A119))</f>
        <v/>
      </c>
      <c r="E119" s="10" t="str">
        <f aca="false">IF(A119="","",IF(ABS(C119-D119)&lt;0.5,"Yes","No"))</f>
        <v/>
      </c>
      <c r="F119" s="21" t="str">
        <f aca="false">IF(A119="","",COUNTIF(Register!$A$9:$A$2008,A119))</f>
        <v/>
      </c>
      <c r="G119" s="21" t="str">
        <f aca="false">IF(A119="","",COUNTIFS(Register!$A$9:$A$2008,A119,Register!$L$9:$L$2008,"?*"))</f>
        <v/>
      </c>
      <c r="H119" s="10" t="str">
        <f aca="false">IF(A119="","",INDEX(Register!$H$9:$H$2008,MATCH(A119,Register!$A$9:$A$2008,0)))</f>
        <v/>
      </c>
      <c r="I119" s="10" t="str">
        <f aca="false">IF(A119="","",INDEX(Register!$I$9:$I$2008,MATCH(A119,Register!$A$9:$A$2008,0))&amp;"")</f>
        <v/>
      </c>
      <c r="J119" s="8"/>
    </row>
    <row r="120" customFormat="false" ht="15" hidden="false" customHeight="false" outlineLevel="0" collapsed="false">
      <c r="A120" s="10" t="str">
        <f aca="false">IFERROR(INDEX(Register!$A$9:$A$2008,MATCH(112,Register!$M$9:$M$2008,0)),"")</f>
        <v/>
      </c>
      <c r="B120" s="22" t="str">
        <f aca="false">IF(A120="","",INDEX(Register!$B$9:$B$2008,MATCH(A120,Register!$A$9:$A$2008,0)))</f>
        <v/>
      </c>
      <c r="C120" s="23" t="str">
        <f aca="false">IF(A120="","",SUMIFS(Register!$E$9:$E$2008,Register!$A$9:$A$2008,A120))</f>
        <v/>
      </c>
      <c r="D120" s="23" t="str">
        <f aca="false">IF(A120="","",SUMIFS(Register!$F$9:$F$2008,Register!$A$9:$A$2008,A120))</f>
        <v/>
      </c>
      <c r="E120" s="10" t="str">
        <f aca="false">IF(A120="","",IF(ABS(C120-D120)&lt;0.5,"Yes","No"))</f>
        <v/>
      </c>
      <c r="F120" s="21" t="str">
        <f aca="false">IF(A120="","",COUNTIF(Register!$A$9:$A$2008,A120))</f>
        <v/>
      </c>
      <c r="G120" s="21" t="str">
        <f aca="false">IF(A120="","",COUNTIFS(Register!$A$9:$A$2008,A120,Register!$L$9:$L$2008,"?*"))</f>
        <v/>
      </c>
      <c r="H120" s="10" t="str">
        <f aca="false">IF(A120="","",INDEX(Register!$H$9:$H$2008,MATCH(A120,Register!$A$9:$A$2008,0)))</f>
        <v/>
      </c>
      <c r="I120" s="10" t="str">
        <f aca="false">IF(A120="","",INDEX(Register!$I$9:$I$2008,MATCH(A120,Register!$A$9:$A$2008,0))&amp;"")</f>
        <v/>
      </c>
      <c r="J120" s="8"/>
    </row>
    <row r="121" customFormat="false" ht="15" hidden="false" customHeight="false" outlineLevel="0" collapsed="false">
      <c r="A121" s="10" t="str">
        <f aca="false">IFERROR(INDEX(Register!$A$9:$A$2008,MATCH(113,Register!$M$9:$M$2008,0)),"")</f>
        <v/>
      </c>
      <c r="B121" s="22" t="str">
        <f aca="false">IF(A121="","",INDEX(Register!$B$9:$B$2008,MATCH(A121,Register!$A$9:$A$2008,0)))</f>
        <v/>
      </c>
      <c r="C121" s="23" t="str">
        <f aca="false">IF(A121="","",SUMIFS(Register!$E$9:$E$2008,Register!$A$9:$A$2008,A121))</f>
        <v/>
      </c>
      <c r="D121" s="23" t="str">
        <f aca="false">IF(A121="","",SUMIFS(Register!$F$9:$F$2008,Register!$A$9:$A$2008,A121))</f>
        <v/>
      </c>
      <c r="E121" s="10" t="str">
        <f aca="false">IF(A121="","",IF(ABS(C121-D121)&lt;0.5,"Yes","No"))</f>
        <v/>
      </c>
      <c r="F121" s="21" t="str">
        <f aca="false">IF(A121="","",COUNTIF(Register!$A$9:$A$2008,A121))</f>
        <v/>
      </c>
      <c r="G121" s="21" t="str">
        <f aca="false">IF(A121="","",COUNTIFS(Register!$A$9:$A$2008,A121,Register!$L$9:$L$2008,"?*"))</f>
        <v/>
      </c>
      <c r="H121" s="10" t="str">
        <f aca="false">IF(A121="","",INDEX(Register!$H$9:$H$2008,MATCH(A121,Register!$A$9:$A$2008,0)))</f>
        <v/>
      </c>
      <c r="I121" s="10" t="str">
        <f aca="false">IF(A121="","",INDEX(Register!$I$9:$I$2008,MATCH(A121,Register!$A$9:$A$2008,0))&amp;"")</f>
        <v/>
      </c>
      <c r="J121" s="8"/>
    </row>
    <row r="122" customFormat="false" ht="15" hidden="false" customHeight="false" outlineLevel="0" collapsed="false">
      <c r="A122" s="10" t="str">
        <f aca="false">IFERROR(INDEX(Register!$A$9:$A$2008,MATCH(114,Register!$M$9:$M$2008,0)),"")</f>
        <v/>
      </c>
      <c r="B122" s="22" t="str">
        <f aca="false">IF(A122="","",INDEX(Register!$B$9:$B$2008,MATCH(A122,Register!$A$9:$A$2008,0)))</f>
        <v/>
      </c>
      <c r="C122" s="23" t="str">
        <f aca="false">IF(A122="","",SUMIFS(Register!$E$9:$E$2008,Register!$A$9:$A$2008,A122))</f>
        <v/>
      </c>
      <c r="D122" s="23" t="str">
        <f aca="false">IF(A122="","",SUMIFS(Register!$F$9:$F$2008,Register!$A$9:$A$2008,A122))</f>
        <v/>
      </c>
      <c r="E122" s="10" t="str">
        <f aca="false">IF(A122="","",IF(ABS(C122-D122)&lt;0.5,"Yes","No"))</f>
        <v/>
      </c>
      <c r="F122" s="21" t="str">
        <f aca="false">IF(A122="","",COUNTIF(Register!$A$9:$A$2008,A122))</f>
        <v/>
      </c>
      <c r="G122" s="21" t="str">
        <f aca="false">IF(A122="","",COUNTIFS(Register!$A$9:$A$2008,A122,Register!$L$9:$L$2008,"?*"))</f>
        <v/>
      </c>
      <c r="H122" s="10" t="str">
        <f aca="false">IF(A122="","",INDEX(Register!$H$9:$H$2008,MATCH(A122,Register!$A$9:$A$2008,0)))</f>
        <v/>
      </c>
      <c r="I122" s="10" t="str">
        <f aca="false">IF(A122="","",INDEX(Register!$I$9:$I$2008,MATCH(A122,Register!$A$9:$A$2008,0))&amp;"")</f>
        <v/>
      </c>
      <c r="J122" s="8"/>
    </row>
    <row r="123" customFormat="false" ht="15" hidden="false" customHeight="false" outlineLevel="0" collapsed="false">
      <c r="A123" s="10" t="str">
        <f aca="false">IFERROR(INDEX(Register!$A$9:$A$2008,MATCH(115,Register!$M$9:$M$2008,0)),"")</f>
        <v/>
      </c>
      <c r="B123" s="22" t="str">
        <f aca="false">IF(A123="","",INDEX(Register!$B$9:$B$2008,MATCH(A123,Register!$A$9:$A$2008,0)))</f>
        <v/>
      </c>
      <c r="C123" s="23" t="str">
        <f aca="false">IF(A123="","",SUMIFS(Register!$E$9:$E$2008,Register!$A$9:$A$2008,A123))</f>
        <v/>
      </c>
      <c r="D123" s="23" t="str">
        <f aca="false">IF(A123="","",SUMIFS(Register!$F$9:$F$2008,Register!$A$9:$A$2008,A123))</f>
        <v/>
      </c>
      <c r="E123" s="10" t="str">
        <f aca="false">IF(A123="","",IF(ABS(C123-D123)&lt;0.5,"Yes","No"))</f>
        <v/>
      </c>
      <c r="F123" s="21" t="str">
        <f aca="false">IF(A123="","",COUNTIF(Register!$A$9:$A$2008,A123))</f>
        <v/>
      </c>
      <c r="G123" s="21" t="str">
        <f aca="false">IF(A123="","",COUNTIFS(Register!$A$9:$A$2008,A123,Register!$L$9:$L$2008,"?*"))</f>
        <v/>
      </c>
      <c r="H123" s="10" t="str">
        <f aca="false">IF(A123="","",INDEX(Register!$H$9:$H$2008,MATCH(A123,Register!$A$9:$A$2008,0)))</f>
        <v/>
      </c>
      <c r="I123" s="10" t="str">
        <f aca="false">IF(A123="","",INDEX(Register!$I$9:$I$2008,MATCH(A123,Register!$A$9:$A$2008,0))&amp;"")</f>
        <v/>
      </c>
      <c r="J123" s="8"/>
    </row>
    <row r="124" customFormat="false" ht="15" hidden="false" customHeight="false" outlineLevel="0" collapsed="false">
      <c r="A124" s="10" t="str">
        <f aca="false">IFERROR(INDEX(Register!$A$9:$A$2008,MATCH(116,Register!$M$9:$M$2008,0)),"")</f>
        <v/>
      </c>
      <c r="B124" s="22" t="str">
        <f aca="false">IF(A124="","",INDEX(Register!$B$9:$B$2008,MATCH(A124,Register!$A$9:$A$2008,0)))</f>
        <v/>
      </c>
      <c r="C124" s="23" t="str">
        <f aca="false">IF(A124="","",SUMIFS(Register!$E$9:$E$2008,Register!$A$9:$A$2008,A124))</f>
        <v/>
      </c>
      <c r="D124" s="23" t="str">
        <f aca="false">IF(A124="","",SUMIFS(Register!$F$9:$F$2008,Register!$A$9:$A$2008,A124))</f>
        <v/>
      </c>
      <c r="E124" s="10" t="str">
        <f aca="false">IF(A124="","",IF(ABS(C124-D124)&lt;0.5,"Yes","No"))</f>
        <v/>
      </c>
      <c r="F124" s="21" t="str">
        <f aca="false">IF(A124="","",COUNTIF(Register!$A$9:$A$2008,A124))</f>
        <v/>
      </c>
      <c r="G124" s="21" t="str">
        <f aca="false">IF(A124="","",COUNTIFS(Register!$A$9:$A$2008,A124,Register!$L$9:$L$2008,"?*"))</f>
        <v/>
      </c>
      <c r="H124" s="10" t="str">
        <f aca="false">IF(A124="","",INDEX(Register!$H$9:$H$2008,MATCH(A124,Register!$A$9:$A$2008,0)))</f>
        <v/>
      </c>
      <c r="I124" s="10" t="str">
        <f aca="false">IF(A124="","",INDEX(Register!$I$9:$I$2008,MATCH(A124,Register!$A$9:$A$2008,0))&amp;"")</f>
        <v/>
      </c>
      <c r="J124" s="8"/>
    </row>
    <row r="125" customFormat="false" ht="15" hidden="false" customHeight="false" outlineLevel="0" collapsed="false">
      <c r="A125" s="10" t="str">
        <f aca="false">IFERROR(INDEX(Register!$A$9:$A$2008,MATCH(117,Register!$M$9:$M$2008,0)),"")</f>
        <v/>
      </c>
      <c r="B125" s="22" t="str">
        <f aca="false">IF(A125="","",INDEX(Register!$B$9:$B$2008,MATCH(A125,Register!$A$9:$A$2008,0)))</f>
        <v/>
      </c>
      <c r="C125" s="23" t="str">
        <f aca="false">IF(A125="","",SUMIFS(Register!$E$9:$E$2008,Register!$A$9:$A$2008,A125))</f>
        <v/>
      </c>
      <c r="D125" s="23" t="str">
        <f aca="false">IF(A125="","",SUMIFS(Register!$F$9:$F$2008,Register!$A$9:$A$2008,A125))</f>
        <v/>
      </c>
      <c r="E125" s="10" t="str">
        <f aca="false">IF(A125="","",IF(ABS(C125-D125)&lt;0.5,"Yes","No"))</f>
        <v/>
      </c>
      <c r="F125" s="21" t="str">
        <f aca="false">IF(A125="","",COUNTIF(Register!$A$9:$A$2008,A125))</f>
        <v/>
      </c>
      <c r="G125" s="21" t="str">
        <f aca="false">IF(A125="","",COUNTIFS(Register!$A$9:$A$2008,A125,Register!$L$9:$L$2008,"?*"))</f>
        <v/>
      </c>
      <c r="H125" s="10" t="str">
        <f aca="false">IF(A125="","",INDEX(Register!$H$9:$H$2008,MATCH(A125,Register!$A$9:$A$2008,0)))</f>
        <v/>
      </c>
      <c r="I125" s="10" t="str">
        <f aca="false">IF(A125="","",INDEX(Register!$I$9:$I$2008,MATCH(A125,Register!$A$9:$A$2008,0))&amp;"")</f>
        <v/>
      </c>
      <c r="J125" s="8"/>
    </row>
    <row r="126" customFormat="false" ht="15" hidden="false" customHeight="false" outlineLevel="0" collapsed="false">
      <c r="A126" s="10" t="str">
        <f aca="false">IFERROR(INDEX(Register!$A$9:$A$2008,MATCH(118,Register!$M$9:$M$2008,0)),"")</f>
        <v/>
      </c>
      <c r="B126" s="22" t="str">
        <f aca="false">IF(A126="","",INDEX(Register!$B$9:$B$2008,MATCH(A126,Register!$A$9:$A$2008,0)))</f>
        <v/>
      </c>
      <c r="C126" s="23" t="str">
        <f aca="false">IF(A126="","",SUMIFS(Register!$E$9:$E$2008,Register!$A$9:$A$2008,A126))</f>
        <v/>
      </c>
      <c r="D126" s="23" t="str">
        <f aca="false">IF(A126="","",SUMIFS(Register!$F$9:$F$2008,Register!$A$9:$A$2008,A126))</f>
        <v/>
      </c>
      <c r="E126" s="10" t="str">
        <f aca="false">IF(A126="","",IF(ABS(C126-D126)&lt;0.5,"Yes","No"))</f>
        <v/>
      </c>
      <c r="F126" s="21" t="str">
        <f aca="false">IF(A126="","",COUNTIF(Register!$A$9:$A$2008,A126))</f>
        <v/>
      </c>
      <c r="G126" s="21" t="str">
        <f aca="false">IF(A126="","",COUNTIFS(Register!$A$9:$A$2008,A126,Register!$L$9:$L$2008,"?*"))</f>
        <v/>
      </c>
      <c r="H126" s="10" t="str">
        <f aca="false">IF(A126="","",INDEX(Register!$H$9:$H$2008,MATCH(A126,Register!$A$9:$A$2008,0)))</f>
        <v/>
      </c>
      <c r="I126" s="10" t="str">
        <f aca="false">IF(A126="","",INDEX(Register!$I$9:$I$2008,MATCH(A126,Register!$A$9:$A$2008,0))&amp;"")</f>
        <v/>
      </c>
      <c r="J126" s="8"/>
    </row>
    <row r="127" customFormat="false" ht="15" hidden="false" customHeight="false" outlineLevel="0" collapsed="false">
      <c r="A127" s="10" t="str">
        <f aca="false">IFERROR(INDEX(Register!$A$9:$A$2008,MATCH(119,Register!$M$9:$M$2008,0)),"")</f>
        <v/>
      </c>
      <c r="B127" s="22" t="str">
        <f aca="false">IF(A127="","",INDEX(Register!$B$9:$B$2008,MATCH(A127,Register!$A$9:$A$2008,0)))</f>
        <v/>
      </c>
      <c r="C127" s="23" t="str">
        <f aca="false">IF(A127="","",SUMIFS(Register!$E$9:$E$2008,Register!$A$9:$A$2008,A127))</f>
        <v/>
      </c>
      <c r="D127" s="23" t="str">
        <f aca="false">IF(A127="","",SUMIFS(Register!$F$9:$F$2008,Register!$A$9:$A$2008,A127))</f>
        <v/>
      </c>
      <c r="E127" s="10" t="str">
        <f aca="false">IF(A127="","",IF(ABS(C127-D127)&lt;0.5,"Yes","No"))</f>
        <v/>
      </c>
      <c r="F127" s="21" t="str">
        <f aca="false">IF(A127="","",COUNTIF(Register!$A$9:$A$2008,A127))</f>
        <v/>
      </c>
      <c r="G127" s="21" t="str">
        <f aca="false">IF(A127="","",COUNTIFS(Register!$A$9:$A$2008,A127,Register!$L$9:$L$2008,"?*"))</f>
        <v/>
      </c>
      <c r="H127" s="10" t="str">
        <f aca="false">IF(A127="","",INDEX(Register!$H$9:$H$2008,MATCH(A127,Register!$A$9:$A$2008,0)))</f>
        <v/>
      </c>
      <c r="I127" s="10" t="str">
        <f aca="false">IF(A127="","",INDEX(Register!$I$9:$I$2008,MATCH(A127,Register!$A$9:$A$2008,0))&amp;"")</f>
        <v/>
      </c>
      <c r="J127" s="8"/>
    </row>
    <row r="128" customFormat="false" ht="15" hidden="false" customHeight="false" outlineLevel="0" collapsed="false">
      <c r="A128" s="10" t="str">
        <f aca="false">IFERROR(INDEX(Register!$A$9:$A$2008,MATCH(120,Register!$M$9:$M$2008,0)),"")</f>
        <v/>
      </c>
      <c r="B128" s="22" t="str">
        <f aca="false">IF(A128="","",INDEX(Register!$B$9:$B$2008,MATCH(A128,Register!$A$9:$A$2008,0)))</f>
        <v/>
      </c>
      <c r="C128" s="23" t="str">
        <f aca="false">IF(A128="","",SUMIFS(Register!$E$9:$E$2008,Register!$A$9:$A$2008,A128))</f>
        <v/>
      </c>
      <c r="D128" s="23" t="str">
        <f aca="false">IF(A128="","",SUMIFS(Register!$F$9:$F$2008,Register!$A$9:$A$2008,A128))</f>
        <v/>
      </c>
      <c r="E128" s="10" t="str">
        <f aca="false">IF(A128="","",IF(ABS(C128-D128)&lt;0.5,"Yes","No"))</f>
        <v/>
      </c>
      <c r="F128" s="21" t="str">
        <f aca="false">IF(A128="","",COUNTIF(Register!$A$9:$A$2008,A128))</f>
        <v/>
      </c>
      <c r="G128" s="21" t="str">
        <f aca="false">IF(A128="","",COUNTIFS(Register!$A$9:$A$2008,A128,Register!$L$9:$L$2008,"?*"))</f>
        <v/>
      </c>
      <c r="H128" s="10" t="str">
        <f aca="false">IF(A128="","",INDEX(Register!$H$9:$H$2008,MATCH(A128,Register!$A$9:$A$2008,0)))</f>
        <v/>
      </c>
      <c r="I128" s="10" t="str">
        <f aca="false">IF(A128="","",INDEX(Register!$I$9:$I$2008,MATCH(A128,Register!$A$9:$A$2008,0))&amp;"")</f>
        <v/>
      </c>
      <c r="J128" s="8"/>
    </row>
    <row r="129" customFormat="false" ht="15" hidden="false" customHeight="false" outlineLevel="0" collapsed="false">
      <c r="A129" s="10" t="str">
        <f aca="false">IFERROR(INDEX(Register!$A$9:$A$2008,MATCH(121,Register!$M$9:$M$2008,0)),"")</f>
        <v/>
      </c>
      <c r="B129" s="22" t="str">
        <f aca="false">IF(A129="","",INDEX(Register!$B$9:$B$2008,MATCH(A129,Register!$A$9:$A$2008,0)))</f>
        <v/>
      </c>
      <c r="C129" s="23" t="str">
        <f aca="false">IF(A129="","",SUMIFS(Register!$E$9:$E$2008,Register!$A$9:$A$2008,A129))</f>
        <v/>
      </c>
      <c r="D129" s="23" t="str">
        <f aca="false">IF(A129="","",SUMIFS(Register!$F$9:$F$2008,Register!$A$9:$A$2008,A129))</f>
        <v/>
      </c>
      <c r="E129" s="10" t="str">
        <f aca="false">IF(A129="","",IF(ABS(C129-D129)&lt;0.5,"Yes","No"))</f>
        <v/>
      </c>
      <c r="F129" s="21" t="str">
        <f aca="false">IF(A129="","",COUNTIF(Register!$A$9:$A$2008,A129))</f>
        <v/>
      </c>
      <c r="G129" s="21" t="str">
        <f aca="false">IF(A129="","",COUNTIFS(Register!$A$9:$A$2008,A129,Register!$L$9:$L$2008,"?*"))</f>
        <v/>
      </c>
      <c r="H129" s="10" t="str">
        <f aca="false">IF(A129="","",INDEX(Register!$H$9:$H$2008,MATCH(A129,Register!$A$9:$A$2008,0)))</f>
        <v/>
      </c>
      <c r="I129" s="10" t="str">
        <f aca="false">IF(A129="","",INDEX(Register!$I$9:$I$2008,MATCH(A129,Register!$A$9:$A$2008,0))&amp;"")</f>
        <v/>
      </c>
      <c r="J129" s="8"/>
    </row>
    <row r="130" customFormat="false" ht="15" hidden="false" customHeight="false" outlineLevel="0" collapsed="false">
      <c r="A130" s="10" t="str">
        <f aca="false">IFERROR(INDEX(Register!$A$9:$A$2008,MATCH(122,Register!$M$9:$M$2008,0)),"")</f>
        <v/>
      </c>
      <c r="B130" s="22" t="str">
        <f aca="false">IF(A130="","",INDEX(Register!$B$9:$B$2008,MATCH(A130,Register!$A$9:$A$2008,0)))</f>
        <v/>
      </c>
      <c r="C130" s="23" t="str">
        <f aca="false">IF(A130="","",SUMIFS(Register!$E$9:$E$2008,Register!$A$9:$A$2008,A130))</f>
        <v/>
      </c>
      <c r="D130" s="23" t="str">
        <f aca="false">IF(A130="","",SUMIFS(Register!$F$9:$F$2008,Register!$A$9:$A$2008,A130))</f>
        <v/>
      </c>
      <c r="E130" s="10" t="str">
        <f aca="false">IF(A130="","",IF(ABS(C130-D130)&lt;0.5,"Yes","No"))</f>
        <v/>
      </c>
      <c r="F130" s="21" t="str">
        <f aca="false">IF(A130="","",COUNTIF(Register!$A$9:$A$2008,A130))</f>
        <v/>
      </c>
      <c r="G130" s="21" t="str">
        <f aca="false">IF(A130="","",COUNTIFS(Register!$A$9:$A$2008,A130,Register!$L$9:$L$2008,"?*"))</f>
        <v/>
      </c>
      <c r="H130" s="10" t="str">
        <f aca="false">IF(A130="","",INDEX(Register!$H$9:$H$2008,MATCH(A130,Register!$A$9:$A$2008,0)))</f>
        <v/>
      </c>
      <c r="I130" s="10" t="str">
        <f aca="false">IF(A130="","",INDEX(Register!$I$9:$I$2008,MATCH(A130,Register!$A$9:$A$2008,0))&amp;"")</f>
        <v/>
      </c>
      <c r="J130" s="8"/>
    </row>
    <row r="131" customFormat="false" ht="15" hidden="false" customHeight="false" outlineLevel="0" collapsed="false">
      <c r="A131" s="10" t="str">
        <f aca="false">IFERROR(INDEX(Register!$A$9:$A$2008,MATCH(123,Register!$M$9:$M$2008,0)),"")</f>
        <v/>
      </c>
      <c r="B131" s="22" t="str">
        <f aca="false">IF(A131="","",INDEX(Register!$B$9:$B$2008,MATCH(A131,Register!$A$9:$A$2008,0)))</f>
        <v/>
      </c>
      <c r="C131" s="23" t="str">
        <f aca="false">IF(A131="","",SUMIFS(Register!$E$9:$E$2008,Register!$A$9:$A$2008,A131))</f>
        <v/>
      </c>
      <c r="D131" s="23" t="str">
        <f aca="false">IF(A131="","",SUMIFS(Register!$F$9:$F$2008,Register!$A$9:$A$2008,A131))</f>
        <v/>
      </c>
      <c r="E131" s="10" t="str">
        <f aca="false">IF(A131="","",IF(ABS(C131-D131)&lt;0.5,"Yes","No"))</f>
        <v/>
      </c>
      <c r="F131" s="21" t="str">
        <f aca="false">IF(A131="","",COUNTIF(Register!$A$9:$A$2008,A131))</f>
        <v/>
      </c>
      <c r="G131" s="21" t="str">
        <f aca="false">IF(A131="","",COUNTIFS(Register!$A$9:$A$2008,A131,Register!$L$9:$L$2008,"?*"))</f>
        <v/>
      </c>
      <c r="H131" s="10" t="str">
        <f aca="false">IF(A131="","",INDEX(Register!$H$9:$H$2008,MATCH(A131,Register!$A$9:$A$2008,0)))</f>
        <v/>
      </c>
      <c r="I131" s="10" t="str">
        <f aca="false">IF(A131="","",INDEX(Register!$I$9:$I$2008,MATCH(A131,Register!$A$9:$A$2008,0))&amp;"")</f>
        <v/>
      </c>
      <c r="J131" s="8"/>
    </row>
    <row r="132" customFormat="false" ht="15" hidden="false" customHeight="false" outlineLevel="0" collapsed="false">
      <c r="A132" s="10" t="str">
        <f aca="false">IFERROR(INDEX(Register!$A$9:$A$2008,MATCH(124,Register!$M$9:$M$2008,0)),"")</f>
        <v/>
      </c>
      <c r="B132" s="22" t="str">
        <f aca="false">IF(A132="","",INDEX(Register!$B$9:$B$2008,MATCH(A132,Register!$A$9:$A$2008,0)))</f>
        <v/>
      </c>
      <c r="C132" s="23" t="str">
        <f aca="false">IF(A132="","",SUMIFS(Register!$E$9:$E$2008,Register!$A$9:$A$2008,A132))</f>
        <v/>
      </c>
      <c r="D132" s="23" t="str">
        <f aca="false">IF(A132="","",SUMIFS(Register!$F$9:$F$2008,Register!$A$9:$A$2008,A132))</f>
        <v/>
      </c>
      <c r="E132" s="10" t="str">
        <f aca="false">IF(A132="","",IF(ABS(C132-D132)&lt;0.5,"Yes","No"))</f>
        <v/>
      </c>
      <c r="F132" s="21" t="str">
        <f aca="false">IF(A132="","",COUNTIF(Register!$A$9:$A$2008,A132))</f>
        <v/>
      </c>
      <c r="G132" s="21" t="str">
        <f aca="false">IF(A132="","",COUNTIFS(Register!$A$9:$A$2008,A132,Register!$L$9:$L$2008,"?*"))</f>
        <v/>
      </c>
      <c r="H132" s="10" t="str">
        <f aca="false">IF(A132="","",INDEX(Register!$H$9:$H$2008,MATCH(A132,Register!$A$9:$A$2008,0)))</f>
        <v/>
      </c>
      <c r="I132" s="10" t="str">
        <f aca="false">IF(A132="","",INDEX(Register!$I$9:$I$2008,MATCH(A132,Register!$A$9:$A$2008,0))&amp;"")</f>
        <v/>
      </c>
      <c r="J132" s="8"/>
    </row>
    <row r="133" customFormat="false" ht="15" hidden="false" customHeight="false" outlineLevel="0" collapsed="false">
      <c r="A133" s="10" t="str">
        <f aca="false">IFERROR(INDEX(Register!$A$9:$A$2008,MATCH(125,Register!$M$9:$M$2008,0)),"")</f>
        <v/>
      </c>
      <c r="B133" s="22" t="str">
        <f aca="false">IF(A133="","",INDEX(Register!$B$9:$B$2008,MATCH(A133,Register!$A$9:$A$2008,0)))</f>
        <v/>
      </c>
      <c r="C133" s="23" t="str">
        <f aca="false">IF(A133="","",SUMIFS(Register!$E$9:$E$2008,Register!$A$9:$A$2008,A133))</f>
        <v/>
      </c>
      <c r="D133" s="23" t="str">
        <f aca="false">IF(A133="","",SUMIFS(Register!$F$9:$F$2008,Register!$A$9:$A$2008,A133))</f>
        <v/>
      </c>
      <c r="E133" s="10" t="str">
        <f aca="false">IF(A133="","",IF(ABS(C133-D133)&lt;0.5,"Yes","No"))</f>
        <v/>
      </c>
      <c r="F133" s="21" t="str">
        <f aca="false">IF(A133="","",COUNTIF(Register!$A$9:$A$2008,A133))</f>
        <v/>
      </c>
      <c r="G133" s="21" t="str">
        <f aca="false">IF(A133="","",COUNTIFS(Register!$A$9:$A$2008,A133,Register!$L$9:$L$2008,"?*"))</f>
        <v/>
      </c>
      <c r="H133" s="10" t="str">
        <f aca="false">IF(A133="","",INDEX(Register!$H$9:$H$2008,MATCH(A133,Register!$A$9:$A$2008,0)))</f>
        <v/>
      </c>
      <c r="I133" s="10" t="str">
        <f aca="false">IF(A133="","",INDEX(Register!$I$9:$I$2008,MATCH(A133,Register!$A$9:$A$2008,0))&amp;"")</f>
        <v/>
      </c>
      <c r="J133" s="8"/>
    </row>
    <row r="134" customFormat="false" ht="15" hidden="false" customHeight="false" outlineLevel="0" collapsed="false">
      <c r="A134" s="10" t="str">
        <f aca="false">IFERROR(INDEX(Register!$A$9:$A$2008,MATCH(126,Register!$M$9:$M$2008,0)),"")</f>
        <v/>
      </c>
      <c r="B134" s="22" t="str">
        <f aca="false">IF(A134="","",INDEX(Register!$B$9:$B$2008,MATCH(A134,Register!$A$9:$A$2008,0)))</f>
        <v/>
      </c>
      <c r="C134" s="23" t="str">
        <f aca="false">IF(A134="","",SUMIFS(Register!$E$9:$E$2008,Register!$A$9:$A$2008,A134))</f>
        <v/>
      </c>
      <c r="D134" s="23" t="str">
        <f aca="false">IF(A134="","",SUMIFS(Register!$F$9:$F$2008,Register!$A$9:$A$2008,A134))</f>
        <v/>
      </c>
      <c r="E134" s="10" t="str">
        <f aca="false">IF(A134="","",IF(ABS(C134-D134)&lt;0.5,"Yes","No"))</f>
        <v/>
      </c>
      <c r="F134" s="21" t="str">
        <f aca="false">IF(A134="","",COUNTIF(Register!$A$9:$A$2008,A134))</f>
        <v/>
      </c>
      <c r="G134" s="21" t="str">
        <f aca="false">IF(A134="","",COUNTIFS(Register!$A$9:$A$2008,A134,Register!$L$9:$L$2008,"?*"))</f>
        <v/>
      </c>
      <c r="H134" s="10" t="str">
        <f aca="false">IF(A134="","",INDEX(Register!$H$9:$H$2008,MATCH(A134,Register!$A$9:$A$2008,0)))</f>
        <v/>
      </c>
      <c r="I134" s="10" t="str">
        <f aca="false">IF(A134="","",INDEX(Register!$I$9:$I$2008,MATCH(A134,Register!$A$9:$A$2008,0))&amp;"")</f>
        <v/>
      </c>
      <c r="J134" s="8"/>
    </row>
    <row r="135" customFormat="false" ht="15" hidden="false" customHeight="false" outlineLevel="0" collapsed="false">
      <c r="A135" s="10" t="str">
        <f aca="false">IFERROR(INDEX(Register!$A$9:$A$2008,MATCH(127,Register!$M$9:$M$2008,0)),"")</f>
        <v/>
      </c>
      <c r="B135" s="22" t="str">
        <f aca="false">IF(A135="","",INDEX(Register!$B$9:$B$2008,MATCH(A135,Register!$A$9:$A$2008,0)))</f>
        <v/>
      </c>
      <c r="C135" s="23" t="str">
        <f aca="false">IF(A135="","",SUMIFS(Register!$E$9:$E$2008,Register!$A$9:$A$2008,A135))</f>
        <v/>
      </c>
      <c r="D135" s="23" t="str">
        <f aca="false">IF(A135="","",SUMIFS(Register!$F$9:$F$2008,Register!$A$9:$A$2008,A135))</f>
        <v/>
      </c>
      <c r="E135" s="10" t="str">
        <f aca="false">IF(A135="","",IF(ABS(C135-D135)&lt;0.5,"Yes","No"))</f>
        <v/>
      </c>
      <c r="F135" s="21" t="str">
        <f aca="false">IF(A135="","",COUNTIF(Register!$A$9:$A$2008,A135))</f>
        <v/>
      </c>
      <c r="G135" s="21" t="str">
        <f aca="false">IF(A135="","",COUNTIFS(Register!$A$9:$A$2008,A135,Register!$L$9:$L$2008,"?*"))</f>
        <v/>
      </c>
      <c r="H135" s="10" t="str">
        <f aca="false">IF(A135="","",INDEX(Register!$H$9:$H$2008,MATCH(A135,Register!$A$9:$A$2008,0)))</f>
        <v/>
      </c>
      <c r="I135" s="10" t="str">
        <f aca="false">IF(A135="","",INDEX(Register!$I$9:$I$2008,MATCH(A135,Register!$A$9:$A$2008,0))&amp;"")</f>
        <v/>
      </c>
      <c r="J135" s="8"/>
    </row>
    <row r="136" customFormat="false" ht="15" hidden="false" customHeight="false" outlineLevel="0" collapsed="false">
      <c r="A136" s="10" t="str">
        <f aca="false">IFERROR(INDEX(Register!$A$9:$A$2008,MATCH(128,Register!$M$9:$M$2008,0)),"")</f>
        <v/>
      </c>
      <c r="B136" s="22" t="str">
        <f aca="false">IF(A136="","",INDEX(Register!$B$9:$B$2008,MATCH(A136,Register!$A$9:$A$2008,0)))</f>
        <v/>
      </c>
      <c r="C136" s="23" t="str">
        <f aca="false">IF(A136="","",SUMIFS(Register!$E$9:$E$2008,Register!$A$9:$A$2008,A136))</f>
        <v/>
      </c>
      <c r="D136" s="23" t="str">
        <f aca="false">IF(A136="","",SUMIFS(Register!$F$9:$F$2008,Register!$A$9:$A$2008,A136))</f>
        <v/>
      </c>
      <c r="E136" s="10" t="str">
        <f aca="false">IF(A136="","",IF(ABS(C136-D136)&lt;0.5,"Yes","No"))</f>
        <v/>
      </c>
      <c r="F136" s="21" t="str">
        <f aca="false">IF(A136="","",COUNTIF(Register!$A$9:$A$2008,A136))</f>
        <v/>
      </c>
      <c r="G136" s="21" t="str">
        <f aca="false">IF(A136="","",COUNTIFS(Register!$A$9:$A$2008,A136,Register!$L$9:$L$2008,"?*"))</f>
        <v/>
      </c>
      <c r="H136" s="10" t="str">
        <f aca="false">IF(A136="","",INDEX(Register!$H$9:$H$2008,MATCH(A136,Register!$A$9:$A$2008,0)))</f>
        <v/>
      </c>
      <c r="I136" s="10" t="str">
        <f aca="false">IF(A136="","",INDEX(Register!$I$9:$I$2008,MATCH(A136,Register!$A$9:$A$2008,0))&amp;"")</f>
        <v/>
      </c>
      <c r="J136" s="8"/>
    </row>
    <row r="137" customFormat="false" ht="15" hidden="false" customHeight="false" outlineLevel="0" collapsed="false">
      <c r="A137" s="10" t="str">
        <f aca="false">IFERROR(INDEX(Register!$A$9:$A$2008,MATCH(129,Register!$M$9:$M$2008,0)),"")</f>
        <v/>
      </c>
      <c r="B137" s="22" t="str">
        <f aca="false">IF(A137="","",INDEX(Register!$B$9:$B$2008,MATCH(A137,Register!$A$9:$A$2008,0)))</f>
        <v/>
      </c>
      <c r="C137" s="23" t="str">
        <f aca="false">IF(A137="","",SUMIFS(Register!$E$9:$E$2008,Register!$A$9:$A$2008,A137))</f>
        <v/>
      </c>
      <c r="D137" s="23" t="str">
        <f aca="false">IF(A137="","",SUMIFS(Register!$F$9:$F$2008,Register!$A$9:$A$2008,A137))</f>
        <v/>
      </c>
      <c r="E137" s="10" t="str">
        <f aca="false">IF(A137="","",IF(ABS(C137-D137)&lt;0.5,"Yes","No"))</f>
        <v/>
      </c>
      <c r="F137" s="21" t="str">
        <f aca="false">IF(A137="","",COUNTIF(Register!$A$9:$A$2008,A137))</f>
        <v/>
      </c>
      <c r="G137" s="21" t="str">
        <f aca="false">IF(A137="","",COUNTIFS(Register!$A$9:$A$2008,A137,Register!$L$9:$L$2008,"?*"))</f>
        <v/>
      </c>
      <c r="H137" s="10" t="str">
        <f aca="false">IF(A137="","",INDEX(Register!$H$9:$H$2008,MATCH(A137,Register!$A$9:$A$2008,0)))</f>
        <v/>
      </c>
      <c r="I137" s="10" t="str">
        <f aca="false">IF(A137="","",INDEX(Register!$I$9:$I$2008,MATCH(A137,Register!$A$9:$A$2008,0))&amp;"")</f>
        <v/>
      </c>
      <c r="J137" s="8"/>
    </row>
    <row r="138" customFormat="false" ht="15" hidden="false" customHeight="false" outlineLevel="0" collapsed="false">
      <c r="A138" s="10" t="str">
        <f aca="false">IFERROR(INDEX(Register!$A$9:$A$2008,MATCH(130,Register!$M$9:$M$2008,0)),"")</f>
        <v/>
      </c>
      <c r="B138" s="22" t="str">
        <f aca="false">IF(A138="","",INDEX(Register!$B$9:$B$2008,MATCH(A138,Register!$A$9:$A$2008,0)))</f>
        <v/>
      </c>
      <c r="C138" s="23" t="str">
        <f aca="false">IF(A138="","",SUMIFS(Register!$E$9:$E$2008,Register!$A$9:$A$2008,A138))</f>
        <v/>
      </c>
      <c r="D138" s="23" t="str">
        <f aca="false">IF(A138="","",SUMIFS(Register!$F$9:$F$2008,Register!$A$9:$A$2008,A138))</f>
        <v/>
      </c>
      <c r="E138" s="10" t="str">
        <f aca="false">IF(A138="","",IF(ABS(C138-D138)&lt;0.5,"Yes","No"))</f>
        <v/>
      </c>
      <c r="F138" s="21" t="str">
        <f aca="false">IF(A138="","",COUNTIF(Register!$A$9:$A$2008,A138))</f>
        <v/>
      </c>
      <c r="G138" s="21" t="str">
        <f aca="false">IF(A138="","",COUNTIFS(Register!$A$9:$A$2008,A138,Register!$L$9:$L$2008,"?*"))</f>
        <v/>
      </c>
      <c r="H138" s="10" t="str">
        <f aca="false">IF(A138="","",INDEX(Register!$H$9:$H$2008,MATCH(A138,Register!$A$9:$A$2008,0)))</f>
        <v/>
      </c>
      <c r="I138" s="10" t="str">
        <f aca="false">IF(A138="","",INDEX(Register!$I$9:$I$2008,MATCH(A138,Register!$A$9:$A$2008,0))&amp;"")</f>
        <v/>
      </c>
      <c r="J138" s="8"/>
    </row>
    <row r="139" customFormat="false" ht="15" hidden="false" customHeight="false" outlineLevel="0" collapsed="false">
      <c r="A139" s="10" t="str">
        <f aca="false">IFERROR(INDEX(Register!$A$9:$A$2008,MATCH(131,Register!$M$9:$M$2008,0)),"")</f>
        <v/>
      </c>
      <c r="B139" s="22" t="str">
        <f aca="false">IF(A139="","",INDEX(Register!$B$9:$B$2008,MATCH(A139,Register!$A$9:$A$2008,0)))</f>
        <v/>
      </c>
      <c r="C139" s="23" t="str">
        <f aca="false">IF(A139="","",SUMIFS(Register!$E$9:$E$2008,Register!$A$9:$A$2008,A139))</f>
        <v/>
      </c>
      <c r="D139" s="23" t="str">
        <f aca="false">IF(A139="","",SUMIFS(Register!$F$9:$F$2008,Register!$A$9:$A$2008,A139))</f>
        <v/>
      </c>
      <c r="E139" s="10" t="str">
        <f aca="false">IF(A139="","",IF(ABS(C139-D139)&lt;0.5,"Yes","No"))</f>
        <v/>
      </c>
      <c r="F139" s="21" t="str">
        <f aca="false">IF(A139="","",COUNTIF(Register!$A$9:$A$2008,A139))</f>
        <v/>
      </c>
      <c r="G139" s="21" t="str">
        <f aca="false">IF(A139="","",COUNTIFS(Register!$A$9:$A$2008,A139,Register!$L$9:$L$2008,"?*"))</f>
        <v/>
      </c>
      <c r="H139" s="10" t="str">
        <f aca="false">IF(A139="","",INDEX(Register!$H$9:$H$2008,MATCH(A139,Register!$A$9:$A$2008,0)))</f>
        <v/>
      </c>
      <c r="I139" s="10" t="str">
        <f aca="false">IF(A139="","",INDEX(Register!$I$9:$I$2008,MATCH(A139,Register!$A$9:$A$2008,0))&amp;"")</f>
        <v/>
      </c>
      <c r="J139" s="8"/>
    </row>
    <row r="140" customFormat="false" ht="15" hidden="false" customHeight="false" outlineLevel="0" collapsed="false">
      <c r="A140" s="10" t="str">
        <f aca="false">IFERROR(INDEX(Register!$A$9:$A$2008,MATCH(132,Register!$M$9:$M$2008,0)),"")</f>
        <v/>
      </c>
      <c r="B140" s="22" t="str">
        <f aca="false">IF(A140="","",INDEX(Register!$B$9:$B$2008,MATCH(A140,Register!$A$9:$A$2008,0)))</f>
        <v/>
      </c>
      <c r="C140" s="23" t="str">
        <f aca="false">IF(A140="","",SUMIFS(Register!$E$9:$E$2008,Register!$A$9:$A$2008,A140))</f>
        <v/>
      </c>
      <c r="D140" s="23" t="str">
        <f aca="false">IF(A140="","",SUMIFS(Register!$F$9:$F$2008,Register!$A$9:$A$2008,A140))</f>
        <v/>
      </c>
      <c r="E140" s="10" t="str">
        <f aca="false">IF(A140="","",IF(ABS(C140-D140)&lt;0.5,"Yes","No"))</f>
        <v/>
      </c>
      <c r="F140" s="21" t="str">
        <f aca="false">IF(A140="","",COUNTIF(Register!$A$9:$A$2008,A140))</f>
        <v/>
      </c>
      <c r="G140" s="21" t="str">
        <f aca="false">IF(A140="","",COUNTIFS(Register!$A$9:$A$2008,A140,Register!$L$9:$L$2008,"?*"))</f>
        <v/>
      </c>
      <c r="H140" s="10" t="str">
        <f aca="false">IF(A140="","",INDEX(Register!$H$9:$H$2008,MATCH(A140,Register!$A$9:$A$2008,0)))</f>
        <v/>
      </c>
      <c r="I140" s="10" t="str">
        <f aca="false">IF(A140="","",INDEX(Register!$I$9:$I$2008,MATCH(A140,Register!$A$9:$A$2008,0))&amp;"")</f>
        <v/>
      </c>
      <c r="J140" s="8"/>
    </row>
    <row r="141" customFormat="false" ht="15" hidden="false" customHeight="false" outlineLevel="0" collapsed="false">
      <c r="A141" s="10" t="str">
        <f aca="false">IFERROR(INDEX(Register!$A$9:$A$2008,MATCH(133,Register!$M$9:$M$2008,0)),"")</f>
        <v/>
      </c>
      <c r="B141" s="22" t="str">
        <f aca="false">IF(A141="","",INDEX(Register!$B$9:$B$2008,MATCH(A141,Register!$A$9:$A$2008,0)))</f>
        <v/>
      </c>
      <c r="C141" s="23" t="str">
        <f aca="false">IF(A141="","",SUMIFS(Register!$E$9:$E$2008,Register!$A$9:$A$2008,A141))</f>
        <v/>
      </c>
      <c r="D141" s="23" t="str">
        <f aca="false">IF(A141="","",SUMIFS(Register!$F$9:$F$2008,Register!$A$9:$A$2008,A141))</f>
        <v/>
      </c>
      <c r="E141" s="10" t="str">
        <f aca="false">IF(A141="","",IF(ABS(C141-D141)&lt;0.5,"Yes","No"))</f>
        <v/>
      </c>
      <c r="F141" s="21" t="str">
        <f aca="false">IF(A141="","",COUNTIF(Register!$A$9:$A$2008,A141))</f>
        <v/>
      </c>
      <c r="G141" s="21" t="str">
        <f aca="false">IF(A141="","",COUNTIFS(Register!$A$9:$A$2008,A141,Register!$L$9:$L$2008,"?*"))</f>
        <v/>
      </c>
      <c r="H141" s="10" t="str">
        <f aca="false">IF(A141="","",INDEX(Register!$H$9:$H$2008,MATCH(A141,Register!$A$9:$A$2008,0)))</f>
        <v/>
      </c>
      <c r="I141" s="10" t="str">
        <f aca="false">IF(A141="","",INDEX(Register!$I$9:$I$2008,MATCH(A141,Register!$A$9:$A$2008,0))&amp;"")</f>
        <v/>
      </c>
      <c r="J141" s="8"/>
    </row>
    <row r="142" customFormat="false" ht="15" hidden="false" customHeight="false" outlineLevel="0" collapsed="false">
      <c r="A142" s="10" t="str">
        <f aca="false">IFERROR(INDEX(Register!$A$9:$A$2008,MATCH(134,Register!$M$9:$M$2008,0)),"")</f>
        <v/>
      </c>
      <c r="B142" s="22" t="str">
        <f aca="false">IF(A142="","",INDEX(Register!$B$9:$B$2008,MATCH(A142,Register!$A$9:$A$2008,0)))</f>
        <v/>
      </c>
      <c r="C142" s="23" t="str">
        <f aca="false">IF(A142="","",SUMIFS(Register!$E$9:$E$2008,Register!$A$9:$A$2008,A142))</f>
        <v/>
      </c>
      <c r="D142" s="23" t="str">
        <f aca="false">IF(A142="","",SUMIFS(Register!$F$9:$F$2008,Register!$A$9:$A$2008,A142))</f>
        <v/>
      </c>
      <c r="E142" s="10" t="str">
        <f aca="false">IF(A142="","",IF(ABS(C142-D142)&lt;0.5,"Yes","No"))</f>
        <v/>
      </c>
      <c r="F142" s="21" t="str">
        <f aca="false">IF(A142="","",COUNTIF(Register!$A$9:$A$2008,A142))</f>
        <v/>
      </c>
      <c r="G142" s="21" t="str">
        <f aca="false">IF(A142="","",COUNTIFS(Register!$A$9:$A$2008,A142,Register!$L$9:$L$2008,"?*"))</f>
        <v/>
      </c>
      <c r="H142" s="10" t="str">
        <f aca="false">IF(A142="","",INDEX(Register!$H$9:$H$2008,MATCH(A142,Register!$A$9:$A$2008,0)))</f>
        <v/>
      </c>
      <c r="I142" s="10" t="str">
        <f aca="false">IF(A142="","",INDEX(Register!$I$9:$I$2008,MATCH(A142,Register!$A$9:$A$2008,0))&amp;"")</f>
        <v/>
      </c>
      <c r="J142" s="8"/>
    </row>
    <row r="143" customFormat="false" ht="15" hidden="false" customHeight="false" outlineLevel="0" collapsed="false">
      <c r="A143" s="10" t="str">
        <f aca="false">IFERROR(INDEX(Register!$A$9:$A$2008,MATCH(135,Register!$M$9:$M$2008,0)),"")</f>
        <v/>
      </c>
      <c r="B143" s="22" t="str">
        <f aca="false">IF(A143="","",INDEX(Register!$B$9:$B$2008,MATCH(A143,Register!$A$9:$A$2008,0)))</f>
        <v/>
      </c>
      <c r="C143" s="23" t="str">
        <f aca="false">IF(A143="","",SUMIFS(Register!$E$9:$E$2008,Register!$A$9:$A$2008,A143))</f>
        <v/>
      </c>
      <c r="D143" s="23" t="str">
        <f aca="false">IF(A143="","",SUMIFS(Register!$F$9:$F$2008,Register!$A$9:$A$2008,A143))</f>
        <v/>
      </c>
      <c r="E143" s="10" t="str">
        <f aca="false">IF(A143="","",IF(ABS(C143-D143)&lt;0.5,"Yes","No"))</f>
        <v/>
      </c>
      <c r="F143" s="21" t="str">
        <f aca="false">IF(A143="","",COUNTIF(Register!$A$9:$A$2008,A143))</f>
        <v/>
      </c>
      <c r="G143" s="21" t="str">
        <f aca="false">IF(A143="","",COUNTIFS(Register!$A$9:$A$2008,A143,Register!$L$9:$L$2008,"?*"))</f>
        <v/>
      </c>
      <c r="H143" s="10" t="str">
        <f aca="false">IF(A143="","",INDEX(Register!$H$9:$H$2008,MATCH(A143,Register!$A$9:$A$2008,0)))</f>
        <v/>
      </c>
      <c r="I143" s="10" t="str">
        <f aca="false">IF(A143="","",INDEX(Register!$I$9:$I$2008,MATCH(A143,Register!$A$9:$A$2008,0))&amp;"")</f>
        <v/>
      </c>
      <c r="J143" s="8"/>
    </row>
    <row r="144" customFormat="false" ht="15" hidden="false" customHeight="false" outlineLevel="0" collapsed="false">
      <c r="A144" s="10" t="str">
        <f aca="false">IFERROR(INDEX(Register!$A$9:$A$2008,MATCH(136,Register!$M$9:$M$2008,0)),"")</f>
        <v/>
      </c>
      <c r="B144" s="22" t="str">
        <f aca="false">IF(A144="","",INDEX(Register!$B$9:$B$2008,MATCH(A144,Register!$A$9:$A$2008,0)))</f>
        <v/>
      </c>
      <c r="C144" s="23" t="str">
        <f aca="false">IF(A144="","",SUMIFS(Register!$E$9:$E$2008,Register!$A$9:$A$2008,A144))</f>
        <v/>
      </c>
      <c r="D144" s="23" t="str">
        <f aca="false">IF(A144="","",SUMIFS(Register!$F$9:$F$2008,Register!$A$9:$A$2008,A144))</f>
        <v/>
      </c>
      <c r="E144" s="10" t="str">
        <f aca="false">IF(A144="","",IF(ABS(C144-D144)&lt;0.5,"Yes","No"))</f>
        <v/>
      </c>
      <c r="F144" s="21" t="str">
        <f aca="false">IF(A144="","",COUNTIF(Register!$A$9:$A$2008,A144))</f>
        <v/>
      </c>
      <c r="G144" s="21" t="str">
        <f aca="false">IF(A144="","",COUNTIFS(Register!$A$9:$A$2008,A144,Register!$L$9:$L$2008,"?*"))</f>
        <v/>
      </c>
      <c r="H144" s="10" t="str">
        <f aca="false">IF(A144="","",INDEX(Register!$H$9:$H$2008,MATCH(A144,Register!$A$9:$A$2008,0)))</f>
        <v/>
      </c>
      <c r="I144" s="10" t="str">
        <f aca="false">IF(A144="","",INDEX(Register!$I$9:$I$2008,MATCH(A144,Register!$A$9:$A$2008,0))&amp;"")</f>
        <v/>
      </c>
      <c r="J144" s="8"/>
    </row>
    <row r="145" customFormat="false" ht="15" hidden="false" customHeight="false" outlineLevel="0" collapsed="false">
      <c r="A145" s="10" t="str">
        <f aca="false">IFERROR(INDEX(Register!$A$9:$A$2008,MATCH(137,Register!$M$9:$M$2008,0)),"")</f>
        <v/>
      </c>
      <c r="B145" s="22" t="str">
        <f aca="false">IF(A145="","",INDEX(Register!$B$9:$B$2008,MATCH(A145,Register!$A$9:$A$2008,0)))</f>
        <v/>
      </c>
      <c r="C145" s="23" t="str">
        <f aca="false">IF(A145="","",SUMIFS(Register!$E$9:$E$2008,Register!$A$9:$A$2008,A145))</f>
        <v/>
      </c>
      <c r="D145" s="23" t="str">
        <f aca="false">IF(A145="","",SUMIFS(Register!$F$9:$F$2008,Register!$A$9:$A$2008,A145))</f>
        <v/>
      </c>
      <c r="E145" s="10" t="str">
        <f aca="false">IF(A145="","",IF(ABS(C145-D145)&lt;0.5,"Yes","No"))</f>
        <v/>
      </c>
      <c r="F145" s="21" t="str">
        <f aca="false">IF(A145="","",COUNTIF(Register!$A$9:$A$2008,A145))</f>
        <v/>
      </c>
      <c r="G145" s="21" t="str">
        <f aca="false">IF(A145="","",COUNTIFS(Register!$A$9:$A$2008,A145,Register!$L$9:$L$2008,"?*"))</f>
        <v/>
      </c>
      <c r="H145" s="10" t="str">
        <f aca="false">IF(A145="","",INDEX(Register!$H$9:$H$2008,MATCH(A145,Register!$A$9:$A$2008,0)))</f>
        <v/>
      </c>
      <c r="I145" s="10" t="str">
        <f aca="false">IF(A145="","",INDEX(Register!$I$9:$I$2008,MATCH(A145,Register!$A$9:$A$2008,0))&amp;"")</f>
        <v/>
      </c>
      <c r="J145" s="8"/>
    </row>
    <row r="146" customFormat="false" ht="15" hidden="false" customHeight="false" outlineLevel="0" collapsed="false">
      <c r="A146" s="10" t="str">
        <f aca="false">IFERROR(INDEX(Register!$A$9:$A$2008,MATCH(138,Register!$M$9:$M$2008,0)),"")</f>
        <v/>
      </c>
      <c r="B146" s="22" t="str">
        <f aca="false">IF(A146="","",INDEX(Register!$B$9:$B$2008,MATCH(A146,Register!$A$9:$A$2008,0)))</f>
        <v/>
      </c>
      <c r="C146" s="23" t="str">
        <f aca="false">IF(A146="","",SUMIFS(Register!$E$9:$E$2008,Register!$A$9:$A$2008,A146))</f>
        <v/>
      </c>
      <c r="D146" s="23" t="str">
        <f aca="false">IF(A146="","",SUMIFS(Register!$F$9:$F$2008,Register!$A$9:$A$2008,A146))</f>
        <v/>
      </c>
      <c r="E146" s="10" t="str">
        <f aca="false">IF(A146="","",IF(ABS(C146-D146)&lt;0.5,"Yes","No"))</f>
        <v/>
      </c>
      <c r="F146" s="21" t="str">
        <f aca="false">IF(A146="","",COUNTIF(Register!$A$9:$A$2008,A146))</f>
        <v/>
      </c>
      <c r="G146" s="21" t="str">
        <f aca="false">IF(A146="","",COUNTIFS(Register!$A$9:$A$2008,A146,Register!$L$9:$L$2008,"?*"))</f>
        <v/>
      </c>
      <c r="H146" s="10" t="str">
        <f aca="false">IF(A146="","",INDEX(Register!$H$9:$H$2008,MATCH(A146,Register!$A$9:$A$2008,0)))</f>
        <v/>
      </c>
      <c r="I146" s="10" t="str">
        <f aca="false">IF(A146="","",INDEX(Register!$I$9:$I$2008,MATCH(A146,Register!$A$9:$A$2008,0))&amp;"")</f>
        <v/>
      </c>
      <c r="J146" s="8"/>
    </row>
    <row r="147" customFormat="false" ht="15" hidden="false" customHeight="false" outlineLevel="0" collapsed="false">
      <c r="A147" s="10" t="str">
        <f aca="false">IFERROR(INDEX(Register!$A$9:$A$2008,MATCH(139,Register!$M$9:$M$2008,0)),"")</f>
        <v/>
      </c>
      <c r="B147" s="22" t="str">
        <f aca="false">IF(A147="","",INDEX(Register!$B$9:$B$2008,MATCH(A147,Register!$A$9:$A$2008,0)))</f>
        <v/>
      </c>
      <c r="C147" s="23" t="str">
        <f aca="false">IF(A147="","",SUMIFS(Register!$E$9:$E$2008,Register!$A$9:$A$2008,A147))</f>
        <v/>
      </c>
      <c r="D147" s="23" t="str">
        <f aca="false">IF(A147="","",SUMIFS(Register!$F$9:$F$2008,Register!$A$9:$A$2008,A147))</f>
        <v/>
      </c>
      <c r="E147" s="10" t="str">
        <f aca="false">IF(A147="","",IF(ABS(C147-D147)&lt;0.5,"Yes","No"))</f>
        <v/>
      </c>
      <c r="F147" s="21" t="str">
        <f aca="false">IF(A147="","",COUNTIF(Register!$A$9:$A$2008,A147))</f>
        <v/>
      </c>
      <c r="G147" s="21" t="str">
        <f aca="false">IF(A147="","",COUNTIFS(Register!$A$9:$A$2008,A147,Register!$L$9:$L$2008,"?*"))</f>
        <v/>
      </c>
      <c r="H147" s="10" t="str">
        <f aca="false">IF(A147="","",INDEX(Register!$H$9:$H$2008,MATCH(A147,Register!$A$9:$A$2008,0)))</f>
        <v/>
      </c>
      <c r="I147" s="10" t="str">
        <f aca="false">IF(A147="","",INDEX(Register!$I$9:$I$2008,MATCH(A147,Register!$A$9:$A$2008,0))&amp;"")</f>
        <v/>
      </c>
      <c r="J147" s="8"/>
    </row>
    <row r="148" customFormat="false" ht="15" hidden="false" customHeight="false" outlineLevel="0" collapsed="false">
      <c r="A148" s="10" t="str">
        <f aca="false">IFERROR(INDEX(Register!$A$9:$A$2008,MATCH(140,Register!$M$9:$M$2008,0)),"")</f>
        <v/>
      </c>
      <c r="B148" s="22" t="str">
        <f aca="false">IF(A148="","",INDEX(Register!$B$9:$B$2008,MATCH(A148,Register!$A$9:$A$2008,0)))</f>
        <v/>
      </c>
      <c r="C148" s="23" t="str">
        <f aca="false">IF(A148="","",SUMIFS(Register!$E$9:$E$2008,Register!$A$9:$A$2008,A148))</f>
        <v/>
      </c>
      <c r="D148" s="23" t="str">
        <f aca="false">IF(A148="","",SUMIFS(Register!$F$9:$F$2008,Register!$A$9:$A$2008,A148))</f>
        <v/>
      </c>
      <c r="E148" s="10" t="str">
        <f aca="false">IF(A148="","",IF(ABS(C148-D148)&lt;0.5,"Yes","No"))</f>
        <v/>
      </c>
      <c r="F148" s="21" t="str">
        <f aca="false">IF(A148="","",COUNTIF(Register!$A$9:$A$2008,A148))</f>
        <v/>
      </c>
      <c r="G148" s="21" t="str">
        <f aca="false">IF(A148="","",COUNTIFS(Register!$A$9:$A$2008,A148,Register!$L$9:$L$2008,"?*"))</f>
        <v/>
      </c>
      <c r="H148" s="10" t="str">
        <f aca="false">IF(A148="","",INDEX(Register!$H$9:$H$2008,MATCH(A148,Register!$A$9:$A$2008,0)))</f>
        <v/>
      </c>
      <c r="I148" s="10" t="str">
        <f aca="false">IF(A148="","",INDEX(Register!$I$9:$I$2008,MATCH(A148,Register!$A$9:$A$2008,0))&amp;"")</f>
        <v/>
      </c>
      <c r="J148" s="8"/>
    </row>
    <row r="149" customFormat="false" ht="15" hidden="false" customHeight="false" outlineLevel="0" collapsed="false">
      <c r="A149" s="10" t="str">
        <f aca="false">IFERROR(INDEX(Register!$A$9:$A$2008,MATCH(141,Register!$M$9:$M$2008,0)),"")</f>
        <v/>
      </c>
      <c r="B149" s="22" t="str">
        <f aca="false">IF(A149="","",INDEX(Register!$B$9:$B$2008,MATCH(A149,Register!$A$9:$A$2008,0)))</f>
        <v/>
      </c>
      <c r="C149" s="23" t="str">
        <f aca="false">IF(A149="","",SUMIFS(Register!$E$9:$E$2008,Register!$A$9:$A$2008,A149))</f>
        <v/>
      </c>
      <c r="D149" s="23" t="str">
        <f aca="false">IF(A149="","",SUMIFS(Register!$F$9:$F$2008,Register!$A$9:$A$2008,A149))</f>
        <v/>
      </c>
      <c r="E149" s="10" t="str">
        <f aca="false">IF(A149="","",IF(ABS(C149-D149)&lt;0.5,"Yes","No"))</f>
        <v/>
      </c>
      <c r="F149" s="21" t="str">
        <f aca="false">IF(A149="","",COUNTIF(Register!$A$9:$A$2008,A149))</f>
        <v/>
      </c>
      <c r="G149" s="21" t="str">
        <f aca="false">IF(A149="","",COUNTIFS(Register!$A$9:$A$2008,A149,Register!$L$9:$L$2008,"?*"))</f>
        <v/>
      </c>
      <c r="H149" s="10" t="str">
        <f aca="false">IF(A149="","",INDEX(Register!$H$9:$H$2008,MATCH(A149,Register!$A$9:$A$2008,0)))</f>
        <v/>
      </c>
      <c r="I149" s="10" t="str">
        <f aca="false">IF(A149="","",INDEX(Register!$I$9:$I$2008,MATCH(A149,Register!$A$9:$A$2008,0))&amp;"")</f>
        <v/>
      </c>
      <c r="J149" s="8"/>
    </row>
    <row r="150" customFormat="false" ht="15" hidden="false" customHeight="false" outlineLevel="0" collapsed="false">
      <c r="A150" s="10" t="str">
        <f aca="false">IFERROR(INDEX(Register!$A$9:$A$2008,MATCH(142,Register!$M$9:$M$2008,0)),"")</f>
        <v/>
      </c>
      <c r="B150" s="22" t="str">
        <f aca="false">IF(A150="","",INDEX(Register!$B$9:$B$2008,MATCH(A150,Register!$A$9:$A$2008,0)))</f>
        <v/>
      </c>
      <c r="C150" s="23" t="str">
        <f aca="false">IF(A150="","",SUMIFS(Register!$E$9:$E$2008,Register!$A$9:$A$2008,A150))</f>
        <v/>
      </c>
      <c r="D150" s="23" t="str">
        <f aca="false">IF(A150="","",SUMIFS(Register!$F$9:$F$2008,Register!$A$9:$A$2008,A150))</f>
        <v/>
      </c>
      <c r="E150" s="10" t="str">
        <f aca="false">IF(A150="","",IF(ABS(C150-D150)&lt;0.5,"Yes","No"))</f>
        <v/>
      </c>
      <c r="F150" s="21" t="str">
        <f aca="false">IF(A150="","",COUNTIF(Register!$A$9:$A$2008,A150))</f>
        <v/>
      </c>
      <c r="G150" s="21" t="str">
        <f aca="false">IF(A150="","",COUNTIFS(Register!$A$9:$A$2008,A150,Register!$L$9:$L$2008,"?*"))</f>
        <v/>
      </c>
      <c r="H150" s="10" t="str">
        <f aca="false">IF(A150="","",INDEX(Register!$H$9:$H$2008,MATCH(A150,Register!$A$9:$A$2008,0)))</f>
        <v/>
      </c>
      <c r="I150" s="10" t="str">
        <f aca="false">IF(A150="","",INDEX(Register!$I$9:$I$2008,MATCH(A150,Register!$A$9:$A$2008,0))&amp;"")</f>
        <v/>
      </c>
      <c r="J150" s="8"/>
    </row>
    <row r="151" customFormat="false" ht="15" hidden="false" customHeight="false" outlineLevel="0" collapsed="false">
      <c r="A151" s="10" t="str">
        <f aca="false">IFERROR(INDEX(Register!$A$9:$A$2008,MATCH(143,Register!$M$9:$M$2008,0)),"")</f>
        <v/>
      </c>
      <c r="B151" s="22" t="str">
        <f aca="false">IF(A151="","",INDEX(Register!$B$9:$B$2008,MATCH(A151,Register!$A$9:$A$2008,0)))</f>
        <v/>
      </c>
      <c r="C151" s="23" t="str">
        <f aca="false">IF(A151="","",SUMIFS(Register!$E$9:$E$2008,Register!$A$9:$A$2008,A151))</f>
        <v/>
      </c>
      <c r="D151" s="23" t="str">
        <f aca="false">IF(A151="","",SUMIFS(Register!$F$9:$F$2008,Register!$A$9:$A$2008,A151))</f>
        <v/>
      </c>
      <c r="E151" s="10" t="str">
        <f aca="false">IF(A151="","",IF(ABS(C151-D151)&lt;0.5,"Yes","No"))</f>
        <v/>
      </c>
      <c r="F151" s="21" t="str">
        <f aca="false">IF(A151="","",COUNTIF(Register!$A$9:$A$2008,A151))</f>
        <v/>
      </c>
      <c r="G151" s="21" t="str">
        <f aca="false">IF(A151="","",COUNTIFS(Register!$A$9:$A$2008,A151,Register!$L$9:$L$2008,"?*"))</f>
        <v/>
      </c>
      <c r="H151" s="10" t="str">
        <f aca="false">IF(A151="","",INDEX(Register!$H$9:$H$2008,MATCH(A151,Register!$A$9:$A$2008,0)))</f>
        <v/>
      </c>
      <c r="I151" s="10" t="str">
        <f aca="false">IF(A151="","",INDEX(Register!$I$9:$I$2008,MATCH(A151,Register!$A$9:$A$2008,0))&amp;"")</f>
        <v/>
      </c>
      <c r="J151" s="8"/>
    </row>
    <row r="152" customFormat="false" ht="15" hidden="false" customHeight="false" outlineLevel="0" collapsed="false">
      <c r="A152" s="10" t="str">
        <f aca="false">IFERROR(INDEX(Register!$A$9:$A$2008,MATCH(144,Register!$M$9:$M$2008,0)),"")</f>
        <v/>
      </c>
      <c r="B152" s="22" t="str">
        <f aca="false">IF(A152="","",INDEX(Register!$B$9:$B$2008,MATCH(A152,Register!$A$9:$A$2008,0)))</f>
        <v/>
      </c>
      <c r="C152" s="23" t="str">
        <f aca="false">IF(A152="","",SUMIFS(Register!$E$9:$E$2008,Register!$A$9:$A$2008,A152))</f>
        <v/>
      </c>
      <c r="D152" s="23" t="str">
        <f aca="false">IF(A152="","",SUMIFS(Register!$F$9:$F$2008,Register!$A$9:$A$2008,A152))</f>
        <v/>
      </c>
      <c r="E152" s="10" t="str">
        <f aca="false">IF(A152="","",IF(ABS(C152-D152)&lt;0.5,"Yes","No"))</f>
        <v/>
      </c>
      <c r="F152" s="21" t="str">
        <f aca="false">IF(A152="","",COUNTIF(Register!$A$9:$A$2008,A152))</f>
        <v/>
      </c>
      <c r="G152" s="21" t="str">
        <f aca="false">IF(A152="","",COUNTIFS(Register!$A$9:$A$2008,A152,Register!$L$9:$L$2008,"?*"))</f>
        <v/>
      </c>
      <c r="H152" s="10" t="str">
        <f aca="false">IF(A152="","",INDEX(Register!$H$9:$H$2008,MATCH(A152,Register!$A$9:$A$2008,0)))</f>
        <v/>
      </c>
      <c r="I152" s="10" t="str">
        <f aca="false">IF(A152="","",INDEX(Register!$I$9:$I$2008,MATCH(A152,Register!$A$9:$A$2008,0))&amp;"")</f>
        <v/>
      </c>
      <c r="J152" s="8"/>
    </row>
    <row r="153" customFormat="false" ht="15" hidden="false" customHeight="false" outlineLevel="0" collapsed="false">
      <c r="A153" s="10" t="str">
        <f aca="false">IFERROR(INDEX(Register!$A$9:$A$2008,MATCH(145,Register!$M$9:$M$2008,0)),"")</f>
        <v/>
      </c>
      <c r="B153" s="22" t="str">
        <f aca="false">IF(A153="","",INDEX(Register!$B$9:$B$2008,MATCH(A153,Register!$A$9:$A$2008,0)))</f>
        <v/>
      </c>
      <c r="C153" s="23" t="str">
        <f aca="false">IF(A153="","",SUMIFS(Register!$E$9:$E$2008,Register!$A$9:$A$2008,A153))</f>
        <v/>
      </c>
      <c r="D153" s="23" t="str">
        <f aca="false">IF(A153="","",SUMIFS(Register!$F$9:$F$2008,Register!$A$9:$A$2008,A153))</f>
        <v/>
      </c>
      <c r="E153" s="10" t="str">
        <f aca="false">IF(A153="","",IF(ABS(C153-D153)&lt;0.5,"Yes","No"))</f>
        <v/>
      </c>
      <c r="F153" s="21" t="str">
        <f aca="false">IF(A153="","",COUNTIF(Register!$A$9:$A$2008,A153))</f>
        <v/>
      </c>
      <c r="G153" s="21" t="str">
        <f aca="false">IF(A153="","",COUNTIFS(Register!$A$9:$A$2008,A153,Register!$L$9:$L$2008,"?*"))</f>
        <v/>
      </c>
      <c r="H153" s="10" t="str">
        <f aca="false">IF(A153="","",INDEX(Register!$H$9:$H$2008,MATCH(A153,Register!$A$9:$A$2008,0)))</f>
        <v/>
      </c>
      <c r="I153" s="10" t="str">
        <f aca="false">IF(A153="","",INDEX(Register!$I$9:$I$2008,MATCH(A153,Register!$A$9:$A$2008,0))&amp;"")</f>
        <v/>
      </c>
      <c r="J153" s="8"/>
    </row>
    <row r="154" customFormat="false" ht="15" hidden="false" customHeight="false" outlineLevel="0" collapsed="false">
      <c r="A154" s="10" t="str">
        <f aca="false">IFERROR(INDEX(Register!$A$9:$A$2008,MATCH(146,Register!$M$9:$M$2008,0)),"")</f>
        <v/>
      </c>
      <c r="B154" s="22" t="str">
        <f aca="false">IF(A154="","",INDEX(Register!$B$9:$B$2008,MATCH(A154,Register!$A$9:$A$2008,0)))</f>
        <v/>
      </c>
      <c r="C154" s="23" t="str">
        <f aca="false">IF(A154="","",SUMIFS(Register!$E$9:$E$2008,Register!$A$9:$A$2008,A154))</f>
        <v/>
      </c>
      <c r="D154" s="23" t="str">
        <f aca="false">IF(A154="","",SUMIFS(Register!$F$9:$F$2008,Register!$A$9:$A$2008,A154))</f>
        <v/>
      </c>
      <c r="E154" s="10" t="str">
        <f aca="false">IF(A154="","",IF(ABS(C154-D154)&lt;0.5,"Yes","No"))</f>
        <v/>
      </c>
      <c r="F154" s="21" t="str">
        <f aca="false">IF(A154="","",COUNTIF(Register!$A$9:$A$2008,A154))</f>
        <v/>
      </c>
      <c r="G154" s="21" t="str">
        <f aca="false">IF(A154="","",COUNTIFS(Register!$A$9:$A$2008,A154,Register!$L$9:$L$2008,"?*"))</f>
        <v/>
      </c>
      <c r="H154" s="10" t="str">
        <f aca="false">IF(A154="","",INDEX(Register!$H$9:$H$2008,MATCH(A154,Register!$A$9:$A$2008,0)))</f>
        <v/>
      </c>
      <c r="I154" s="10" t="str">
        <f aca="false">IF(A154="","",INDEX(Register!$I$9:$I$2008,MATCH(A154,Register!$A$9:$A$2008,0))&amp;"")</f>
        <v/>
      </c>
      <c r="J154" s="8"/>
    </row>
    <row r="155" customFormat="false" ht="15" hidden="false" customHeight="false" outlineLevel="0" collapsed="false">
      <c r="A155" s="10" t="str">
        <f aca="false">IFERROR(INDEX(Register!$A$9:$A$2008,MATCH(147,Register!$M$9:$M$2008,0)),"")</f>
        <v/>
      </c>
      <c r="B155" s="22" t="str">
        <f aca="false">IF(A155="","",INDEX(Register!$B$9:$B$2008,MATCH(A155,Register!$A$9:$A$2008,0)))</f>
        <v/>
      </c>
      <c r="C155" s="23" t="str">
        <f aca="false">IF(A155="","",SUMIFS(Register!$E$9:$E$2008,Register!$A$9:$A$2008,A155))</f>
        <v/>
      </c>
      <c r="D155" s="23" t="str">
        <f aca="false">IF(A155="","",SUMIFS(Register!$F$9:$F$2008,Register!$A$9:$A$2008,A155))</f>
        <v/>
      </c>
      <c r="E155" s="10" t="str">
        <f aca="false">IF(A155="","",IF(ABS(C155-D155)&lt;0.5,"Yes","No"))</f>
        <v/>
      </c>
      <c r="F155" s="21" t="str">
        <f aca="false">IF(A155="","",COUNTIF(Register!$A$9:$A$2008,A155))</f>
        <v/>
      </c>
      <c r="G155" s="21" t="str">
        <f aca="false">IF(A155="","",COUNTIFS(Register!$A$9:$A$2008,A155,Register!$L$9:$L$2008,"?*"))</f>
        <v/>
      </c>
      <c r="H155" s="10" t="str">
        <f aca="false">IF(A155="","",INDEX(Register!$H$9:$H$2008,MATCH(A155,Register!$A$9:$A$2008,0)))</f>
        <v/>
      </c>
      <c r="I155" s="10" t="str">
        <f aca="false">IF(A155="","",INDEX(Register!$I$9:$I$2008,MATCH(A155,Register!$A$9:$A$2008,0))&amp;"")</f>
        <v/>
      </c>
      <c r="J155" s="8"/>
    </row>
    <row r="156" customFormat="false" ht="15" hidden="false" customHeight="false" outlineLevel="0" collapsed="false">
      <c r="A156" s="10" t="str">
        <f aca="false">IFERROR(INDEX(Register!$A$9:$A$2008,MATCH(148,Register!$M$9:$M$2008,0)),"")</f>
        <v/>
      </c>
      <c r="B156" s="22" t="str">
        <f aca="false">IF(A156="","",INDEX(Register!$B$9:$B$2008,MATCH(A156,Register!$A$9:$A$2008,0)))</f>
        <v/>
      </c>
      <c r="C156" s="23" t="str">
        <f aca="false">IF(A156="","",SUMIFS(Register!$E$9:$E$2008,Register!$A$9:$A$2008,A156))</f>
        <v/>
      </c>
      <c r="D156" s="23" t="str">
        <f aca="false">IF(A156="","",SUMIFS(Register!$F$9:$F$2008,Register!$A$9:$A$2008,A156))</f>
        <v/>
      </c>
      <c r="E156" s="10" t="str">
        <f aca="false">IF(A156="","",IF(ABS(C156-D156)&lt;0.5,"Yes","No"))</f>
        <v/>
      </c>
      <c r="F156" s="21" t="str">
        <f aca="false">IF(A156="","",COUNTIF(Register!$A$9:$A$2008,A156))</f>
        <v/>
      </c>
      <c r="G156" s="21" t="str">
        <f aca="false">IF(A156="","",COUNTIFS(Register!$A$9:$A$2008,A156,Register!$L$9:$L$2008,"?*"))</f>
        <v/>
      </c>
      <c r="H156" s="10" t="str">
        <f aca="false">IF(A156="","",INDEX(Register!$H$9:$H$2008,MATCH(A156,Register!$A$9:$A$2008,0)))</f>
        <v/>
      </c>
      <c r="I156" s="10" t="str">
        <f aca="false">IF(A156="","",INDEX(Register!$I$9:$I$2008,MATCH(A156,Register!$A$9:$A$2008,0))&amp;"")</f>
        <v/>
      </c>
      <c r="J156" s="8"/>
    </row>
    <row r="157" customFormat="false" ht="15" hidden="false" customHeight="false" outlineLevel="0" collapsed="false">
      <c r="A157" s="10" t="str">
        <f aca="false">IFERROR(INDEX(Register!$A$9:$A$2008,MATCH(149,Register!$M$9:$M$2008,0)),"")</f>
        <v/>
      </c>
      <c r="B157" s="22" t="str">
        <f aca="false">IF(A157="","",INDEX(Register!$B$9:$B$2008,MATCH(A157,Register!$A$9:$A$2008,0)))</f>
        <v/>
      </c>
      <c r="C157" s="23" t="str">
        <f aca="false">IF(A157="","",SUMIFS(Register!$E$9:$E$2008,Register!$A$9:$A$2008,A157))</f>
        <v/>
      </c>
      <c r="D157" s="23" t="str">
        <f aca="false">IF(A157="","",SUMIFS(Register!$F$9:$F$2008,Register!$A$9:$A$2008,A157))</f>
        <v/>
      </c>
      <c r="E157" s="10" t="str">
        <f aca="false">IF(A157="","",IF(ABS(C157-D157)&lt;0.5,"Yes","No"))</f>
        <v/>
      </c>
      <c r="F157" s="21" t="str">
        <f aca="false">IF(A157="","",COUNTIF(Register!$A$9:$A$2008,A157))</f>
        <v/>
      </c>
      <c r="G157" s="21" t="str">
        <f aca="false">IF(A157="","",COUNTIFS(Register!$A$9:$A$2008,A157,Register!$L$9:$L$2008,"?*"))</f>
        <v/>
      </c>
      <c r="H157" s="10" t="str">
        <f aca="false">IF(A157="","",INDEX(Register!$H$9:$H$2008,MATCH(A157,Register!$A$9:$A$2008,0)))</f>
        <v/>
      </c>
      <c r="I157" s="10" t="str">
        <f aca="false">IF(A157="","",INDEX(Register!$I$9:$I$2008,MATCH(A157,Register!$A$9:$A$2008,0))&amp;"")</f>
        <v/>
      </c>
      <c r="J157" s="8"/>
    </row>
    <row r="158" customFormat="false" ht="15" hidden="false" customHeight="false" outlineLevel="0" collapsed="false">
      <c r="A158" s="10" t="str">
        <f aca="false">IFERROR(INDEX(Register!$A$9:$A$2008,MATCH(150,Register!$M$9:$M$2008,0)),"")</f>
        <v/>
      </c>
      <c r="B158" s="22" t="str">
        <f aca="false">IF(A158="","",INDEX(Register!$B$9:$B$2008,MATCH(A158,Register!$A$9:$A$2008,0)))</f>
        <v/>
      </c>
      <c r="C158" s="23" t="str">
        <f aca="false">IF(A158="","",SUMIFS(Register!$E$9:$E$2008,Register!$A$9:$A$2008,A158))</f>
        <v/>
      </c>
      <c r="D158" s="23" t="str">
        <f aca="false">IF(A158="","",SUMIFS(Register!$F$9:$F$2008,Register!$A$9:$A$2008,A158))</f>
        <v/>
      </c>
      <c r="E158" s="10" t="str">
        <f aca="false">IF(A158="","",IF(ABS(C158-D158)&lt;0.5,"Yes","No"))</f>
        <v/>
      </c>
      <c r="F158" s="21" t="str">
        <f aca="false">IF(A158="","",COUNTIF(Register!$A$9:$A$2008,A158))</f>
        <v/>
      </c>
      <c r="G158" s="21" t="str">
        <f aca="false">IF(A158="","",COUNTIFS(Register!$A$9:$A$2008,A158,Register!$L$9:$L$2008,"?*"))</f>
        <v/>
      </c>
      <c r="H158" s="10" t="str">
        <f aca="false">IF(A158="","",INDEX(Register!$H$9:$H$2008,MATCH(A158,Register!$A$9:$A$2008,0)))</f>
        <v/>
      </c>
      <c r="I158" s="10" t="str">
        <f aca="false">IF(A158="","",INDEX(Register!$I$9:$I$2008,MATCH(A158,Register!$A$9:$A$2008,0))&amp;"")</f>
        <v/>
      </c>
      <c r="J158" s="8"/>
    </row>
    <row r="159" customFormat="false" ht="15" hidden="false" customHeight="false" outlineLevel="0" collapsed="false">
      <c r="A159" s="10" t="str">
        <f aca="false">IFERROR(INDEX(Register!$A$9:$A$2008,MATCH(151,Register!$M$9:$M$2008,0)),"")</f>
        <v/>
      </c>
      <c r="B159" s="22" t="str">
        <f aca="false">IF(A159="","",INDEX(Register!$B$9:$B$2008,MATCH(A159,Register!$A$9:$A$2008,0)))</f>
        <v/>
      </c>
      <c r="C159" s="23" t="str">
        <f aca="false">IF(A159="","",SUMIFS(Register!$E$9:$E$2008,Register!$A$9:$A$2008,A159))</f>
        <v/>
      </c>
      <c r="D159" s="23" t="str">
        <f aca="false">IF(A159="","",SUMIFS(Register!$F$9:$F$2008,Register!$A$9:$A$2008,A159))</f>
        <v/>
      </c>
      <c r="E159" s="10" t="str">
        <f aca="false">IF(A159="","",IF(ABS(C159-D159)&lt;0.5,"Yes","No"))</f>
        <v/>
      </c>
      <c r="F159" s="21" t="str">
        <f aca="false">IF(A159="","",COUNTIF(Register!$A$9:$A$2008,A159))</f>
        <v/>
      </c>
      <c r="G159" s="21" t="str">
        <f aca="false">IF(A159="","",COUNTIFS(Register!$A$9:$A$2008,A159,Register!$L$9:$L$2008,"?*"))</f>
        <v/>
      </c>
      <c r="H159" s="10" t="str">
        <f aca="false">IF(A159="","",INDEX(Register!$H$9:$H$2008,MATCH(A159,Register!$A$9:$A$2008,0)))</f>
        <v/>
      </c>
      <c r="I159" s="10" t="str">
        <f aca="false">IF(A159="","",INDEX(Register!$I$9:$I$2008,MATCH(A159,Register!$A$9:$A$2008,0))&amp;"")</f>
        <v/>
      </c>
      <c r="J159" s="8"/>
    </row>
    <row r="160" customFormat="false" ht="15" hidden="false" customHeight="false" outlineLevel="0" collapsed="false">
      <c r="A160" s="10" t="str">
        <f aca="false">IFERROR(INDEX(Register!$A$9:$A$2008,MATCH(152,Register!$M$9:$M$2008,0)),"")</f>
        <v/>
      </c>
      <c r="B160" s="22" t="str">
        <f aca="false">IF(A160="","",INDEX(Register!$B$9:$B$2008,MATCH(A160,Register!$A$9:$A$2008,0)))</f>
        <v/>
      </c>
      <c r="C160" s="23" t="str">
        <f aca="false">IF(A160="","",SUMIFS(Register!$E$9:$E$2008,Register!$A$9:$A$2008,A160))</f>
        <v/>
      </c>
      <c r="D160" s="23" t="str">
        <f aca="false">IF(A160="","",SUMIFS(Register!$F$9:$F$2008,Register!$A$9:$A$2008,A160))</f>
        <v/>
      </c>
      <c r="E160" s="10" t="str">
        <f aca="false">IF(A160="","",IF(ABS(C160-D160)&lt;0.5,"Yes","No"))</f>
        <v/>
      </c>
      <c r="F160" s="21" t="str">
        <f aca="false">IF(A160="","",COUNTIF(Register!$A$9:$A$2008,A160))</f>
        <v/>
      </c>
      <c r="G160" s="21" t="str">
        <f aca="false">IF(A160="","",COUNTIFS(Register!$A$9:$A$2008,A160,Register!$L$9:$L$2008,"?*"))</f>
        <v/>
      </c>
      <c r="H160" s="10" t="str">
        <f aca="false">IF(A160="","",INDEX(Register!$H$9:$H$2008,MATCH(A160,Register!$A$9:$A$2008,0)))</f>
        <v/>
      </c>
      <c r="I160" s="10" t="str">
        <f aca="false">IF(A160="","",INDEX(Register!$I$9:$I$2008,MATCH(A160,Register!$A$9:$A$2008,0))&amp;"")</f>
        <v/>
      </c>
      <c r="J160" s="8"/>
    </row>
    <row r="161" customFormat="false" ht="15" hidden="false" customHeight="false" outlineLevel="0" collapsed="false">
      <c r="A161" s="10" t="str">
        <f aca="false">IFERROR(INDEX(Register!$A$9:$A$2008,MATCH(153,Register!$M$9:$M$2008,0)),"")</f>
        <v/>
      </c>
      <c r="B161" s="22" t="str">
        <f aca="false">IF(A161="","",INDEX(Register!$B$9:$B$2008,MATCH(A161,Register!$A$9:$A$2008,0)))</f>
        <v/>
      </c>
      <c r="C161" s="23" t="str">
        <f aca="false">IF(A161="","",SUMIFS(Register!$E$9:$E$2008,Register!$A$9:$A$2008,A161))</f>
        <v/>
      </c>
      <c r="D161" s="23" t="str">
        <f aca="false">IF(A161="","",SUMIFS(Register!$F$9:$F$2008,Register!$A$9:$A$2008,A161))</f>
        <v/>
      </c>
      <c r="E161" s="10" t="str">
        <f aca="false">IF(A161="","",IF(ABS(C161-D161)&lt;0.5,"Yes","No"))</f>
        <v/>
      </c>
      <c r="F161" s="21" t="str">
        <f aca="false">IF(A161="","",COUNTIF(Register!$A$9:$A$2008,A161))</f>
        <v/>
      </c>
      <c r="G161" s="21" t="str">
        <f aca="false">IF(A161="","",COUNTIFS(Register!$A$9:$A$2008,A161,Register!$L$9:$L$2008,"?*"))</f>
        <v/>
      </c>
      <c r="H161" s="10" t="str">
        <f aca="false">IF(A161="","",INDEX(Register!$H$9:$H$2008,MATCH(A161,Register!$A$9:$A$2008,0)))</f>
        <v/>
      </c>
      <c r="I161" s="10" t="str">
        <f aca="false">IF(A161="","",INDEX(Register!$I$9:$I$2008,MATCH(A161,Register!$A$9:$A$2008,0))&amp;"")</f>
        <v/>
      </c>
      <c r="J161" s="8"/>
    </row>
    <row r="162" customFormat="false" ht="15" hidden="false" customHeight="false" outlineLevel="0" collapsed="false">
      <c r="A162" s="10" t="str">
        <f aca="false">IFERROR(INDEX(Register!$A$9:$A$2008,MATCH(154,Register!$M$9:$M$2008,0)),"")</f>
        <v/>
      </c>
      <c r="B162" s="22" t="str">
        <f aca="false">IF(A162="","",INDEX(Register!$B$9:$B$2008,MATCH(A162,Register!$A$9:$A$2008,0)))</f>
        <v/>
      </c>
      <c r="C162" s="23" t="str">
        <f aca="false">IF(A162="","",SUMIFS(Register!$E$9:$E$2008,Register!$A$9:$A$2008,A162))</f>
        <v/>
      </c>
      <c r="D162" s="23" t="str">
        <f aca="false">IF(A162="","",SUMIFS(Register!$F$9:$F$2008,Register!$A$9:$A$2008,A162))</f>
        <v/>
      </c>
      <c r="E162" s="10" t="str">
        <f aca="false">IF(A162="","",IF(ABS(C162-D162)&lt;0.5,"Yes","No"))</f>
        <v/>
      </c>
      <c r="F162" s="21" t="str">
        <f aca="false">IF(A162="","",COUNTIF(Register!$A$9:$A$2008,A162))</f>
        <v/>
      </c>
      <c r="G162" s="21" t="str">
        <f aca="false">IF(A162="","",COUNTIFS(Register!$A$9:$A$2008,A162,Register!$L$9:$L$2008,"?*"))</f>
        <v/>
      </c>
      <c r="H162" s="10" t="str">
        <f aca="false">IF(A162="","",INDEX(Register!$H$9:$H$2008,MATCH(A162,Register!$A$9:$A$2008,0)))</f>
        <v/>
      </c>
      <c r="I162" s="10" t="str">
        <f aca="false">IF(A162="","",INDEX(Register!$I$9:$I$2008,MATCH(A162,Register!$A$9:$A$2008,0))&amp;"")</f>
        <v/>
      </c>
      <c r="J162" s="8"/>
    </row>
    <row r="163" customFormat="false" ht="15" hidden="false" customHeight="false" outlineLevel="0" collapsed="false">
      <c r="A163" s="10" t="str">
        <f aca="false">IFERROR(INDEX(Register!$A$9:$A$2008,MATCH(155,Register!$M$9:$M$2008,0)),"")</f>
        <v/>
      </c>
      <c r="B163" s="22" t="str">
        <f aca="false">IF(A163="","",INDEX(Register!$B$9:$B$2008,MATCH(A163,Register!$A$9:$A$2008,0)))</f>
        <v/>
      </c>
      <c r="C163" s="23" t="str">
        <f aca="false">IF(A163="","",SUMIFS(Register!$E$9:$E$2008,Register!$A$9:$A$2008,A163))</f>
        <v/>
      </c>
      <c r="D163" s="23" t="str">
        <f aca="false">IF(A163="","",SUMIFS(Register!$F$9:$F$2008,Register!$A$9:$A$2008,A163))</f>
        <v/>
      </c>
      <c r="E163" s="10" t="str">
        <f aca="false">IF(A163="","",IF(ABS(C163-D163)&lt;0.5,"Yes","No"))</f>
        <v/>
      </c>
      <c r="F163" s="21" t="str">
        <f aca="false">IF(A163="","",COUNTIF(Register!$A$9:$A$2008,A163))</f>
        <v/>
      </c>
      <c r="G163" s="21" t="str">
        <f aca="false">IF(A163="","",COUNTIFS(Register!$A$9:$A$2008,A163,Register!$L$9:$L$2008,"?*"))</f>
        <v/>
      </c>
      <c r="H163" s="10" t="str">
        <f aca="false">IF(A163="","",INDEX(Register!$H$9:$H$2008,MATCH(A163,Register!$A$9:$A$2008,0)))</f>
        <v/>
      </c>
      <c r="I163" s="10" t="str">
        <f aca="false">IF(A163="","",INDEX(Register!$I$9:$I$2008,MATCH(A163,Register!$A$9:$A$2008,0))&amp;"")</f>
        <v/>
      </c>
      <c r="J163" s="8"/>
    </row>
    <row r="164" customFormat="false" ht="15" hidden="false" customHeight="false" outlineLevel="0" collapsed="false">
      <c r="A164" s="10" t="str">
        <f aca="false">IFERROR(INDEX(Register!$A$9:$A$2008,MATCH(156,Register!$M$9:$M$2008,0)),"")</f>
        <v/>
      </c>
      <c r="B164" s="22" t="str">
        <f aca="false">IF(A164="","",INDEX(Register!$B$9:$B$2008,MATCH(A164,Register!$A$9:$A$2008,0)))</f>
        <v/>
      </c>
      <c r="C164" s="23" t="str">
        <f aca="false">IF(A164="","",SUMIFS(Register!$E$9:$E$2008,Register!$A$9:$A$2008,A164))</f>
        <v/>
      </c>
      <c r="D164" s="23" t="str">
        <f aca="false">IF(A164="","",SUMIFS(Register!$F$9:$F$2008,Register!$A$9:$A$2008,A164))</f>
        <v/>
      </c>
      <c r="E164" s="10" t="str">
        <f aca="false">IF(A164="","",IF(ABS(C164-D164)&lt;0.5,"Yes","No"))</f>
        <v/>
      </c>
      <c r="F164" s="21" t="str">
        <f aca="false">IF(A164="","",COUNTIF(Register!$A$9:$A$2008,A164))</f>
        <v/>
      </c>
      <c r="G164" s="21" t="str">
        <f aca="false">IF(A164="","",COUNTIFS(Register!$A$9:$A$2008,A164,Register!$L$9:$L$2008,"?*"))</f>
        <v/>
      </c>
      <c r="H164" s="10" t="str">
        <f aca="false">IF(A164="","",INDEX(Register!$H$9:$H$2008,MATCH(A164,Register!$A$9:$A$2008,0)))</f>
        <v/>
      </c>
      <c r="I164" s="10" t="str">
        <f aca="false">IF(A164="","",INDEX(Register!$I$9:$I$2008,MATCH(A164,Register!$A$9:$A$2008,0))&amp;"")</f>
        <v/>
      </c>
      <c r="J164" s="8"/>
    </row>
    <row r="165" customFormat="false" ht="15" hidden="false" customHeight="false" outlineLevel="0" collapsed="false">
      <c r="A165" s="10" t="str">
        <f aca="false">IFERROR(INDEX(Register!$A$9:$A$2008,MATCH(157,Register!$M$9:$M$2008,0)),"")</f>
        <v/>
      </c>
      <c r="B165" s="22" t="str">
        <f aca="false">IF(A165="","",INDEX(Register!$B$9:$B$2008,MATCH(A165,Register!$A$9:$A$2008,0)))</f>
        <v/>
      </c>
      <c r="C165" s="23" t="str">
        <f aca="false">IF(A165="","",SUMIFS(Register!$E$9:$E$2008,Register!$A$9:$A$2008,A165))</f>
        <v/>
      </c>
      <c r="D165" s="23" t="str">
        <f aca="false">IF(A165="","",SUMIFS(Register!$F$9:$F$2008,Register!$A$9:$A$2008,A165))</f>
        <v/>
      </c>
      <c r="E165" s="10" t="str">
        <f aca="false">IF(A165="","",IF(ABS(C165-D165)&lt;0.5,"Yes","No"))</f>
        <v/>
      </c>
      <c r="F165" s="21" t="str">
        <f aca="false">IF(A165="","",COUNTIF(Register!$A$9:$A$2008,A165))</f>
        <v/>
      </c>
      <c r="G165" s="21" t="str">
        <f aca="false">IF(A165="","",COUNTIFS(Register!$A$9:$A$2008,A165,Register!$L$9:$L$2008,"?*"))</f>
        <v/>
      </c>
      <c r="H165" s="10" t="str">
        <f aca="false">IF(A165="","",INDEX(Register!$H$9:$H$2008,MATCH(A165,Register!$A$9:$A$2008,0)))</f>
        <v/>
      </c>
      <c r="I165" s="10" t="str">
        <f aca="false">IF(A165="","",INDEX(Register!$I$9:$I$2008,MATCH(A165,Register!$A$9:$A$2008,0))&amp;"")</f>
        <v/>
      </c>
      <c r="J165" s="8"/>
    </row>
    <row r="166" customFormat="false" ht="15" hidden="false" customHeight="false" outlineLevel="0" collapsed="false">
      <c r="A166" s="10" t="str">
        <f aca="false">IFERROR(INDEX(Register!$A$9:$A$2008,MATCH(158,Register!$M$9:$M$2008,0)),"")</f>
        <v/>
      </c>
      <c r="B166" s="22" t="str">
        <f aca="false">IF(A166="","",INDEX(Register!$B$9:$B$2008,MATCH(A166,Register!$A$9:$A$2008,0)))</f>
        <v/>
      </c>
      <c r="C166" s="23" t="str">
        <f aca="false">IF(A166="","",SUMIFS(Register!$E$9:$E$2008,Register!$A$9:$A$2008,A166))</f>
        <v/>
      </c>
      <c r="D166" s="23" t="str">
        <f aca="false">IF(A166="","",SUMIFS(Register!$F$9:$F$2008,Register!$A$9:$A$2008,A166))</f>
        <v/>
      </c>
      <c r="E166" s="10" t="str">
        <f aca="false">IF(A166="","",IF(ABS(C166-D166)&lt;0.5,"Yes","No"))</f>
        <v/>
      </c>
      <c r="F166" s="21" t="str">
        <f aca="false">IF(A166="","",COUNTIF(Register!$A$9:$A$2008,A166))</f>
        <v/>
      </c>
      <c r="G166" s="21" t="str">
        <f aca="false">IF(A166="","",COUNTIFS(Register!$A$9:$A$2008,A166,Register!$L$9:$L$2008,"?*"))</f>
        <v/>
      </c>
      <c r="H166" s="10" t="str">
        <f aca="false">IF(A166="","",INDEX(Register!$H$9:$H$2008,MATCH(A166,Register!$A$9:$A$2008,0)))</f>
        <v/>
      </c>
      <c r="I166" s="10" t="str">
        <f aca="false">IF(A166="","",INDEX(Register!$I$9:$I$2008,MATCH(A166,Register!$A$9:$A$2008,0))&amp;"")</f>
        <v/>
      </c>
      <c r="J166" s="8"/>
    </row>
    <row r="167" customFormat="false" ht="15" hidden="false" customHeight="false" outlineLevel="0" collapsed="false">
      <c r="A167" s="10" t="str">
        <f aca="false">IFERROR(INDEX(Register!$A$9:$A$2008,MATCH(159,Register!$M$9:$M$2008,0)),"")</f>
        <v/>
      </c>
      <c r="B167" s="22" t="str">
        <f aca="false">IF(A167="","",INDEX(Register!$B$9:$B$2008,MATCH(A167,Register!$A$9:$A$2008,0)))</f>
        <v/>
      </c>
      <c r="C167" s="23" t="str">
        <f aca="false">IF(A167="","",SUMIFS(Register!$E$9:$E$2008,Register!$A$9:$A$2008,A167))</f>
        <v/>
      </c>
      <c r="D167" s="23" t="str">
        <f aca="false">IF(A167="","",SUMIFS(Register!$F$9:$F$2008,Register!$A$9:$A$2008,A167))</f>
        <v/>
      </c>
      <c r="E167" s="10" t="str">
        <f aca="false">IF(A167="","",IF(ABS(C167-D167)&lt;0.5,"Yes","No"))</f>
        <v/>
      </c>
      <c r="F167" s="21" t="str">
        <f aca="false">IF(A167="","",COUNTIF(Register!$A$9:$A$2008,A167))</f>
        <v/>
      </c>
      <c r="G167" s="21" t="str">
        <f aca="false">IF(A167="","",COUNTIFS(Register!$A$9:$A$2008,A167,Register!$L$9:$L$2008,"?*"))</f>
        <v/>
      </c>
      <c r="H167" s="10" t="str">
        <f aca="false">IF(A167="","",INDEX(Register!$H$9:$H$2008,MATCH(A167,Register!$A$9:$A$2008,0)))</f>
        <v/>
      </c>
      <c r="I167" s="10" t="str">
        <f aca="false">IF(A167="","",INDEX(Register!$I$9:$I$2008,MATCH(A167,Register!$A$9:$A$2008,0))&amp;"")</f>
        <v/>
      </c>
      <c r="J167" s="8"/>
    </row>
    <row r="168" customFormat="false" ht="15" hidden="false" customHeight="false" outlineLevel="0" collapsed="false">
      <c r="A168" s="10" t="str">
        <f aca="false">IFERROR(INDEX(Register!$A$9:$A$2008,MATCH(160,Register!$M$9:$M$2008,0)),"")</f>
        <v/>
      </c>
      <c r="B168" s="22" t="str">
        <f aca="false">IF(A168="","",INDEX(Register!$B$9:$B$2008,MATCH(A168,Register!$A$9:$A$2008,0)))</f>
        <v/>
      </c>
      <c r="C168" s="23" t="str">
        <f aca="false">IF(A168="","",SUMIFS(Register!$E$9:$E$2008,Register!$A$9:$A$2008,A168))</f>
        <v/>
      </c>
      <c r="D168" s="23" t="str">
        <f aca="false">IF(A168="","",SUMIFS(Register!$F$9:$F$2008,Register!$A$9:$A$2008,A168))</f>
        <v/>
      </c>
      <c r="E168" s="10" t="str">
        <f aca="false">IF(A168="","",IF(ABS(C168-D168)&lt;0.5,"Yes","No"))</f>
        <v/>
      </c>
      <c r="F168" s="21" t="str">
        <f aca="false">IF(A168="","",COUNTIF(Register!$A$9:$A$2008,A168))</f>
        <v/>
      </c>
      <c r="G168" s="21" t="str">
        <f aca="false">IF(A168="","",COUNTIFS(Register!$A$9:$A$2008,A168,Register!$L$9:$L$2008,"?*"))</f>
        <v/>
      </c>
      <c r="H168" s="10" t="str">
        <f aca="false">IF(A168="","",INDEX(Register!$H$9:$H$2008,MATCH(A168,Register!$A$9:$A$2008,0)))</f>
        <v/>
      </c>
      <c r="I168" s="10" t="str">
        <f aca="false">IF(A168="","",INDEX(Register!$I$9:$I$2008,MATCH(A168,Register!$A$9:$A$2008,0))&amp;"")</f>
        <v/>
      </c>
      <c r="J168" s="8"/>
    </row>
    <row r="169" customFormat="false" ht="15" hidden="false" customHeight="false" outlineLevel="0" collapsed="false">
      <c r="A169" s="10" t="str">
        <f aca="false">IFERROR(INDEX(Register!$A$9:$A$2008,MATCH(161,Register!$M$9:$M$2008,0)),"")</f>
        <v/>
      </c>
      <c r="B169" s="22" t="str">
        <f aca="false">IF(A169="","",INDEX(Register!$B$9:$B$2008,MATCH(A169,Register!$A$9:$A$2008,0)))</f>
        <v/>
      </c>
      <c r="C169" s="23" t="str">
        <f aca="false">IF(A169="","",SUMIFS(Register!$E$9:$E$2008,Register!$A$9:$A$2008,A169))</f>
        <v/>
      </c>
      <c r="D169" s="23" t="str">
        <f aca="false">IF(A169="","",SUMIFS(Register!$F$9:$F$2008,Register!$A$9:$A$2008,A169))</f>
        <v/>
      </c>
      <c r="E169" s="10" t="str">
        <f aca="false">IF(A169="","",IF(ABS(C169-D169)&lt;0.5,"Yes","No"))</f>
        <v/>
      </c>
      <c r="F169" s="21" t="str">
        <f aca="false">IF(A169="","",COUNTIF(Register!$A$9:$A$2008,A169))</f>
        <v/>
      </c>
      <c r="G169" s="21" t="str">
        <f aca="false">IF(A169="","",COUNTIFS(Register!$A$9:$A$2008,A169,Register!$L$9:$L$2008,"?*"))</f>
        <v/>
      </c>
      <c r="H169" s="10" t="str">
        <f aca="false">IF(A169="","",INDEX(Register!$H$9:$H$2008,MATCH(A169,Register!$A$9:$A$2008,0)))</f>
        <v/>
      </c>
      <c r="I169" s="10" t="str">
        <f aca="false">IF(A169="","",INDEX(Register!$I$9:$I$2008,MATCH(A169,Register!$A$9:$A$2008,0))&amp;"")</f>
        <v/>
      </c>
      <c r="J169" s="8"/>
    </row>
    <row r="170" customFormat="false" ht="15" hidden="false" customHeight="false" outlineLevel="0" collapsed="false">
      <c r="A170" s="10" t="str">
        <f aca="false">IFERROR(INDEX(Register!$A$9:$A$2008,MATCH(162,Register!$M$9:$M$2008,0)),"")</f>
        <v/>
      </c>
      <c r="B170" s="22" t="str">
        <f aca="false">IF(A170="","",INDEX(Register!$B$9:$B$2008,MATCH(A170,Register!$A$9:$A$2008,0)))</f>
        <v/>
      </c>
      <c r="C170" s="23" t="str">
        <f aca="false">IF(A170="","",SUMIFS(Register!$E$9:$E$2008,Register!$A$9:$A$2008,A170))</f>
        <v/>
      </c>
      <c r="D170" s="23" t="str">
        <f aca="false">IF(A170="","",SUMIFS(Register!$F$9:$F$2008,Register!$A$9:$A$2008,A170))</f>
        <v/>
      </c>
      <c r="E170" s="10" t="str">
        <f aca="false">IF(A170="","",IF(ABS(C170-D170)&lt;0.5,"Yes","No"))</f>
        <v/>
      </c>
      <c r="F170" s="21" t="str">
        <f aca="false">IF(A170="","",COUNTIF(Register!$A$9:$A$2008,A170))</f>
        <v/>
      </c>
      <c r="G170" s="21" t="str">
        <f aca="false">IF(A170="","",COUNTIFS(Register!$A$9:$A$2008,A170,Register!$L$9:$L$2008,"?*"))</f>
        <v/>
      </c>
      <c r="H170" s="10" t="str">
        <f aca="false">IF(A170="","",INDEX(Register!$H$9:$H$2008,MATCH(A170,Register!$A$9:$A$2008,0)))</f>
        <v/>
      </c>
      <c r="I170" s="10" t="str">
        <f aca="false">IF(A170="","",INDEX(Register!$I$9:$I$2008,MATCH(A170,Register!$A$9:$A$2008,0))&amp;"")</f>
        <v/>
      </c>
      <c r="J170" s="8"/>
    </row>
    <row r="171" customFormat="false" ht="15" hidden="false" customHeight="false" outlineLevel="0" collapsed="false">
      <c r="A171" s="10" t="str">
        <f aca="false">IFERROR(INDEX(Register!$A$9:$A$2008,MATCH(163,Register!$M$9:$M$2008,0)),"")</f>
        <v/>
      </c>
      <c r="B171" s="22" t="str">
        <f aca="false">IF(A171="","",INDEX(Register!$B$9:$B$2008,MATCH(A171,Register!$A$9:$A$2008,0)))</f>
        <v/>
      </c>
      <c r="C171" s="23" t="str">
        <f aca="false">IF(A171="","",SUMIFS(Register!$E$9:$E$2008,Register!$A$9:$A$2008,A171))</f>
        <v/>
      </c>
      <c r="D171" s="23" t="str">
        <f aca="false">IF(A171="","",SUMIFS(Register!$F$9:$F$2008,Register!$A$9:$A$2008,A171))</f>
        <v/>
      </c>
      <c r="E171" s="10" t="str">
        <f aca="false">IF(A171="","",IF(ABS(C171-D171)&lt;0.5,"Yes","No"))</f>
        <v/>
      </c>
      <c r="F171" s="21" t="str">
        <f aca="false">IF(A171="","",COUNTIF(Register!$A$9:$A$2008,A171))</f>
        <v/>
      </c>
      <c r="G171" s="21" t="str">
        <f aca="false">IF(A171="","",COUNTIFS(Register!$A$9:$A$2008,A171,Register!$L$9:$L$2008,"?*"))</f>
        <v/>
      </c>
      <c r="H171" s="10" t="str">
        <f aca="false">IF(A171="","",INDEX(Register!$H$9:$H$2008,MATCH(A171,Register!$A$9:$A$2008,0)))</f>
        <v/>
      </c>
      <c r="I171" s="10" t="str">
        <f aca="false">IF(A171="","",INDEX(Register!$I$9:$I$2008,MATCH(A171,Register!$A$9:$A$2008,0))&amp;"")</f>
        <v/>
      </c>
      <c r="J171" s="8"/>
    </row>
    <row r="172" customFormat="false" ht="15" hidden="false" customHeight="false" outlineLevel="0" collapsed="false">
      <c r="A172" s="10" t="str">
        <f aca="false">IFERROR(INDEX(Register!$A$9:$A$2008,MATCH(164,Register!$M$9:$M$2008,0)),"")</f>
        <v/>
      </c>
      <c r="B172" s="22" t="str">
        <f aca="false">IF(A172="","",INDEX(Register!$B$9:$B$2008,MATCH(A172,Register!$A$9:$A$2008,0)))</f>
        <v/>
      </c>
      <c r="C172" s="23" t="str">
        <f aca="false">IF(A172="","",SUMIFS(Register!$E$9:$E$2008,Register!$A$9:$A$2008,A172))</f>
        <v/>
      </c>
      <c r="D172" s="23" t="str">
        <f aca="false">IF(A172="","",SUMIFS(Register!$F$9:$F$2008,Register!$A$9:$A$2008,A172))</f>
        <v/>
      </c>
      <c r="E172" s="10" t="str">
        <f aca="false">IF(A172="","",IF(ABS(C172-D172)&lt;0.5,"Yes","No"))</f>
        <v/>
      </c>
      <c r="F172" s="21" t="str">
        <f aca="false">IF(A172="","",COUNTIF(Register!$A$9:$A$2008,A172))</f>
        <v/>
      </c>
      <c r="G172" s="21" t="str">
        <f aca="false">IF(A172="","",COUNTIFS(Register!$A$9:$A$2008,A172,Register!$L$9:$L$2008,"?*"))</f>
        <v/>
      </c>
      <c r="H172" s="10" t="str">
        <f aca="false">IF(A172="","",INDEX(Register!$H$9:$H$2008,MATCH(A172,Register!$A$9:$A$2008,0)))</f>
        <v/>
      </c>
      <c r="I172" s="10" t="str">
        <f aca="false">IF(A172="","",INDEX(Register!$I$9:$I$2008,MATCH(A172,Register!$A$9:$A$2008,0))&amp;"")</f>
        <v/>
      </c>
      <c r="J172" s="8"/>
    </row>
    <row r="173" customFormat="false" ht="15" hidden="false" customHeight="false" outlineLevel="0" collapsed="false">
      <c r="A173" s="10" t="str">
        <f aca="false">IFERROR(INDEX(Register!$A$9:$A$2008,MATCH(165,Register!$M$9:$M$2008,0)),"")</f>
        <v/>
      </c>
      <c r="B173" s="22" t="str">
        <f aca="false">IF(A173="","",INDEX(Register!$B$9:$B$2008,MATCH(A173,Register!$A$9:$A$2008,0)))</f>
        <v/>
      </c>
      <c r="C173" s="23" t="str">
        <f aca="false">IF(A173="","",SUMIFS(Register!$E$9:$E$2008,Register!$A$9:$A$2008,A173))</f>
        <v/>
      </c>
      <c r="D173" s="23" t="str">
        <f aca="false">IF(A173="","",SUMIFS(Register!$F$9:$F$2008,Register!$A$9:$A$2008,A173))</f>
        <v/>
      </c>
      <c r="E173" s="10" t="str">
        <f aca="false">IF(A173="","",IF(ABS(C173-D173)&lt;0.5,"Yes","No"))</f>
        <v/>
      </c>
      <c r="F173" s="21" t="str">
        <f aca="false">IF(A173="","",COUNTIF(Register!$A$9:$A$2008,A173))</f>
        <v/>
      </c>
      <c r="G173" s="21" t="str">
        <f aca="false">IF(A173="","",COUNTIFS(Register!$A$9:$A$2008,A173,Register!$L$9:$L$2008,"?*"))</f>
        <v/>
      </c>
      <c r="H173" s="10" t="str">
        <f aca="false">IF(A173="","",INDEX(Register!$H$9:$H$2008,MATCH(A173,Register!$A$9:$A$2008,0)))</f>
        <v/>
      </c>
      <c r="I173" s="10" t="str">
        <f aca="false">IF(A173="","",INDEX(Register!$I$9:$I$2008,MATCH(A173,Register!$A$9:$A$2008,0))&amp;"")</f>
        <v/>
      </c>
      <c r="J173" s="8"/>
    </row>
    <row r="174" customFormat="false" ht="15" hidden="false" customHeight="false" outlineLevel="0" collapsed="false">
      <c r="A174" s="10" t="str">
        <f aca="false">IFERROR(INDEX(Register!$A$9:$A$2008,MATCH(166,Register!$M$9:$M$2008,0)),"")</f>
        <v/>
      </c>
      <c r="B174" s="22" t="str">
        <f aca="false">IF(A174="","",INDEX(Register!$B$9:$B$2008,MATCH(A174,Register!$A$9:$A$2008,0)))</f>
        <v/>
      </c>
      <c r="C174" s="23" t="str">
        <f aca="false">IF(A174="","",SUMIFS(Register!$E$9:$E$2008,Register!$A$9:$A$2008,A174))</f>
        <v/>
      </c>
      <c r="D174" s="23" t="str">
        <f aca="false">IF(A174="","",SUMIFS(Register!$F$9:$F$2008,Register!$A$9:$A$2008,A174))</f>
        <v/>
      </c>
      <c r="E174" s="10" t="str">
        <f aca="false">IF(A174="","",IF(ABS(C174-D174)&lt;0.5,"Yes","No"))</f>
        <v/>
      </c>
      <c r="F174" s="21" t="str">
        <f aca="false">IF(A174="","",COUNTIF(Register!$A$9:$A$2008,A174))</f>
        <v/>
      </c>
      <c r="G174" s="21" t="str">
        <f aca="false">IF(A174="","",COUNTIFS(Register!$A$9:$A$2008,A174,Register!$L$9:$L$2008,"?*"))</f>
        <v/>
      </c>
      <c r="H174" s="10" t="str">
        <f aca="false">IF(A174="","",INDEX(Register!$H$9:$H$2008,MATCH(A174,Register!$A$9:$A$2008,0)))</f>
        <v/>
      </c>
      <c r="I174" s="10" t="str">
        <f aca="false">IF(A174="","",INDEX(Register!$I$9:$I$2008,MATCH(A174,Register!$A$9:$A$2008,0))&amp;"")</f>
        <v/>
      </c>
      <c r="J174" s="8"/>
    </row>
    <row r="175" customFormat="false" ht="15" hidden="false" customHeight="false" outlineLevel="0" collapsed="false">
      <c r="A175" s="10" t="str">
        <f aca="false">IFERROR(INDEX(Register!$A$9:$A$2008,MATCH(167,Register!$M$9:$M$2008,0)),"")</f>
        <v/>
      </c>
      <c r="B175" s="22" t="str">
        <f aca="false">IF(A175="","",INDEX(Register!$B$9:$B$2008,MATCH(A175,Register!$A$9:$A$2008,0)))</f>
        <v/>
      </c>
      <c r="C175" s="23" t="str">
        <f aca="false">IF(A175="","",SUMIFS(Register!$E$9:$E$2008,Register!$A$9:$A$2008,A175))</f>
        <v/>
      </c>
      <c r="D175" s="23" t="str">
        <f aca="false">IF(A175="","",SUMIFS(Register!$F$9:$F$2008,Register!$A$9:$A$2008,A175))</f>
        <v/>
      </c>
      <c r="E175" s="10" t="str">
        <f aca="false">IF(A175="","",IF(ABS(C175-D175)&lt;0.5,"Yes","No"))</f>
        <v/>
      </c>
      <c r="F175" s="21" t="str">
        <f aca="false">IF(A175="","",COUNTIF(Register!$A$9:$A$2008,A175))</f>
        <v/>
      </c>
      <c r="G175" s="21" t="str">
        <f aca="false">IF(A175="","",COUNTIFS(Register!$A$9:$A$2008,A175,Register!$L$9:$L$2008,"?*"))</f>
        <v/>
      </c>
      <c r="H175" s="10" t="str">
        <f aca="false">IF(A175="","",INDEX(Register!$H$9:$H$2008,MATCH(A175,Register!$A$9:$A$2008,0)))</f>
        <v/>
      </c>
      <c r="I175" s="10" t="str">
        <f aca="false">IF(A175="","",INDEX(Register!$I$9:$I$2008,MATCH(A175,Register!$A$9:$A$2008,0))&amp;"")</f>
        <v/>
      </c>
      <c r="J175" s="8"/>
    </row>
    <row r="176" customFormat="false" ht="15" hidden="false" customHeight="false" outlineLevel="0" collapsed="false">
      <c r="A176" s="10" t="str">
        <f aca="false">IFERROR(INDEX(Register!$A$9:$A$2008,MATCH(168,Register!$M$9:$M$2008,0)),"")</f>
        <v/>
      </c>
      <c r="B176" s="22" t="str">
        <f aca="false">IF(A176="","",INDEX(Register!$B$9:$B$2008,MATCH(A176,Register!$A$9:$A$2008,0)))</f>
        <v/>
      </c>
      <c r="C176" s="23" t="str">
        <f aca="false">IF(A176="","",SUMIFS(Register!$E$9:$E$2008,Register!$A$9:$A$2008,A176))</f>
        <v/>
      </c>
      <c r="D176" s="23" t="str">
        <f aca="false">IF(A176="","",SUMIFS(Register!$F$9:$F$2008,Register!$A$9:$A$2008,A176))</f>
        <v/>
      </c>
      <c r="E176" s="10" t="str">
        <f aca="false">IF(A176="","",IF(ABS(C176-D176)&lt;0.5,"Yes","No"))</f>
        <v/>
      </c>
      <c r="F176" s="21" t="str">
        <f aca="false">IF(A176="","",COUNTIF(Register!$A$9:$A$2008,A176))</f>
        <v/>
      </c>
      <c r="G176" s="21" t="str">
        <f aca="false">IF(A176="","",COUNTIFS(Register!$A$9:$A$2008,A176,Register!$L$9:$L$2008,"?*"))</f>
        <v/>
      </c>
      <c r="H176" s="10" t="str">
        <f aca="false">IF(A176="","",INDEX(Register!$H$9:$H$2008,MATCH(A176,Register!$A$9:$A$2008,0)))</f>
        <v/>
      </c>
      <c r="I176" s="10" t="str">
        <f aca="false">IF(A176="","",INDEX(Register!$I$9:$I$2008,MATCH(A176,Register!$A$9:$A$2008,0))&amp;"")</f>
        <v/>
      </c>
      <c r="J176" s="8"/>
    </row>
    <row r="177" customFormat="false" ht="15" hidden="false" customHeight="false" outlineLevel="0" collapsed="false">
      <c r="A177" s="10" t="str">
        <f aca="false">IFERROR(INDEX(Register!$A$9:$A$2008,MATCH(169,Register!$M$9:$M$2008,0)),"")</f>
        <v/>
      </c>
      <c r="B177" s="22" t="str">
        <f aca="false">IF(A177="","",INDEX(Register!$B$9:$B$2008,MATCH(A177,Register!$A$9:$A$2008,0)))</f>
        <v/>
      </c>
      <c r="C177" s="23" t="str">
        <f aca="false">IF(A177="","",SUMIFS(Register!$E$9:$E$2008,Register!$A$9:$A$2008,A177))</f>
        <v/>
      </c>
      <c r="D177" s="23" t="str">
        <f aca="false">IF(A177="","",SUMIFS(Register!$F$9:$F$2008,Register!$A$9:$A$2008,A177))</f>
        <v/>
      </c>
      <c r="E177" s="10" t="str">
        <f aca="false">IF(A177="","",IF(ABS(C177-D177)&lt;0.5,"Yes","No"))</f>
        <v/>
      </c>
      <c r="F177" s="21" t="str">
        <f aca="false">IF(A177="","",COUNTIF(Register!$A$9:$A$2008,A177))</f>
        <v/>
      </c>
      <c r="G177" s="21" t="str">
        <f aca="false">IF(A177="","",COUNTIFS(Register!$A$9:$A$2008,A177,Register!$L$9:$L$2008,"?*"))</f>
        <v/>
      </c>
      <c r="H177" s="10" t="str">
        <f aca="false">IF(A177="","",INDEX(Register!$H$9:$H$2008,MATCH(A177,Register!$A$9:$A$2008,0)))</f>
        <v/>
      </c>
      <c r="I177" s="10" t="str">
        <f aca="false">IF(A177="","",INDEX(Register!$I$9:$I$2008,MATCH(A177,Register!$A$9:$A$2008,0))&amp;"")</f>
        <v/>
      </c>
      <c r="J177" s="8"/>
    </row>
    <row r="178" customFormat="false" ht="15" hidden="false" customHeight="false" outlineLevel="0" collapsed="false">
      <c r="A178" s="10" t="str">
        <f aca="false">IFERROR(INDEX(Register!$A$9:$A$2008,MATCH(170,Register!$M$9:$M$2008,0)),"")</f>
        <v/>
      </c>
      <c r="B178" s="22" t="str">
        <f aca="false">IF(A178="","",INDEX(Register!$B$9:$B$2008,MATCH(A178,Register!$A$9:$A$2008,0)))</f>
        <v/>
      </c>
      <c r="C178" s="23" t="str">
        <f aca="false">IF(A178="","",SUMIFS(Register!$E$9:$E$2008,Register!$A$9:$A$2008,A178))</f>
        <v/>
      </c>
      <c r="D178" s="23" t="str">
        <f aca="false">IF(A178="","",SUMIFS(Register!$F$9:$F$2008,Register!$A$9:$A$2008,A178))</f>
        <v/>
      </c>
      <c r="E178" s="10" t="str">
        <f aca="false">IF(A178="","",IF(ABS(C178-D178)&lt;0.5,"Yes","No"))</f>
        <v/>
      </c>
      <c r="F178" s="21" t="str">
        <f aca="false">IF(A178="","",COUNTIF(Register!$A$9:$A$2008,A178))</f>
        <v/>
      </c>
      <c r="G178" s="21" t="str">
        <f aca="false">IF(A178="","",COUNTIFS(Register!$A$9:$A$2008,A178,Register!$L$9:$L$2008,"?*"))</f>
        <v/>
      </c>
      <c r="H178" s="10" t="str">
        <f aca="false">IF(A178="","",INDEX(Register!$H$9:$H$2008,MATCH(A178,Register!$A$9:$A$2008,0)))</f>
        <v/>
      </c>
      <c r="I178" s="10" t="str">
        <f aca="false">IF(A178="","",INDEX(Register!$I$9:$I$2008,MATCH(A178,Register!$A$9:$A$2008,0))&amp;"")</f>
        <v/>
      </c>
      <c r="J178" s="8"/>
    </row>
    <row r="179" customFormat="false" ht="15" hidden="false" customHeight="false" outlineLevel="0" collapsed="false">
      <c r="A179" s="10" t="str">
        <f aca="false">IFERROR(INDEX(Register!$A$9:$A$2008,MATCH(171,Register!$M$9:$M$2008,0)),"")</f>
        <v/>
      </c>
      <c r="B179" s="22" t="str">
        <f aca="false">IF(A179="","",INDEX(Register!$B$9:$B$2008,MATCH(A179,Register!$A$9:$A$2008,0)))</f>
        <v/>
      </c>
      <c r="C179" s="23" t="str">
        <f aca="false">IF(A179="","",SUMIFS(Register!$E$9:$E$2008,Register!$A$9:$A$2008,A179))</f>
        <v/>
      </c>
      <c r="D179" s="23" t="str">
        <f aca="false">IF(A179="","",SUMIFS(Register!$F$9:$F$2008,Register!$A$9:$A$2008,A179))</f>
        <v/>
      </c>
      <c r="E179" s="10" t="str">
        <f aca="false">IF(A179="","",IF(ABS(C179-D179)&lt;0.5,"Yes","No"))</f>
        <v/>
      </c>
      <c r="F179" s="21" t="str">
        <f aca="false">IF(A179="","",COUNTIF(Register!$A$9:$A$2008,A179))</f>
        <v/>
      </c>
      <c r="G179" s="21" t="str">
        <f aca="false">IF(A179="","",COUNTIFS(Register!$A$9:$A$2008,A179,Register!$L$9:$L$2008,"?*"))</f>
        <v/>
      </c>
      <c r="H179" s="10" t="str">
        <f aca="false">IF(A179="","",INDEX(Register!$H$9:$H$2008,MATCH(A179,Register!$A$9:$A$2008,0)))</f>
        <v/>
      </c>
      <c r="I179" s="10" t="str">
        <f aca="false">IF(A179="","",INDEX(Register!$I$9:$I$2008,MATCH(A179,Register!$A$9:$A$2008,0))&amp;"")</f>
        <v/>
      </c>
      <c r="J179" s="8"/>
    </row>
    <row r="180" customFormat="false" ht="15" hidden="false" customHeight="false" outlineLevel="0" collapsed="false">
      <c r="A180" s="10" t="str">
        <f aca="false">IFERROR(INDEX(Register!$A$9:$A$2008,MATCH(172,Register!$M$9:$M$2008,0)),"")</f>
        <v/>
      </c>
      <c r="B180" s="22" t="str">
        <f aca="false">IF(A180="","",INDEX(Register!$B$9:$B$2008,MATCH(A180,Register!$A$9:$A$2008,0)))</f>
        <v/>
      </c>
      <c r="C180" s="23" t="str">
        <f aca="false">IF(A180="","",SUMIFS(Register!$E$9:$E$2008,Register!$A$9:$A$2008,A180))</f>
        <v/>
      </c>
      <c r="D180" s="23" t="str">
        <f aca="false">IF(A180="","",SUMIFS(Register!$F$9:$F$2008,Register!$A$9:$A$2008,A180))</f>
        <v/>
      </c>
      <c r="E180" s="10" t="str">
        <f aca="false">IF(A180="","",IF(ABS(C180-D180)&lt;0.5,"Yes","No"))</f>
        <v/>
      </c>
      <c r="F180" s="21" t="str">
        <f aca="false">IF(A180="","",COUNTIF(Register!$A$9:$A$2008,A180))</f>
        <v/>
      </c>
      <c r="G180" s="21" t="str">
        <f aca="false">IF(A180="","",COUNTIFS(Register!$A$9:$A$2008,A180,Register!$L$9:$L$2008,"?*"))</f>
        <v/>
      </c>
      <c r="H180" s="10" t="str">
        <f aca="false">IF(A180="","",INDEX(Register!$H$9:$H$2008,MATCH(A180,Register!$A$9:$A$2008,0)))</f>
        <v/>
      </c>
      <c r="I180" s="10" t="str">
        <f aca="false">IF(A180="","",INDEX(Register!$I$9:$I$2008,MATCH(A180,Register!$A$9:$A$2008,0))&amp;"")</f>
        <v/>
      </c>
      <c r="J180" s="8"/>
    </row>
    <row r="181" customFormat="false" ht="15" hidden="false" customHeight="false" outlineLevel="0" collapsed="false">
      <c r="A181" s="10" t="str">
        <f aca="false">IFERROR(INDEX(Register!$A$9:$A$2008,MATCH(173,Register!$M$9:$M$2008,0)),"")</f>
        <v/>
      </c>
      <c r="B181" s="22" t="str">
        <f aca="false">IF(A181="","",INDEX(Register!$B$9:$B$2008,MATCH(A181,Register!$A$9:$A$2008,0)))</f>
        <v/>
      </c>
      <c r="C181" s="23" t="str">
        <f aca="false">IF(A181="","",SUMIFS(Register!$E$9:$E$2008,Register!$A$9:$A$2008,A181))</f>
        <v/>
      </c>
      <c r="D181" s="23" t="str">
        <f aca="false">IF(A181="","",SUMIFS(Register!$F$9:$F$2008,Register!$A$9:$A$2008,A181))</f>
        <v/>
      </c>
      <c r="E181" s="10" t="str">
        <f aca="false">IF(A181="","",IF(ABS(C181-D181)&lt;0.5,"Yes","No"))</f>
        <v/>
      </c>
      <c r="F181" s="21" t="str">
        <f aca="false">IF(A181="","",COUNTIF(Register!$A$9:$A$2008,A181))</f>
        <v/>
      </c>
      <c r="G181" s="21" t="str">
        <f aca="false">IF(A181="","",COUNTIFS(Register!$A$9:$A$2008,A181,Register!$L$9:$L$2008,"?*"))</f>
        <v/>
      </c>
      <c r="H181" s="10" t="str">
        <f aca="false">IF(A181="","",INDEX(Register!$H$9:$H$2008,MATCH(A181,Register!$A$9:$A$2008,0)))</f>
        <v/>
      </c>
      <c r="I181" s="10" t="str">
        <f aca="false">IF(A181="","",INDEX(Register!$I$9:$I$2008,MATCH(A181,Register!$A$9:$A$2008,0))&amp;"")</f>
        <v/>
      </c>
      <c r="J181" s="8"/>
    </row>
    <row r="182" customFormat="false" ht="15" hidden="false" customHeight="false" outlineLevel="0" collapsed="false">
      <c r="A182" s="10" t="str">
        <f aca="false">IFERROR(INDEX(Register!$A$9:$A$2008,MATCH(174,Register!$M$9:$M$2008,0)),"")</f>
        <v/>
      </c>
      <c r="B182" s="22" t="str">
        <f aca="false">IF(A182="","",INDEX(Register!$B$9:$B$2008,MATCH(A182,Register!$A$9:$A$2008,0)))</f>
        <v/>
      </c>
      <c r="C182" s="23" t="str">
        <f aca="false">IF(A182="","",SUMIFS(Register!$E$9:$E$2008,Register!$A$9:$A$2008,A182))</f>
        <v/>
      </c>
      <c r="D182" s="23" t="str">
        <f aca="false">IF(A182="","",SUMIFS(Register!$F$9:$F$2008,Register!$A$9:$A$2008,A182))</f>
        <v/>
      </c>
      <c r="E182" s="10" t="str">
        <f aca="false">IF(A182="","",IF(ABS(C182-D182)&lt;0.5,"Yes","No"))</f>
        <v/>
      </c>
      <c r="F182" s="21" t="str">
        <f aca="false">IF(A182="","",COUNTIF(Register!$A$9:$A$2008,A182))</f>
        <v/>
      </c>
      <c r="G182" s="21" t="str">
        <f aca="false">IF(A182="","",COUNTIFS(Register!$A$9:$A$2008,A182,Register!$L$9:$L$2008,"?*"))</f>
        <v/>
      </c>
      <c r="H182" s="10" t="str">
        <f aca="false">IF(A182="","",INDEX(Register!$H$9:$H$2008,MATCH(A182,Register!$A$9:$A$2008,0)))</f>
        <v/>
      </c>
      <c r="I182" s="10" t="str">
        <f aca="false">IF(A182="","",INDEX(Register!$I$9:$I$2008,MATCH(A182,Register!$A$9:$A$2008,0))&amp;"")</f>
        <v/>
      </c>
      <c r="J182" s="8"/>
    </row>
    <row r="183" customFormat="false" ht="15" hidden="false" customHeight="false" outlineLevel="0" collapsed="false">
      <c r="A183" s="10" t="str">
        <f aca="false">IFERROR(INDEX(Register!$A$9:$A$2008,MATCH(175,Register!$M$9:$M$2008,0)),"")</f>
        <v/>
      </c>
      <c r="B183" s="22" t="str">
        <f aca="false">IF(A183="","",INDEX(Register!$B$9:$B$2008,MATCH(A183,Register!$A$9:$A$2008,0)))</f>
        <v/>
      </c>
      <c r="C183" s="23" t="str">
        <f aca="false">IF(A183="","",SUMIFS(Register!$E$9:$E$2008,Register!$A$9:$A$2008,A183))</f>
        <v/>
      </c>
      <c r="D183" s="23" t="str">
        <f aca="false">IF(A183="","",SUMIFS(Register!$F$9:$F$2008,Register!$A$9:$A$2008,A183))</f>
        <v/>
      </c>
      <c r="E183" s="10" t="str">
        <f aca="false">IF(A183="","",IF(ABS(C183-D183)&lt;0.5,"Yes","No"))</f>
        <v/>
      </c>
      <c r="F183" s="21" t="str">
        <f aca="false">IF(A183="","",COUNTIF(Register!$A$9:$A$2008,A183))</f>
        <v/>
      </c>
      <c r="G183" s="21" t="str">
        <f aca="false">IF(A183="","",COUNTIFS(Register!$A$9:$A$2008,A183,Register!$L$9:$L$2008,"?*"))</f>
        <v/>
      </c>
      <c r="H183" s="10" t="str">
        <f aca="false">IF(A183="","",INDEX(Register!$H$9:$H$2008,MATCH(A183,Register!$A$9:$A$2008,0)))</f>
        <v/>
      </c>
      <c r="I183" s="10" t="str">
        <f aca="false">IF(A183="","",INDEX(Register!$I$9:$I$2008,MATCH(A183,Register!$A$9:$A$2008,0))&amp;"")</f>
        <v/>
      </c>
      <c r="J183" s="8"/>
    </row>
    <row r="184" customFormat="false" ht="15" hidden="false" customHeight="false" outlineLevel="0" collapsed="false">
      <c r="A184" s="10" t="str">
        <f aca="false">IFERROR(INDEX(Register!$A$9:$A$2008,MATCH(176,Register!$M$9:$M$2008,0)),"")</f>
        <v/>
      </c>
      <c r="B184" s="22" t="str">
        <f aca="false">IF(A184="","",INDEX(Register!$B$9:$B$2008,MATCH(A184,Register!$A$9:$A$2008,0)))</f>
        <v/>
      </c>
      <c r="C184" s="23" t="str">
        <f aca="false">IF(A184="","",SUMIFS(Register!$E$9:$E$2008,Register!$A$9:$A$2008,A184))</f>
        <v/>
      </c>
      <c r="D184" s="23" t="str">
        <f aca="false">IF(A184="","",SUMIFS(Register!$F$9:$F$2008,Register!$A$9:$A$2008,A184))</f>
        <v/>
      </c>
      <c r="E184" s="10" t="str">
        <f aca="false">IF(A184="","",IF(ABS(C184-D184)&lt;0.5,"Yes","No"))</f>
        <v/>
      </c>
      <c r="F184" s="21" t="str">
        <f aca="false">IF(A184="","",COUNTIF(Register!$A$9:$A$2008,A184))</f>
        <v/>
      </c>
      <c r="G184" s="21" t="str">
        <f aca="false">IF(A184="","",COUNTIFS(Register!$A$9:$A$2008,A184,Register!$L$9:$L$2008,"?*"))</f>
        <v/>
      </c>
      <c r="H184" s="10" t="str">
        <f aca="false">IF(A184="","",INDEX(Register!$H$9:$H$2008,MATCH(A184,Register!$A$9:$A$2008,0)))</f>
        <v/>
      </c>
      <c r="I184" s="10" t="str">
        <f aca="false">IF(A184="","",INDEX(Register!$I$9:$I$2008,MATCH(A184,Register!$A$9:$A$2008,0))&amp;"")</f>
        <v/>
      </c>
      <c r="J184" s="8"/>
    </row>
    <row r="185" customFormat="false" ht="15" hidden="false" customHeight="false" outlineLevel="0" collapsed="false">
      <c r="A185" s="10" t="str">
        <f aca="false">IFERROR(INDEX(Register!$A$9:$A$2008,MATCH(177,Register!$M$9:$M$2008,0)),"")</f>
        <v/>
      </c>
      <c r="B185" s="22" t="str">
        <f aca="false">IF(A185="","",INDEX(Register!$B$9:$B$2008,MATCH(A185,Register!$A$9:$A$2008,0)))</f>
        <v/>
      </c>
      <c r="C185" s="23" t="str">
        <f aca="false">IF(A185="","",SUMIFS(Register!$E$9:$E$2008,Register!$A$9:$A$2008,A185))</f>
        <v/>
      </c>
      <c r="D185" s="23" t="str">
        <f aca="false">IF(A185="","",SUMIFS(Register!$F$9:$F$2008,Register!$A$9:$A$2008,A185))</f>
        <v/>
      </c>
      <c r="E185" s="10" t="str">
        <f aca="false">IF(A185="","",IF(ABS(C185-D185)&lt;0.5,"Yes","No"))</f>
        <v/>
      </c>
      <c r="F185" s="21" t="str">
        <f aca="false">IF(A185="","",COUNTIF(Register!$A$9:$A$2008,A185))</f>
        <v/>
      </c>
      <c r="G185" s="21" t="str">
        <f aca="false">IF(A185="","",COUNTIFS(Register!$A$9:$A$2008,A185,Register!$L$9:$L$2008,"?*"))</f>
        <v/>
      </c>
      <c r="H185" s="10" t="str">
        <f aca="false">IF(A185="","",INDEX(Register!$H$9:$H$2008,MATCH(A185,Register!$A$9:$A$2008,0)))</f>
        <v/>
      </c>
      <c r="I185" s="10" t="str">
        <f aca="false">IF(A185="","",INDEX(Register!$I$9:$I$2008,MATCH(A185,Register!$A$9:$A$2008,0))&amp;"")</f>
        <v/>
      </c>
      <c r="J185" s="8"/>
    </row>
    <row r="186" customFormat="false" ht="15" hidden="false" customHeight="false" outlineLevel="0" collapsed="false">
      <c r="A186" s="10" t="str">
        <f aca="false">IFERROR(INDEX(Register!$A$9:$A$2008,MATCH(178,Register!$M$9:$M$2008,0)),"")</f>
        <v/>
      </c>
      <c r="B186" s="22" t="str">
        <f aca="false">IF(A186="","",INDEX(Register!$B$9:$B$2008,MATCH(A186,Register!$A$9:$A$2008,0)))</f>
        <v/>
      </c>
      <c r="C186" s="23" t="str">
        <f aca="false">IF(A186="","",SUMIFS(Register!$E$9:$E$2008,Register!$A$9:$A$2008,A186))</f>
        <v/>
      </c>
      <c r="D186" s="23" t="str">
        <f aca="false">IF(A186="","",SUMIFS(Register!$F$9:$F$2008,Register!$A$9:$A$2008,A186))</f>
        <v/>
      </c>
      <c r="E186" s="10" t="str">
        <f aca="false">IF(A186="","",IF(ABS(C186-D186)&lt;0.5,"Yes","No"))</f>
        <v/>
      </c>
      <c r="F186" s="21" t="str">
        <f aca="false">IF(A186="","",COUNTIF(Register!$A$9:$A$2008,A186))</f>
        <v/>
      </c>
      <c r="G186" s="21" t="str">
        <f aca="false">IF(A186="","",COUNTIFS(Register!$A$9:$A$2008,A186,Register!$L$9:$L$2008,"?*"))</f>
        <v/>
      </c>
      <c r="H186" s="10" t="str">
        <f aca="false">IF(A186="","",INDEX(Register!$H$9:$H$2008,MATCH(A186,Register!$A$9:$A$2008,0)))</f>
        <v/>
      </c>
      <c r="I186" s="10" t="str">
        <f aca="false">IF(A186="","",INDEX(Register!$I$9:$I$2008,MATCH(A186,Register!$A$9:$A$2008,0))&amp;"")</f>
        <v/>
      </c>
      <c r="J186" s="8"/>
    </row>
    <row r="187" customFormat="false" ht="15" hidden="false" customHeight="false" outlineLevel="0" collapsed="false">
      <c r="A187" s="10" t="str">
        <f aca="false">IFERROR(INDEX(Register!$A$9:$A$2008,MATCH(179,Register!$M$9:$M$2008,0)),"")</f>
        <v/>
      </c>
      <c r="B187" s="22" t="str">
        <f aca="false">IF(A187="","",INDEX(Register!$B$9:$B$2008,MATCH(A187,Register!$A$9:$A$2008,0)))</f>
        <v/>
      </c>
      <c r="C187" s="23" t="str">
        <f aca="false">IF(A187="","",SUMIFS(Register!$E$9:$E$2008,Register!$A$9:$A$2008,A187))</f>
        <v/>
      </c>
      <c r="D187" s="23" t="str">
        <f aca="false">IF(A187="","",SUMIFS(Register!$F$9:$F$2008,Register!$A$9:$A$2008,A187))</f>
        <v/>
      </c>
      <c r="E187" s="10" t="str">
        <f aca="false">IF(A187="","",IF(ABS(C187-D187)&lt;0.5,"Yes","No"))</f>
        <v/>
      </c>
      <c r="F187" s="21" t="str">
        <f aca="false">IF(A187="","",COUNTIF(Register!$A$9:$A$2008,A187))</f>
        <v/>
      </c>
      <c r="G187" s="21" t="str">
        <f aca="false">IF(A187="","",COUNTIFS(Register!$A$9:$A$2008,A187,Register!$L$9:$L$2008,"?*"))</f>
        <v/>
      </c>
      <c r="H187" s="10" t="str">
        <f aca="false">IF(A187="","",INDEX(Register!$H$9:$H$2008,MATCH(A187,Register!$A$9:$A$2008,0)))</f>
        <v/>
      </c>
      <c r="I187" s="10" t="str">
        <f aca="false">IF(A187="","",INDEX(Register!$I$9:$I$2008,MATCH(A187,Register!$A$9:$A$2008,0))&amp;"")</f>
        <v/>
      </c>
      <c r="J187" s="8"/>
    </row>
    <row r="188" customFormat="false" ht="15" hidden="false" customHeight="false" outlineLevel="0" collapsed="false">
      <c r="A188" s="10" t="str">
        <f aca="false">IFERROR(INDEX(Register!$A$9:$A$2008,MATCH(180,Register!$M$9:$M$2008,0)),"")</f>
        <v/>
      </c>
      <c r="B188" s="22" t="str">
        <f aca="false">IF(A188="","",INDEX(Register!$B$9:$B$2008,MATCH(A188,Register!$A$9:$A$2008,0)))</f>
        <v/>
      </c>
      <c r="C188" s="23" t="str">
        <f aca="false">IF(A188="","",SUMIFS(Register!$E$9:$E$2008,Register!$A$9:$A$2008,A188))</f>
        <v/>
      </c>
      <c r="D188" s="23" t="str">
        <f aca="false">IF(A188="","",SUMIFS(Register!$F$9:$F$2008,Register!$A$9:$A$2008,A188))</f>
        <v/>
      </c>
      <c r="E188" s="10" t="str">
        <f aca="false">IF(A188="","",IF(ABS(C188-D188)&lt;0.5,"Yes","No"))</f>
        <v/>
      </c>
      <c r="F188" s="21" t="str">
        <f aca="false">IF(A188="","",COUNTIF(Register!$A$9:$A$2008,A188))</f>
        <v/>
      </c>
      <c r="G188" s="21" t="str">
        <f aca="false">IF(A188="","",COUNTIFS(Register!$A$9:$A$2008,A188,Register!$L$9:$L$2008,"?*"))</f>
        <v/>
      </c>
      <c r="H188" s="10" t="str">
        <f aca="false">IF(A188="","",INDEX(Register!$H$9:$H$2008,MATCH(A188,Register!$A$9:$A$2008,0)))</f>
        <v/>
      </c>
      <c r="I188" s="10" t="str">
        <f aca="false">IF(A188="","",INDEX(Register!$I$9:$I$2008,MATCH(A188,Register!$A$9:$A$2008,0))&amp;"")</f>
        <v/>
      </c>
      <c r="J188" s="8"/>
    </row>
    <row r="189" customFormat="false" ht="15" hidden="false" customHeight="false" outlineLevel="0" collapsed="false">
      <c r="A189" s="10" t="str">
        <f aca="false">IFERROR(INDEX(Register!$A$9:$A$2008,MATCH(181,Register!$M$9:$M$2008,0)),"")</f>
        <v/>
      </c>
      <c r="B189" s="22" t="str">
        <f aca="false">IF(A189="","",INDEX(Register!$B$9:$B$2008,MATCH(A189,Register!$A$9:$A$2008,0)))</f>
        <v/>
      </c>
      <c r="C189" s="23" t="str">
        <f aca="false">IF(A189="","",SUMIFS(Register!$E$9:$E$2008,Register!$A$9:$A$2008,A189))</f>
        <v/>
      </c>
      <c r="D189" s="23" t="str">
        <f aca="false">IF(A189="","",SUMIFS(Register!$F$9:$F$2008,Register!$A$9:$A$2008,A189))</f>
        <v/>
      </c>
      <c r="E189" s="10" t="str">
        <f aca="false">IF(A189="","",IF(ABS(C189-D189)&lt;0.5,"Yes","No"))</f>
        <v/>
      </c>
      <c r="F189" s="21" t="str">
        <f aca="false">IF(A189="","",COUNTIF(Register!$A$9:$A$2008,A189))</f>
        <v/>
      </c>
      <c r="G189" s="21" t="str">
        <f aca="false">IF(A189="","",COUNTIFS(Register!$A$9:$A$2008,A189,Register!$L$9:$L$2008,"?*"))</f>
        <v/>
      </c>
      <c r="H189" s="10" t="str">
        <f aca="false">IF(A189="","",INDEX(Register!$H$9:$H$2008,MATCH(A189,Register!$A$9:$A$2008,0)))</f>
        <v/>
      </c>
      <c r="I189" s="10" t="str">
        <f aca="false">IF(A189="","",INDEX(Register!$I$9:$I$2008,MATCH(A189,Register!$A$9:$A$2008,0))&amp;"")</f>
        <v/>
      </c>
      <c r="J189" s="8"/>
    </row>
    <row r="190" customFormat="false" ht="15" hidden="false" customHeight="false" outlineLevel="0" collapsed="false">
      <c r="A190" s="10" t="str">
        <f aca="false">IFERROR(INDEX(Register!$A$9:$A$2008,MATCH(182,Register!$M$9:$M$2008,0)),"")</f>
        <v/>
      </c>
      <c r="B190" s="22" t="str">
        <f aca="false">IF(A190="","",INDEX(Register!$B$9:$B$2008,MATCH(A190,Register!$A$9:$A$2008,0)))</f>
        <v/>
      </c>
      <c r="C190" s="23" t="str">
        <f aca="false">IF(A190="","",SUMIFS(Register!$E$9:$E$2008,Register!$A$9:$A$2008,A190))</f>
        <v/>
      </c>
      <c r="D190" s="23" t="str">
        <f aca="false">IF(A190="","",SUMIFS(Register!$F$9:$F$2008,Register!$A$9:$A$2008,A190))</f>
        <v/>
      </c>
      <c r="E190" s="10" t="str">
        <f aca="false">IF(A190="","",IF(ABS(C190-D190)&lt;0.5,"Yes","No"))</f>
        <v/>
      </c>
      <c r="F190" s="21" t="str">
        <f aca="false">IF(A190="","",COUNTIF(Register!$A$9:$A$2008,A190))</f>
        <v/>
      </c>
      <c r="G190" s="21" t="str">
        <f aca="false">IF(A190="","",COUNTIFS(Register!$A$9:$A$2008,A190,Register!$L$9:$L$2008,"?*"))</f>
        <v/>
      </c>
      <c r="H190" s="10" t="str">
        <f aca="false">IF(A190="","",INDEX(Register!$H$9:$H$2008,MATCH(A190,Register!$A$9:$A$2008,0)))</f>
        <v/>
      </c>
      <c r="I190" s="10" t="str">
        <f aca="false">IF(A190="","",INDEX(Register!$I$9:$I$2008,MATCH(A190,Register!$A$9:$A$2008,0))&amp;"")</f>
        <v/>
      </c>
      <c r="J190" s="8"/>
    </row>
    <row r="191" customFormat="false" ht="15" hidden="false" customHeight="false" outlineLevel="0" collapsed="false">
      <c r="A191" s="10" t="str">
        <f aca="false">IFERROR(INDEX(Register!$A$9:$A$2008,MATCH(183,Register!$M$9:$M$2008,0)),"")</f>
        <v/>
      </c>
      <c r="B191" s="22" t="str">
        <f aca="false">IF(A191="","",INDEX(Register!$B$9:$B$2008,MATCH(A191,Register!$A$9:$A$2008,0)))</f>
        <v/>
      </c>
      <c r="C191" s="23" t="str">
        <f aca="false">IF(A191="","",SUMIFS(Register!$E$9:$E$2008,Register!$A$9:$A$2008,A191))</f>
        <v/>
      </c>
      <c r="D191" s="23" t="str">
        <f aca="false">IF(A191="","",SUMIFS(Register!$F$9:$F$2008,Register!$A$9:$A$2008,A191))</f>
        <v/>
      </c>
      <c r="E191" s="10" t="str">
        <f aca="false">IF(A191="","",IF(ABS(C191-D191)&lt;0.5,"Yes","No"))</f>
        <v/>
      </c>
      <c r="F191" s="21" t="str">
        <f aca="false">IF(A191="","",COUNTIF(Register!$A$9:$A$2008,A191))</f>
        <v/>
      </c>
      <c r="G191" s="21" t="str">
        <f aca="false">IF(A191="","",COUNTIFS(Register!$A$9:$A$2008,A191,Register!$L$9:$L$2008,"?*"))</f>
        <v/>
      </c>
      <c r="H191" s="10" t="str">
        <f aca="false">IF(A191="","",INDEX(Register!$H$9:$H$2008,MATCH(A191,Register!$A$9:$A$2008,0)))</f>
        <v/>
      </c>
      <c r="I191" s="10" t="str">
        <f aca="false">IF(A191="","",INDEX(Register!$I$9:$I$2008,MATCH(A191,Register!$A$9:$A$2008,0))&amp;"")</f>
        <v/>
      </c>
      <c r="J191" s="8"/>
    </row>
    <row r="192" customFormat="false" ht="15" hidden="false" customHeight="false" outlineLevel="0" collapsed="false">
      <c r="A192" s="10" t="str">
        <f aca="false">IFERROR(INDEX(Register!$A$9:$A$2008,MATCH(184,Register!$M$9:$M$2008,0)),"")</f>
        <v/>
      </c>
      <c r="B192" s="22" t="str">
        <f aca="false">IF(A192="","",INDEX(Register!$B$9:$B$2008,MATCH(A192,Register!$A$9:$A$2008,0)))</f>
        <v/>
      </c>
      <c r="C192" s="23" t="str">
        <f aca="false">IF(A192="","",SUMIFS(Register!$E$9:$E$2008,Register!$A$9:$A$2008,A192))</f>
        <v/>
      </c>
      <c r="D192" s="23" t="str">
        <f aca="false">IF(A192="","",SUMIFS(Register!$F$9:$F$2008,Register!$A$9:$A$2008,A192))</f>
        <v/>
      </c>
      <c r="E192" s="10" t="str">
        <f aca="false">IF(A192="","",IF(ABS(C192-D192)&lt;0.5,"Yes","No"))</f>
        <v/>
      </c>
      <c r="F192" s="21" t="str">
        <f aca="false">IF(A192="","",COUNTIF(Register!$A$9:$A$2008,A192))</f>
        <v/>
      </c>
      <c r="G192" s="21" t="str">
        <f aca="false">IF(A192="","",COUNTIFS(Register!$A$9:$A$2008,A192,Register!$L$9:$L$2008,"?*"))</f>
        <v/>
      </c>
      <c r="H192" s="10" t="str">
        <f aca="false">IF(A192="","",INDEX(Register!$H$9:$H$2008,MATCH(A192,Register!$A$9:$A$2008,0)))</f>
        <v/>
      </c>
      <c r="I192" s="10" t="str">
        <f aca="false">IF(A192="","",INDEX(Register!$I$9:$I$2008,MATCH(A192,Register!$A$9:$A$2008,0))&amp;"")</f>
        <v/>
      </c>
      <c r="J192" s="8"/>
    </row>
    <row r="193" customFormat="false" ht="15" hidden="false" customHeight="false" outlineLevel="0" collapsed="false">
      <c r="A193" s="10" t="str">
        <f aca="false">IFERROR(INDEX(Register!$A$9:$A$2008,MATCH(185,Register!$M$9:$M$2008,0)),"")</f>
        <v/>
      </c>
      <c r="B193" s="22" t="str">
        <f aca="false">IF(A193="","",INDEX(Register!$B$9:$B$2008,MATCH(A193,Register!$A$9:$A$2008,0)))</f>
        <v/>
      </c>
      <c r="C193" s="23" t="str">
        <f aca="false">IF(A193="","",SUMIFS(Register!$E$9:$E$2008,Register!$A$9:$A$2008,A193))</f>
        <v/>
      </c>
      <c r="D193" s="23" t="str">
        <f aca="false">IF(A193="","",SUMIFS(Register!$F$9:$F$2008,Register!$A$9:$A$2008,A193))</f>
        <v/>
      </c>
      <c r="E193" s="10" t="str">
        <f aca="false">IF(A193="","",IF(ABS(C193-D193)&lt;0.5,"Yes","No"))</f>
        <v/>
      </c>
      <c r="F193" s="21" t="str">
        <f aca="false">IF(A193="","",COUNTIF(Register!$A$9:$A$2008,A193))</f>
        <v/>
      </c>
      <c r="G193" s="21" t="str">
        <f aca="false">IF(A193="","",COUNTIFS(Register!$A$9:$A$2008,A193,Register!$L$9:$L$2008,"?*"))</f>
        <v/>
      </c>
      <c r="H193" s="10" t="str">
        <f aca="false">IF(A193="","",INDEX(Register!$H$9:$H$2008,MATCH(A193,Register!$A$9:$A$2008,0)))</f>
        <v/>
      </c>
      <c r="I193" s="10" t="str">
        <f aca="false">IF(A193="","",INDEX(Register!$I$9:$I$2008,MATCH(A193,Register!$A$9:$A$2008,0))&amp;"")</f>
        <v/>
      </c>
      <c r="J193" s="8"/>
    </row>
    <row r="194" customFormat="false" ht="15" hidden="false" customHeight="false" outlineLevel="0" collapsed="false">
      <c r="A194" s="10" t="str">
        <f aca="false">IFERROR(INDEX(Register!$A$9:$A$2008,MATCH(186,Register!$M$9:$M$2008,0)),"")</f>
        <v/>
      </c>
      <c r="B194" s="22" t="str">
        <f aca="false">IF(A194="","",INDEX(Register!$B$9:$B$2008,MATCH(A194,Register!$A$9:$A$2008,0)))</f>
        <v/>
      </c>
      <c r="C194" s="23" t="str">
        <f aca="false">IF(A194="","",SUMIFS(Register!$E$9:$E$2008,Register!$A$9:$A$2008,A194))</f>
        <v/>
      </c>
      <c r="D194" s="23" t="str">
        <f aca="false">IF(A194="","",SUMIFS(Register!$F$9:$F$2008,Register!$A$9:$A$2008,A194))</f>
        <v/>
      </c>
      <c r="E194" s="10" t="str">
        <f aca="false">IF(A194="","",IF(ABS(C194-D194)&lt;0.5,"Yes","No"))</f>
        <v/>
      </c>
      <c r="F194" s="21" t="str">
        <f aca="false">IF(A194="","",COUNTIF(Register!$A$9:$A$2008,A194))</f>
        <v/>
      </c>
      <c r="G194" s="21" t="str">
        <f aca="false">IF(A194="","",COUNTIFS(Register!$A$9:$A$2008,A194,Register!$L$9:$L$2008,"?*"))</f>
        <v/>
      </c>
      <c r="H194" s="10" t="str">
        <f aca="false">IF(A194="","",INDEX(Register!$H$9:$H$2008,MATCH(A194,Register!$A$9:$A$2008,0)))</f>
        <v/>
      </c>
      <c r="I194" s="10" t="str">
        <f aca="false">IF(A194="","",INDEX(Register!$I$9:$I$2008,MATCH(A194,Register!$A$9:$A$2008,0))&amp;"")</f>
        <v/>
      </c>
      <c r="J194" s="8"/>
    </row>
    <row r="195" customFormat="false" ht="15" hidden="false" customHeight="false" outlineLevel="0" collapsed="false">
      <c r="A195" s="10" t="str">
        <f aca="false">IFERROR(INDEX(Register!$A$9:$A$2008,MATCH(187,Register!$M$9:$M$2008,0)),"")</f>
        <v/>
      </c>
      <c r="B195" s="22" t="str">
        <f aca="false">IF(A195="","",INDEX(Register!$B$9:$B$2008,MATCH(A195,Register!$A$9:$A$2008,0)))</f>
        <v/>
      </c>
      <c r="C195" s="23" t="str">
        <f aca="false">IF(A195="","",SUMIFS(Register!$E$9:$E$2008,Register!$A$9:$A$2008,A195))</f>
        <v/>
      </c>
      <c r="D195" s="23" t="str">
        <f aca="false">IF(A195="","",SUMIFS(Register!$F$9:$F$2008,Register!$A$9:$A$2008,A195))</f>
        <v/>
      </c>
      <c r="E195" s="10" t="str">
        <f aca="false">IF(A195="","",IF(ABS(C195-D195)&lt;0.5,"Yes","No"))</f>
        <v/>
      </c>
      <c r="F195" s="21" t="str">
        <f aca="false">IF(A195="","",COUNTIF(Register!$A$9:$A$2008,A195))</f>
        <v/>
      </c>
      <c r="G195" s="21" t="str">
        <f aca="false">IF(A195="","",COUNTIFS(Register!$A$9:$A$2008,A195,Register!$L$9:$L$2008,"?*"))</f>
        <v/>
      </c>
      <c r="H195" s="10" t="str">
        <f aca="false">IF(A195="","",INDEX(Register!$H$9:$H$2008,MATCH(A195,Register!$A$9:$A$2008,0)))</f>
        <v/>
      </c>
      <c r="I195" s="10" t="str">
        <f aca="false">IF(A195="","",INDEX(Register!$I$9:$I$2008,MATCH(A195,Register!$A$9:$A$2008,0))&amp;"")</f>
        <v/>
      </c>
      <c r="J195" s="8"/>
    </row>
    <row r="196" customFormat="false" ht="15" hidden="false" customHeight="false" outlineLevel="0" collapsed="false">
      <c r="A196" s="10" t="str">
        <f aca="false">IFERROR(INDEX(Register!$A$9:$A$2008,MATCH(188,Register!$M$9:$M$2008,0)),"")</f>
        <v/>
      </c>
      <c r="B196" s="22" t="str">
        <f aca="false">IF(A196="","",INDEX(Register!$B$9:$B$2008,MATCH(A196,Register!$A$9:$A$2008,0)))</f>
        <v/>
      </c>
      <c r="C196" s="23" t="str">
        <f aca="false">IF(A196="","",SUMIFS(Register!$E$9:$E$2008,Register!$A$9:$A$2008,A196))</f>
        <v/>
      </c>
      <c r="D196" s="23" t="str">
        <f aca="false">IF(A196="","",SUMIFS(Register!$F$9:$F$2008,Register!$A$9:$A$2008,A196))</f>
        <v/>
      </c>
      <c r="E196" s="10" t="str">
        <f aca="false">IF(A196="","",IF(ABS(C196-D196)&lt;0.5,"Yes","No"))</f>
        <v/>
      </c>
      <c r="F196" s="21" t="str">
        <f aca="false">IF(A196="","",COUNTIF(Register!$A$9:$A$2008,A196))</f>
        <v/>
      </c>
      <c r="G196" s="21" t="str">
        <f aca="false">IF(A196="","",COUNTIFS(Register!$A$9:$A$2008,A196,Register!$L$9:$L$2008,"?*"))</f>
        <v/>
      </c>
      <c r="H196" s="10" t="str">
        <f aca="false">IF(A196="","",INDEX(Register!$H$9:$H$2008,MATCH(A196,Register!$A$9:$A$2008,0)))</f>
        <v/>
      </c>
      <c r="I196" s="10" t="str">
        <f aca="false">IF(A196="","",INDEX(Register!$I$9:$I$2008,MATCH(A196,Register!$A$9:$A$2008,0))&amp;"")</f>
        <v/>
      </c>
      <c r="J196" s="8"/>
    </row>
    <row r="197" customFormat="false" ht="15" hidden="false" customHeight="false" outlineLevel="0" collapsed="false">
      <c r="A197" s="10" t="str">
        <f aca="false">IFERROR(INDEX(Register!$A$9:$A$2008,MATCH(189,Register!$M$9:$M$2008,0)),"")</f>
        <v/>
      </c>
      <c r="B197" s="22" t="str">
        <f aca="false">IF(A197="","",INDEX(Register!$B$9:$B$2008,MATCH(A197,Register!$A$9:$A$2008,0)))</f>
        <v/>
      </c>
      <c r="C197" s="23" t="str">
        <f aca="false">IF(A197="","",SUMIFS(Register!$E$9:$E$2008,Register!$A$9:$A$2008,A197))</f>
        <v/>
      </c>
      <c r="D197" s="23" t="str">
        <f aca="false">IF(A197="","",SUMIFS(Register!$F$9:$F$2008,Register!$A$9:$A$2008,A197))</f>
        <v/>
      </c>
      <c r="E197" s="10" t="str">
        <f aca="false">IF(A197="","",IF(ABS(C197-D197)&lt;0.5,"Yes","No"))</f>
        <v/>
      </c>
      <c r="F197" s="21" t="str">
        <f aca="false">IF(A197="","",COUNTIF(Register!$A$9:$A$2008,A197))</f>
        <v/>
      </c>
      <c r="G197" s="21" t="str">
        <f aca="false">IF(A197="","",COUNTIFS(Register!$A$9:$A$2008,A197,Register!$L$9:$L$2008,"?*"))</f>
        <v/>
      </c>
      <c r="H197" s="10" t="str">
        <f aca="false">IF(A197="","",INDEX(Register!$H$9:$H$2008,MATCH(A197,Register!$A$9:$A$2008,0)))</f>
        <v/>
      </c>
      <c r="I197" s="10" t="str">
        <f aca="false">IF(A197="","",INDEX(Register!$I$9:$I$2008,MATCH(A197,Register!$A$9:$A$2008,0))&amp;"")</f>
        <v/>
      </c>
      <c r="J197" s="8"/>
    </row>
    <row r="198" customFormat="false" ht="15" hidden="false" customHeight="false" outlineLevel="0" collapsed="false">
      <c r="A198" s="10" t="str">
        <f aca="false">IFERROR(INDEX(Register!$A$9:$A$2008,MATCH(190,Register!$M$9:$M$2008,0)),"")</f>
        <v/>
      </c>
      <c r="B198" s="22" t="str">
        <f aca="false">IF(A198="","",INDEX(Register!$B$9:$B$2008,MATCH(A198,Register!$A$9:$A$2008,0)))</f>
        <v/>
      </c>
      <c r="C198" s="23" t="str">
        <f aca="false">IF(A198="","",SUMIFS(Register!$E$9:$E$2008,Register!$A$9:$A$2008,A198))</f>
        <v/>
      </c>
      <c r="D198" s="23" t="str">
        <f aca="false">IF(A198="","",SUMIFS(Register!$F$9:$F$2008,Register!$A$9:$A$2008,A198))</f>
        <v/>
      </c>
      <c r="E198" s="10" t="str">
        <f aca="false">IF(A198="","",IF(ABS(C198-D198)&lt;0.5,"Yes","No"))</f>
        <v/>
      </c>
      <c r="F198" s="21" t="str">
        <f aca="false">IF(A198="","",COUNTIF(Register!$A$9:$A$2008,A198))</f>
        <v/>
      </c>
      <c r="G198" s="21" t="str">
        <f aca="false">IF(A198="","",COUNTIFS(Register!$A$9:$A$2008,A198,Register!$L$9:$L$2008,"?*"))</f>
        <v/>
      </c>
      <c r="H198" s="10" t="str">
        <f aca="false">IF(A198="","",INDEX(Register!$H$9:$H$2008,MATCH(A198,Register!$A$9:$A$2008,0)))</f>
        <v/>
      </c>
      <c r="I198" s="10" t="str">
        <f aca="false">IF(A198="","",INDEX(Register!$I$9:$I$2008,MATCH(A198,Register!$A$9:$A$2008,0))&amp;"")</f>
        <v/>
      </c>
      <c r="J198" s="8"/>
    </row>
    <row r="199" customFormat="false" ht="15" hidden="false" customHeight="false" outlineLevel="0" collapsed="false">
      <c r="A199" s="10" t="str">
        <f aca="false">IFERROR(INDEX(Register!$A$9:$A$2008,MATCH(191,Register!$M$9:$M$2008,0)),"")</f>
        <v/>
      </c>
      <c r="B199" s="22" t="str">
        <f aca="false">IF(A199="","",INDEX(Register!$B$9:$B$2008,MATCH(A199,Register!$A$9:$A$2008,0)))</f>
        <v/>
      </c>
      <c r="C199" s="23" t="str">
        <f aca="false">IF(A199="","",SUMIFS(Register!$E$9:$E$2008,Register!$A$9:$A$2008,A199))</f>
        <v/>
      </c>
      <c r="D199" s="23" t="str">
        <f aca="false">IF(A199="","",SUMIFS(Register!$F$9:$F$2008,Register!$A$9:$A$2008,A199))</f>
        <v/>
      </c>
      <c r="E199" s="10" t="str">
        <f aca="false">IF(A199="","",IF(ABS(C199-D199)&lt;0.5,"Yes","No"))</f>
        <v/>
      </c>
      <c r="F199" s="21" t="str">
        <f aca="false">IF(A199="","",COUNTIF(Register!$A$9:$A$2008,A199))</f>
        <v/>
      </c>
      <c r="G199" s="21" t="str">
        <f aca="false">IF(A199="","",COUNTIFS(Register!$A$9:$A$2008,A199,Register!$L$9:$L$2008,"?*"))</f>
        <v/>
      </c>
      <c r="H199" s="10" t="str">
        <f aca="false">IF(A199="","",INDEX(Register!$H$9:$H$2008,MATCH(A199,Register!$A$9:$A$2008,0)))</f>
        <v/>
      </c>
      <c r="I199" s="10" t="str">
        <f aca="false">IF(A199="","",INDEX(Register!$I$9:$I$2008,MATCH(A199,Register!$A$9:$A$2008,0))&amp;"")</f>
        <v/>
      </c>
      <c r="J199" s="8"/>
    </row>
    <row r="200" customFormat="false" ht="15" hidden="false" customHeight="false" outlineLevel="0" collapsed="false">
      <c r="A200" s="10" t="str">
        <f aca="false">IFERROR(INDEX(Register!$A$9:$A$2008,MATCH(192,Register!$M$9:$M$2008,0)),"")</f>
        <v/>
      </c>
      <c r="B200" s="22" t="str">
        <f aca="false">IF(A200="","",INDEX(Register!$B$9:$B$2008,MATCH(A200,Register!$A$9:$A$2008,0)))</f>
        <v/>
      </c>
      <c r="C200" s="23" t="str">
        <f aca="false">IF(A200="","",SUMIFS(Register!$E$9:$E$2008,Register!$A$9:$A$2008,A200))</f>
        <v/>
      </c>
      <c r="D200" s="23" t="str">
        <f aca="false">IF(A200="","",SUMIFS(Register!$F$9:$F$2008,Register!$A$9:$A$2008,A200))</f>
        <v/>
      </c>
      <c r="E200" s="10" t="str">
        <f aca="false">IF(A200="","",IF(ABS(C200-D200)&lt;0.5,"Yes","No"))</f>
        <v/>
      </c>
      <c r="F200" s="21" t="str">
        <f aca="false">IF(A200="","",COUNTIF(Register!$A$9:$A$2008,A200))</f>
        <v/>
      </c>
      <c r="G200" s="21" t="str">
        <f aca="false">IF(A200="","",COUNTIFS(Register!$A$9:$A$2008,A200,Register!$L$9:$L$2008,"?*"))</f>
        <v/>
      </c>
      <c r="H200" s="10" t="str">
        <f aca="false">IF(A200="","",INDEX(Register!$H$9:$H$2008,MATCH(A200,Register!$A$9:$A$2008,0)))</f>
        <v/>
      </c>
      <c r="I200" s="10" t="str">
        <f aca="false">IF(A200="","",INDEX(Register!$I$9:$I$2008,MATCH(A200,Register!$A$9:$A$2008,0))&amp;"")</f>
        <v/>
      </c>
      <c r="J200" s="8"/>
    </row>
    <row r="201" customFormat="false" ht="15" hidden="false" customHeight="false" outlineLevel="0" collapsed="false">
      <c r="A201" s="10" t="str">
        <f aca="false">IFERROR(INDEX(Register!$A$9:$A$2008,MATCH(193,Register!$M$9:$M$2008,0)),"")</f>
        <v/>
      </c>
      <c r="B201" s="22" t="str">
        <f aca="false">IF(A201="","",INDEX(Register!$B$9:$B$2008,MATCH(A201,Register!$A$9:$A$2008,0)))</f>
        <v/>
      </c>
      <c r="C201" s="23" t="str">
        <f aca="false">IF(A201="","",SUMIFS(Register!$E$9:$E$2008,Register!$A$9:$A$2008,A201))</f>
        <v/>
      </c>
      <c r="D201" s="23" t="str">
        <f aca="false">IF(A201="","",SUMIFS(Register!$F$9:$F$2008,Register!$A$9:$A$2008,A201))</f>
        <v/>
      </c>
      <c r="E201" s="10" t="str">
        <f aca="false">IF(A201="","",IF(ABS(C201-D201)&lt;0.5,"Yes","No"))</f>
        <v/>
      </c>
      <c r="F201" s="21" t="str">
        <f aca="false">IF(A201="","",COUNTIF(Register!$A$9:$A$2008,A201))</f>
        <v/>
      </c>
      <c r="G201" s="21" t="str">
        <f aca="false">IF(A201="","",COUNTIFS(Register!$A$9:$A$2008,A201,Register!$L$9:$L$2008,"?*"))</f>
        <v/>
      </c>
      <c r="H201" s="10" t="str">
        <f aca="false">IF(A201="","",INDEX(Register!$H$9:$H$2008,MATCH(A201,Register!$A$9:$A$2008,0)))</f>
        <v/>
      </c>
      <c r="I201" s="10" t="str">
        <f aca="false">IF(A201="","",INDEX(Register!$I$9:$I$2008,MATCH(A201,Register!$A$9:$A$2008,0))&amp;"")</f>
        <v/>
      </c>
      <c r="J201" s="8"/>
    </row>
    <row r="202" customFormat="false" ht="15" hidden="false" customHeight="false" outlineLevel="0" collapsed="false">
      <c r="A202" s="10" t="str">
        <f aca="false">IFERROR(INDEX(Register!$A$9:$A$2008,MATCH(194,Register!$M$9:$M$2008,0)),"")</f>
        <v/>
      </c>
      <c r="B202" s="22" t="str">
        <f aca="false">IF(A202="","",INDEX(Register!$B$9:$B$2008,MATCH(A202,Register!$A$9:$A$2008,0)))</f>
        <v/>
      </c>
      <c r="C202" s="23" t="str">
        <f aca="false">IF(A202="","",SUMIFS(Register!$E$9:$E$2008,Register!$A$9:$A$2008,A202))</f>
        <v/>
      </c>
      <c r="D202" s="23" t="str">
        <f aca="false">IF(A202="","",SUMIFS(Register!$F$9:$F$2008,Register!$A$9:$A$2008,A202))</f>
        <v/>
      </c>
      <c r="E202" s="10" t="str">
        <f aca="false">IF(A202="","",IF(ABS(C202-D202)&lt;0.5,"Yes","No"))</f>
        <v/>
      </c>
      <c r="F202" s="21" t="str">
        <f aca="false">IF(A202="","",COUNTIF(Register!$A$9:$A$2008,A202))</f>
        <v/>
      </c>
      <c r="G202" s="21" t="str">
        <f aca="false">IF(A202="","",COUNTIFS(Register!$A$9:$A$2008,A202,Register!$L$9:$L$2008,"?*"))</f>
        <v/>
      </c>
      <c r="H202" s="10" t="str">
        <f aca="false">IF(A202="","",INDEX(Register!$H$9:$H$2008,MATCH(A202,Register!$A$9:$A$2008,0)))</f>
        <v/>
      </c>
      <c r="I202" s="10" t="str">
        <f aca="false">IF(A202="","",INDEX(Register!$I$9:$I$2008,MATCH(A202,Register!$A$9:$A$2008,0))&amp;"")</f>
        <v/>
      </c>
      <c r="J202" s="8"/>
    </row>
    <row r="203" customFormat="false" ht="15" hidden="false" customHeight="false" outlineLevel="0" collapsed="false">
      <c r="A203" s="10" t="str">
        <f aca="false">IFERROR(INDEX(Register!$A$9:$A$2008,MATCH(195,Register!$M$9:$M$2008,0)),"")</f>
        <v/>
      </c>
      <c r="B203" s="22" t="str">
        <f aca="false">IF(A203="","",INDEX(Register!$B$9:$B$2008,MATCH(A203,Register!$A$9:$A$2008,0)))</f>
        <v/>
      </c>
      <c r="C203" s="23" t="str">
        <f aca="false">IF(A203="","",SUMIFS(Register!$E$9:$E$2008,Register!$A$9:$A$2008,A203))</f>
        <v/>
      </c>
      <c r="D203" s="23" t="str">
        <f aca="false">IF(A203="","",SUMIFS(Register!$F$9:$F$2008,Register!$A$9:$A$2008,A203))</f>
        <v/>
      </c>
      <c r="E203" s="10" t="str">
        <f aca="false">IF(A203="","",IF(ABS(C203-D203)&lt;0.5,"Yes","No"))</f>
        <v/>
      </c>
      <c r="F203" s="21" t="str">
        <f aca="false">IF(A203="","",COUNTIF(Register!$A$9:$A$2008,A203))</f>
        <v/>
      </c>
      <c r="G203" s="21" t="str">
        <f aca="false">IF(A203="","",COUNTIFS(Register!$A$9:$A$2008,A203,Register!$L$9:$L$2008,"?*"))</f>
        <v/>
      </c>
      <c r="H203" s="10" t="str">
        <f aca="false">IF(A203="","",INDEX(Register!$H$9:$H$2008,MATCH(A203,Register!$A$9:$A$2008,0)))</f>
        <v/>
      </c>
      <c r="I203" s="10" t="str">
        <f aca="false">IF(A203="","",INDEX(Register!$I$9:$I$2008,MATCH(A203,Register!$A$9:$A$2008,0))&amp;"")</f>
        <v/>
      </c>
      <c r="J203" s="8"/>
    </row>
    <row r="204" customFormat="false" ht="15" hidden="false" customHeight="false" outlineLevel="0" collapsed="false">
      <c r="A204" s="10" t="str">
        <f aca="false">IFERROR(INDEX(Register!$A$9:$A$2008,MATCH(196,Register!$M$9:$M$2008,0)),"")</f>
        <v/>
      </c>
      <c r="B204" s="22" t="str">
        <f aca="false">IF(A204="","",INDEX(Register!$B$9:$B$2008,MATCH(A204,Register!$A$9:$A$2008,0)))</f>
        <v/>
      </c>
      <c r="C204" s="23" t="str">
        <f aca="false">IF(A204="","",SUMIFS(Register!$E$9:$E$2008,Register!$A$9:$A$2008,A204))</f>
        <v/>
      </c>
      <c r="D204" s="23" t="str">
        <f aca="false">IF(A204="","",SUMIFS(Register!$F$9:$F$2008,Register!$A$9:$A$2008,A204))</f>
        <v/>
      </c>
      <c r="E204" s="10" t="str">
        <f aca="false">IF(A204="","",IF(ABS(C204-D204)&lt;0.5,"Yes","No"))</f>
        <v/>
      </c>
      <c r="F204" s="21" t="str">
        <f aca="false">IF(A204="","",COUNTIF(Register!$A$9:$A$2008,A204))</f>
        <v/>
      </c>
      <c r="G204" s="21" t="str">
        <f aca="false">IF(A204="","",COUNTIFS(Register!$A$9:$A$2008,A204,Register!$L$9:$L$2008,"?*"))</f>
        <v/>
      </c>
      <c r="H204" s="10" t="str">
        <f aca="false">IF(A204="","",INDEX(Register!$H$9:$H$2008,MATCH(A204,Register!$A$9:$A$2008,0)))</f>
        <v/>
      </c>
      <c r="I204" s="10" t="str">
        <f aca="false">IF(A204="","",INDEX(Register!$I$9:$I$2008,MATCH(A204,Register!$A$9:$A$2008,0))&amp;"")</f>
        <v/>
      </c>
      <c r="J204" s="8"/>
    </row>
    <row r="205" customFormat="false" ht="15" hidden="false" customHeight="false" outlineLevel="0" collapsed="false">
      <c r="A205" s="10" t="str">
        <f aca="false">IFERROR(INDEX(Register!$A$9:$A$2008,MATCH(197,Register!$M$9:$M$2008,0)),"")</f>
        <v/>
      </c>
      <c r="B205" s="22" t="str">
        <f aca="false">IF(A205="","",INDEX(Register!$B$9:$B$2008,MATCH(A205,Register!$A$9:$A$2008,0)))</f>
        <v/>
      </c>
      <c r="C205" s="23" t="str">
        <f aca="false">IF(A205="","",SUMIFS(Register!$E$9:$E$2008,Register!$A$9:$A$2008,A205))</f>
        <v/>
      </c>
      <c r="D205" s="23" t="str">
        <f aca="false">IF(A205="","",SUMIFS(Register!$F$9:$F$2008,Register!$A$9:$A$2008,A205))</f>
        <v/>
      </c>
      <c r="E205" s="10" t="str">
        <f aca="false">IF(A205="","",IF(ABS(C205-D205)&lt;0.5,"Yes","No"))</f>
        <v/>
      </c>
      <c r="F205" s="21" t="str">
        <f aca="false">IF(A205="","",COUNTIF(Register!$A$9:$A$2008,A205))</f>
        <v/>
      </c>
      <c r="G205" s="21" t="str">
        <f aca="false">IF(A205="","",COUNTIFS(Register!$A$9:$A$2008,A205,Register!$L$9:$L$2008,"?*"))</f>
        <v/>
      </c>
      <c r="H205" s="10" t="str">
        <f aca="false">IF(A205="","",INDEX(Register!$H$9:$H$2008,MATCH(A205,Register!$A$9:$A$2008,0)))</f>
        <v/>
      </c>
      <c r="I205" s="10" t="str">
        <f aca="false">IF(A205="","",INDEX(Register!$I$9:$I$2008,MATCH(A205,Register!$A$9:$A$2008,0))&amp;"")</f>
        <v/>
      </c>
      <c r="J205" s="8"/>
    </row>
    <row r="206" customFormat="false" ht="15" hidden="false" customHeight="false" outlineLevel="0" collapsed="false">
      <c r="A206" s="10" t="str">
        <f aca="false">IFERROR(INDEX(Register!$A$9:$A$2008,MATCH(198,Register!$M$9:$M$2008,0)),"")</f>
        <v/>
      </c>
      <c r="B206" s="22" t="str">
        <f aca="false">IF(A206="","",INDEX(Register!$B$9:$B$2008,MATCH(A206,Register!$A$9:$A$2008,0)))</f>
        <v/>
      </c>
      <c r="C206" s="23" t="str">
        <f aca="false">IF(A206="","",SUMIFS(Register!$E$9:$E$2008,Register!$A$9:$A$2008,A206))</f>
        <v/>
      </c>
      <c r="D206" s="23" t="str">
        <f aca="false">IF(A206="","",SUMIFS(Register!$F$9:$F$2008,Register!$A$9:$A$2008,A206))</f>
        <v/>
      </c>
      <c r="E206" s="10" t="str">
        <f aca="false">IF(A206="","",IF(ABS(C206-D206)&lt;0.5,"Yes","No"))</f>
        <v/>
      </c>
      <c r="F206" s="21" t="str">
        <f aca="false">IF(A206="","",COUNTIF(Register!$A$9:$A$2008,A206))</f>
        <v/>
      </c>
      <c r="G206" s="21" t="str">
        <f aca="false">IF(A206="","",COUNTIFS(Register!$A$9:$A$2008,A206,Register!$L$9:$L$2008,"?*"))</f>
        <v/>
      </c>
      <c r="H206" s="10" t="str">
        <f aca="false">IF(A206="","",INDEX(Register!$H$9:$H$2008,MATCH(A206,Register!$A$9:$A$2008,0)))</f>
        <v/>
      </c>
      <c r="I206" s="10" t="str">
        <f aca="false">IF(A206="","",INDEX(Register!$I$9:$I$2008,MATCH(A206,Register!$A$9:$A$2008,0))&amp;"")</f>
        <v/>
      </c>
      <c r="J206" s="8"/>
    </row>
    <row r="207" customFormat="false" ht="15" hidden="false" customHeight="false" outlineLevel="0" collapsed="false">
      <c r="A207" s="10" t="str">
        <f aca="false">IFERROR(INDEX(Register!$A$9:$A$2008,MATCH(199,Register!$M$9:$M$2008,0)),"")</f>
        <v/>
      </c>
      <c r="B207" s="22" t="str">
        <f aca="false">IF(A207="","",INDEX(Register!$B$9:$B$2008,MATCH(A207,Register!$A$9:$A$2008,0)))</f>
        <v/>
      </c>
      <c r="C207" s="23" t="str">
        <f aca="false">IF(A207="","",SUMIFS(Register!$E$9:$E$2008,Register!$A$9:$A$2008,A207))</f>
        <v/>
      </c>
      <c r="D207" s="23" t="str">
        <f aca="false">IF(A207="","",SUMIFS(Register!$F$9:$F$2008,Register!$A$9:$A$2008,A207))</f>
        <v/>
      </c>
      <c r="E207" s="10" t="str">
        <f aca="false">IF(A207="","",IF(ABS(C207-D207)&lt;0.5,"Yes","No"))</f>
        <v/>
      </c>
      <c r="F207" s="21" t="str">
        <f aca="false">IF(A207="","",COUNTIF(Register!$A$9:$A$2008,A207))</f>
        <v/>
      </c>
      <c r="G207" s="21" t="str">
        <f aca="false">IF(A207="","",COUNTIFS(Register!$A$9:$A$2008,A207,Register!$L$9:$L$2008,"?*"))</f>
        <v/>
      </c>
      <c r="H207" s="10" t="str">
        <f aca="false">IF(A207="","",INDEX(Register!$H$9:$H$2008,MATCH(A207,Register!$A$9:$A$2008,0)))</f>
        <v/>
      </c>
      <c r="I207" s="10" t="str">
        <f aca="false">IF(A207="","",INDEX(Register!$I$9:$I$2008,MATCH(A207,Register!$A$9:$A$2008,0))&amp;"")</f>
        <v/>
      </c>
      <c r="J207" s="8"/>
    </row>
    <row r="208" customFormat="false" ht="15" hidden="false" customHeight="false" outlineLevel="0" collapsed="false">
      <c r="A208" s="10" t="str">
        <f aca="false">IFERROR(INDEX(Register!$A$9:$A$2008,MATCH(200,Register!$M$9:$M$2008,0)),"")</f>
        <v/>
      </c>
      <c r="B208" s="22" t="str">
        <f aca="false">IF(A208="","",INDEX(Register!$B$9:$B$2008,MATCH(A208,Register!$A$9:$A$2008,0)))</f>
        <v/>
      </c>
      <c r="C208" s="23" t="str">
        <f aca="false">IF(A208="","",SUMIFS(Register!$E$9:$E$2008,Register!$A$9:$A$2008,A208))</f>
        <v/>
      </c>
      <c r="D208" s="23" t="str">
        <f aca="false">IF(A208="","",SUMIFS(Register!$F$9:$F$2008,Register!$A$9:$A$2008,A208))</f>
        <v/>
      </c>
      <c r="E208" s="10" t="str">
        <f aca="false">IF(A208="","",IF(ABS(C208-D208)&lt;0.5,"Yes","No"))</f>
        <v/>
      </c>
      <c r="F208" s="21" t="str">
        <f aca="false">IF(A208="","",COUNTIF(Register!$A$9:$A$2008,A208))</f>
        <v/>
      </c>
      <c r="G208" s="21" t="str">
        <f aca="false">IF(A208="","",COUNTIFS(Register!$A$9:$A$2008,A208,Register!$L$9:$L$2008,"?*"))</f>
        <v/>
      </c>
      <c r="H208" s="10" t="str">
        <f aca="false">IF(A208="","",INDEX(Register!$H$9:$H$2008,MATCH(A208,Register!$A$9:$A$2008,0)))</f>
        <v/>
      </c>
      <c r="I208" s="10" t="str">
        <f aca="false">IF(A208="","",INDEX(Register!$I$9:$I$2008,MATCH(A208,Register!$A$9:$A$2008,0))&amp;"")</f>
        <v/>
      </c>
      <c r="J208" s="8"/>
    </row>
    <row r="209" customFormat="false" ht="15" hidden="false" customHeight="false" outlineLevel="0" collapsed="false">
      <c r="A209" s="10" t="str">
        <f aca="false">IFERROR(INDEX(Register!$A$9:$A$2008,MATCH(201,Register!$M$9:$M$2008,0)),"")</f>
        <v/>
      </c>
      <c r="B209" s="22" t="str">
        <f aca="false">IF(A209="","",INDEX(Register!$B$9:$B$2008,MATCH(A209,Register!$A$9:$A$2008,0)))</f>
        <v/>
      </c>
      <c r="C209" s="23" t="str">
        <f aca="false">IF(A209="","",SUMIFS(Register!$E$9:$E$2008,Register!$A$9:$A$2008,A209))</f>
        <v/>
      </c>
      <c r="D209" s="23" t="str">
        <f aca="false">IF(A209="","",SUMIFS(Register!$F$9:$F$2008,Register!$A$9:$A$2008,A209))</f>
        <v/>
      </c>
      <c r="E209" s="10" t="str">
        <f aca="false">IF(A209="","",IF(ABS(C209-D209)&lt;0.5,"Yes","No"))</f>
        <v/>
      </c>
      <c r="F209" s="21" t="str">
        <f aca="false">IF(A209="","",COUNTIF(Register!$A$9:$A$2008,A209))</f>
        <v/>
      </c>
      <c r="G209" s="21" t="str">
        <f aca="false">IF(A209="","",COUNTIFS(Register!$A$9:$A$2008,A209,Register!$L$9:$L$2008,"?*"))</f>
        <v/>
      </c>
      <c r="H209" s="10" t="str">
        <f aca="false">IF(A209="","",INDEX(Register!$H$9:$H$2008,MATCH(A209,Register!$A$9:$A$2008,0)))</f>
        <v/>
      </c>
      <c r="I209" s="10" t="str">
        <f aca="false">IF(A209="","",INDEX(Register!$I$9:$I$2008,MATCH(A209,Register!$A$9:$A$2008,0))&amp;"")</f>
        <v/>
      </c>
      <c r="J209" s="8"/>
    </row>
    <row r="210" customFormat="false" ht="15" hidden="false" customHeight="false" outlineLevel="0" collapsed="false">
      <c r="A210" s="10" t="str">
        <f aca="false">IFERROR(INDEX(Register!$A$9:$A$2008,MATCH(202,Register!$M$9:$M$2008,0)),"")</f>
        <v/>
      </c>
      <c r="B210" s="22" t="str">
        <f aca="false">IF(A210="","",INDEX(Register!$B$9:$B$2008,MATCH(A210,Register!$A$9:$A$2008,0)))</f>
        <v/>
      </c>
      <c r="C210" s="23" t="str">
        <f aca="false">IF(A210="","",SUMIFS(Register!$E$9:$E$2008,Register!$A$9:$A$2008,A210))</f>
        <v/>
      </c>
      <c r="D210" s="23" t="str">
        <f aca="false">IF(A210="","",SUMIFS(Register!$F$9:$F$2008,Register!$A$9:$A$2008,A210))</f>
        <v/>
      </c>
      <c r="E210" s="10" t="str">
        <f aca="false">IF(A210="","",IF(ABS(C210-D210)&lt;0.5,"Yes","No"))</f>
        <v/>
      </c>
      <c r="F210" s="21" t="str">
        <f aca="false">IF(A210="","",COUNTIF(Register!$A$9:$A$2008,A210))</f>
        <v/>
      </c>
      <c r="G210" s="21" t="str">
        <f aca="false">IF(A210="","",COUNTIFS(Register!$A$9:$A$2008,A210,Register!$L$9:$L$2008,"?*"))</f>
        <v/>
      </c>
      <c r="H210" s="10" t="str">
        <f aca="false">IF(A210="","",INDEX(Register!$H$9:$H$2008,MATCH(A210,Register!$A$9:$A$2008,0)))</f>
        <v/>
      </c>
      <c r="I210" s="10" t="str">
        <f aca="false">IF(A210="","",INDEX(Register!$I$9:$I$2008,MATCH(A210,Register!$A$9:$A$2008,0))&amp;"")</f>
        <v/>
      </c>
      <c r="J210" s="8"/>
    </row>
    <row r="211" customFormat="false" ht="15" hidden="false" customHeight="false" outlineLevel="0" collapsed="false">
      <c r="A211" s="10" t="str">
        <f aca="false">IFERROR(INDEX(Register!$A$9:$A$2008,MATCH(203,Register!$M$9:$M$2008,0)),"")</f>
        <v/>
      </c>
      <c r="B211" s="22" t="str">
        <f aca="false">IF(A211="","",INDEX(Register!$B$9:$B$2008,MATCH(A211,Register!$A$9:$A$2008,0)))</f>
        <v/>
      </c>
      <c r="C211" s="23" t="str">
        <f aca="false">IF(A211="","",SUMIFS(Register!$E$9:$E$2008,Register!$A$9:$A$2008,A211))</f>
        <v/>
      </c>
      <c r="D211" s="23" t="str">
        <f aca="false">IF(A211="","",SUMIFS(Register!$F$9:$F$2008,Register!$A$9:$A$2008,A211))</f>
        <v/>
      </c>
      <c r="E211" s="10" t="str">
        <f aca="false">IF(A211="","",IF(ABS(C211-D211)&lt;0.5,"Yes","No"))</f>
        <v/>
      </c>
      <c r="F211" s="21" t="str">
        <f aca="false">IF(A211="","",COUNTIF(Register!$A$9:$A$2008,A211))</f>
        <v/>
      </c>
      <c r="G211" s="21" t="str">
        <f aca="false">IF(A211="","",COUNTIFS(Register!$A$9:$A$2008,A211,Register!$L$9:$L$2008,"?*"))</f>
        <v/>
      </c>
      <c r="H211" s="10" t="str">
        <f aca="false">IF(A211="","",INDEX(Register!$H$9:$H$2008,MATCH(A211,Register!$A$9:$A$2008,0)))</f>
        <v/>
      </c>
      <c r="I211" s="10" t="str">
        <f aca="false">IF(A211="","",INDEX(Register!$I$9:$I$2008,MATCH(A211,Register!$A$9:$A$2008,0))&amp;"")</f>
        <v/>
      </c>
      <c r="J211" s="8"/>
    </row>
    <row r="212" customFormat="false" ht="15" hidden="false" customHeight="false" outlineLevel="0" collapsed="false">
      <c r="A212" s="10" t="str">
        <f aca="false">IFERROR(INDEX(Register!$A$9:$A$2008,MATCH(204,Register!$M$9:$M$2008,0)),"")</f>
        <v/>
      </c>
      <c r="B212" s="22" t="str">
        <f aca="false">IF(A212="","",INDEX(Register!$B$9:$B$2008,MATCH(A212,Register!$A$9:$A$2008,0)))</f>
        <v/>
      </c>
      <c r="C212" s="23" t="str">
        <f aca="false">IF(A212="","",SUMIFS(Register!$E$9:$E$2008,Register!$A$9:$A$2008,A212))</f>
        <v/>
      </c>
      <c r="D212" s="23" t="str">
        <f aca="false">IF(A212="","",SUMIFS(Register!$F$9:$F$2008,Register!$A$9:$A$2008,A212))</f>
        <v/>
      </c>
      <c r="E212" s="10" t="str">
        <f aca="false">IF(A212="","",IF(ABS(C212-D212)&lt;0.5,"Yes","No"))</f>
        <v/>
      </c>
      <c r="F212" s="21" t="str">
        <f aca="false">IF(A212="","",COUNTIF(Register!$A$9:$A$2008,A212))</f>
        <v/>
      </c>
      <c r="G212" s="21" t="str">
        <f aca="false">IF(A212="","",COUNTIFS(Register!$A$9:$A$2008,A212,Register!$L$9:$L$2008,"?*"))</f>
        <v/>
      </c>
      <c r="H212" s="10" t="str">
        <f aca="false">IF(A212="","",INDEX(Register!$H$9:$H$2008,MATCH(A212,Register!$A$9:$A$2008,0)))</f>
        <v/>
      </c>
      <c r="I212" s="10" t="str">
        <f aca="false">IF(A212="","",INDEX(Register!$I$9:$I$2008,MATCH(A212,Register!$A$9:$A$2008,0))&amp;"")</f>
        <v/>
      </c>
      <c r="J212" s="8"/>
    </row>
    <row r="213" customFormat="false" ht="15" hidden="false" customHeight="false" outlineLevel="0" collapsed="false">
      <c r="A213" s="10" t="str">
        <f aca="false">IFERROR(INDEX(Register!$A$9:$A$2008,MATCH(205,Register!$M$9:$M$2008,0)),"")</f>
        <v/>
      </c>
      <c r="B213" s="22" t="str">
        <f aca="false">IF(A213="","",INDEX(Register!$B$9:$B$2008,MATCH(A213,Register!$A$9:$A$2008,0)))</f>
        <v/>
      </c>
      <c r="C213" s="23" t="str">
        <f aca="false">IF(A213="","",SUMIFS(Register!$E$9:$E$2008,Register!$A$9:$A$2008,A213))</f>
        <v/>
      </c>
      <c r="D213" s="23" t="str">
        <f aca="false">IF(A213="","",SUMIFS(Register!$F$9:$F$2008,Register!$A$9:$A$2008,A213))</f>
        <v/>
      </c>
      <c r="E213" s="10" t="str">
        <f aca="false">IF(A213="","",IF(ABS(C213-D213)&lt;0.5,"Yes","No"))</f>
        <v/>
      </c>
      <c r="F213" s="21" t="str">
        <f aca="false">IF(A213="","",COUNTIF(Register!$A$9:$A$2008,A213))</f>
        <v/>
      </c>
      <c r="G213" s="21" t="str">
        <f aca="false">IF(A213="","",COUNTIFS(Register!$A$9:$A$2008,A213,Register!$L$9:$L$2008,"?*"))</f>
        <v/>
      </c>
      <c r="H213" s="10" t="str">
        <f aca="false">IF(A213="","",INDEX(Register!$H$9:$H$2008,MATCH(A213,Register!$A$9:$A$2008,0)))</f>
        <v/>
      </c>
      <c r="I213" s="10" t="str">
        <f aca="false">IF(A213="","",INDEX(Register!$I$9:$I$2008,MATCH(A213,Register!$A$9:$A$2008,0))&amp;"")</f>
        <v/>
      </c>
      <c r="J213" s="8"/>
    </row>
    <row r="214" customFormat="false" ht="15" hidden="false" customHeight="false" outlineLevel="0" collapsed="false">
      <c r="A214" s="10" t="str">
        <f aca="false">IFERROR(INDEX(Register!$A$9:$A$2008,MATCH(206,Register!$M$9:$M$2008,0)),"")</f>
        <v/>
      </c>
      <c r="B214" s="22" t="str">
        <f aca="false">IF(A214="","",INDEX(Register!$B$9:$B$2008,MATCH(A214,Register!$A$9:$A$2008,0)))</f>
        <v/>
      </c>
      <c r="C214" s="23" t="str">
        <f aca="false">IF(A214="","",SUMIFS(Register!$E$9:$E$2008,Register!$A$9:$A$2008,A214))</f>
        <v/>
      </c>
      <c r="D214" s="23" t="str">
        <f aca="false">IF(A214="","",SUMIFS(Register!$F$9:$F$2008,Register!$A$9:$A$2008,A214))</f>
        <v/>
      </c>
      <c r="E214" s="10" t="str">
        <f aca="false">IF(A214="","",IF(ABS(C214-D214)&lt;0.5,"Yes","No"))</f>
        <v/>
      </c>
      <c r="F214" s="21" t="str">
        <f aca="false">IF(A214="","",COUNTIF(Register!$A$9:$A$2008,A214))</f>
        <v/>
      </c>
      <c r="G214" s="21" t="str">
        <f aca="false">IF(A214="","",COUNTIFS(Register!$A$9:$A$2008,A214,Register!$L$9:$L$2008,"?*"))</f>
        <v/>
      </c>
      <c r="H214" s="10" t="str">
        <f aca="false">IF(A214="","",INDEX(Register!$H$9:$H$2008,MATCH(A214,Register!$A$9:$A$2008,0)))</f>
        <v/>
      </c>
      <c r="I214" s="10" t="str">
        <f aca="false">IF(A214="","",INDEX(Register!$I$9:$I$2008,MATCH(A214,Register!$A$9:$A$2008,0))&amp;"")</f>
        <v/>
      </c>
      <c r="J214" s="8"/>
    </row>
    <row r="215" customFormat="false" ht="15" hidden="false" customHeight="false" outlineLevel="0" collapsed="false">
      <c r="A215" s="10" t="str">
        <f aca="false">IFERROR(INDEX(Register!$A$9:$A$2008,MATCH(207,Register!$M$9:$M$2008,0)),"")</f>
        <v/>
      </c>
      <c r="B215" s="22" t="str">
        <f aca="false">IF(A215="","",INDEX(Register!$B$9:$B$2008,MATCH(A215,Register!$A$9:$A$2008,0)))</f>
        <v/>
      </c>
      <c r="C215" s="23" t="str">
        <f aca="false">IF(A215="","",SUMIFS(Register!$E$9:$E$2008,Register!$A$9:$A$2008,A215))</f>
        <v/>
      </c>
      <c r="D215" s="23" t="str">
        <f aca="false">IF(A215="","",SUMIFS(Register!$F$9:$F$2008,Register!$A$9:$A$2008,A215))</f>
        <v/>
      </c>
      <c r="E215" s="10" t="str">
        <f aca="false">IF(A215="","",IF(ABS(C215-D215)&lt;0.5,"Yes","No"))</f>
        <v/>
      </c>
      <c r="F215" s="21" t="str">
        <f aca="false">IF(A215="","",COUNTIF(Register!$A$9:$A$2008,A215))</f>
        <v/>
      </c>
      <c r="G215" s="21" t="str">
        <f aca="false">IF(A215="","",COUNTIFS(Register!$A$9:$A$2008,A215,Register!$L$9:$L$2008,"?*"))</f>
        <v/>
      </c>
      <c r="H215" s="10" t="str">
        <f aca="false">IF(A215="","",INDEX(Register!$H$9:$H$2008,MATCH(A215,Register!$A$9:$A$2008,0)))</f>
        <v/>
      </c>
      <c r="I215" s="10" t="str">
        <f aca="false">IF(A215="","",INDEX(Register!$I$9:$I$2008,MATCH(A215,Register!$A$9:$A$2008,0))&amp;"")</f>
        <v/>
      </c>
      <c r="J215" s="8"/>
    </row>
    <row r="216" customFormat="false" ht="15" hidden="false" customHeight="false" outlineLevel="0" collapsed="false">
      <c r="A216" s="10" t="str">
        <f aca="false">IFERROR(INDEX(Register!$A$9:$A$2008,MATCH(208,Register!$M$9:$M$2008,0)),"")</f>
        <v/>
      </c>
      <c r="B216" s="22" t="str">
        <f aca="false">IF(A216="","",INDEX(Register!$B$9:$B$2008,MATCH(A216,Register!$A$9:$A$2008,0)))</f>
        <v/>
      </c>
      <c r="C216" s="23" t="str">
        <f aca="false">IF(A216="","",SUMIFS(Register!$E$9:$E$2008,Register!$A$9:$A$2008,A216))</f>
        <v/>
      </c>
      <c r="D216" s="23" t="str">
        <f aca="false">IF(A216="","",SUMIFS(Register!$F$9:$F$2008,Register!$A$9:$A$2008,A216))</f>
        <v/>
      </c>
      <c r="E216" s="10" t="str">
        <f aca="false">IF(A216="","",IF(ABS(C216-D216)&lt;0.5,"Yes","No"))</f>
        <v/>
      </c>
      <c r="F216" s="21" t="str">
        <f aca="false">IF(A216="","",COUNTIF(Register!$A$9:$A$2008,A216))</f>
        <v/>
      </c>
      <c r="G216" s="21" t="str">
        <f aca="false">IF(A216="","",COUNTIFS(Register!$A$9:$A$2008,A216,Register!$L$9:$L$2008,"?*"))</f>
        <v/>
      </c>
      <c r="H216" s="10" t="str">
        <f aca="false">IF(A216="","",INDEX(Register!$H$9:$H$2008,MATCH(A216,Register!$A$9:$A$2008,0)))</f>
        <v/>
      </c>
      <c r="I216" s="10" t="str">
        <f aca="false">IF(A216="","",INDEX(Register!$I$9:$I$2008,MATCH(A216,Register!$A$9:$A$2008,0))&amp;"")</f>
        <v/>
      </c>
      <c r="J216" s="8"/>
    </row>
    <row r="217" customFormat="false" ht="15" hidden="false" customHeight="false" outlineLevel="0" collapsed="false">
      <c r="A217" s="10" t="str">
        <f aca="false">IFERROR(INDEX(Register!$A$9:$A$2008,MATCH(209,Register!$M$9:$M$2008,0)),"")</f>
        <v/>
      </c>
      <c r="B217" s="22" t="str">
        <f aca="false">IF(A217="","",INDEX(Register!$B$9:$B$2008,MATCH(A217,Register!$A$9:$A$2008,0)))</f>
        <v/>
      </c>
      <c r="C217" s="23" t="str">
        <f aca="false">IF(A217="","",SUMIFS(Register!$E$9:$E$2008,Register!$A$9:$A$2008,A217))</f>
        <v/>
      </c>
      <c r="D217" s="23" t="str">
        <f aca="false">IF(A217="","",SUMIFS(Register!$F$9:$F$2008,Register!$A$9:$A$2008,A217))</f>
        <v/>
      </c>
      <c r="E217" s="10" t="str">
        <f aca="false">IF(A217="","",IF(ABS(C217-D217)&lt;0.5,"Yes","No"))</f>
        <v/>
      </c>
      <c r="F217" s="21" t="str">
        <f aca="false">IF(A217="","",COUNTIF(Register!$A$9:$A$2008,A217))</f>
        <v/>
      </c>
      <c r="G217" s="21" t="str">
        <f aca="false">IF(A217="","",COUNTIFS(Register!$A$9:$A$2008,A217,Register!$L$9:$L$2008,"?*"))</f>
        <v/>
      </c>
      <c r="H217" s="10" t="str">
        <f aca="false">IF(A217="","",INDEX(Register!$H$9:$H$2008,MATCH(A217,Register!$A$9:$A$2008,0)))</f>
        <v/>
      </c>
      <c r="I217" s="10" t="str">
        <f aca="false">IF(A217="","",INDEX(Register!$I$9:$I$2008,MATCH(A217,Register!$A$9:$A$2008,0))&amp;"")</f>
        <v/>
      </c>
      <c r="J217" s="8"/>
    </row>
    <row r="218" customFormat="false" ht="15" hidden="false" customHeight="false" outlineLevel="0" collapsed="false">
      <c r="A218" s="10" t="str">
        <f aca="false">IFERROR(INDEX(Register!$A$9:$A$2008,MATCH(210,Register!$M$9:$M$2008,0)),"")</f>
        <v/>
      </c>
      <c r="B218" s="22" t="str">
        <f aca="false">IF(A218="","",INDEX(Register!$B$9:$B$2008,MATCH(A218,Register!$A$9:$A$2008,0)))</f>
        <v/>
      </c>
      <c r="C218" s="23" t="str">
        <f aca="false">IF(A218="","",SUMIFS(Register!$E$9:$E$2008,Register!$A$9:$A$2008,A218))</f>
        <v/>
      </c>
      <c r="D218" s="23" t="str">
        <f aca="false">IF(A218="","",SUMIFS(Register!$F$9:$F$2008,Register!$A$9:$A$2008,A218))</f>
        <v/>
      </c>
      <c r="E218" s="10" t="str">
        <f aca="false">IF(A218="","",IF(ABS(C218-D218)&lt;0.5,"Yes","No"))</f>
        <v/>
      </c>
      <c r="F218" s="21" t="str">
        <f aca="false">IF(A218="","",COUNTIF(Register!$A$9:$A$2008,A218))</f>
        <v/>
      </c>
      <c r="G218" s="21" t="str">
        <f aca="false">IF(A218="","",COUNTIFS(Register!$A$9:$A$2008,A218,Register!$L$9:$L$2008,"?*"))</f>
        <v/>
      </c>
      <c r="H218" s="10" t="str">
        <f aca="false">IF(A218="","",INDEX(Register!$H$9:$H$2008,MATCH(A218,Register!$A$9:$A$2008,0)))</f>
        <v/>
      </c>
      <c r="I218" s="10" t="str">
        <f aca="false">IF(A218="","",INDEX(Register!$I$9:$I$2008,MATCH(A218,Register!$A$9:$A$2008,0))&amp;"")</f>
        <v/>
      </c>
      <c r="J218" s="8"/>
    </row>
    <row r="219" customFormat="false" ht="15" hidden="false" customHeight="false" outlineLevel="0" collapsed="false">
      <c r="A219" s="10" t="str">
        <f aca="false">IFERROR(INDEX(Register!$A$9:$A$2008,MATCH(211,Register!$M$9:$M$2008,0)),"")</f>
        <v/>
      </c>
      <c r="B219" s="22" t="str">
        <f aca="false">IF(A219="","",INDEX(Register!$B$9:$B$2008,MATCH(A219,Register!$A$9:$A$2008,0)))</f>
        <v/>
      </c>
      <c r="C219" s="23" t="str">
        <f aca="false">IF(A219="","",SUMIFS(Register!$E$9:$E$2008,Register!$A$9:$A$2008,A219))</f>
        <v/>
      </c>
      <c r="D219" s="23" t="str">
        <f aca="false">IF(A219="","",SUMIFS(Register!$F$9:$F$2008,Register!$A$9:$A$2008,A219))</f>
        <v/>
      </c>
      <c r="E219" s="10" t="str">
        <f aca="false">IF(A219="","",IF(ABS(C219-D219)&lt;0.5,"Yes","No"))</f>
        <v/>
      </c>
      <c r="F219" s="21" t="str">
        <f aca="false">IF(A219="","",COUNTIF(Register!$A$9:$A$2008,A219))</f>
        <v/>
      </c>
      <c r="G219" s="21" t="str">
        <f aca="false">IF(A219="","",COUNTIFS(Register!$A$9:$A$2008,A219,Register!$L$9:$L$2008,"?*"))</f>
        <v/>
      </c>
      <c r="H219" s="10" t="str">
        <f aca="false">IF(A219="","",INDEX(Register!$H$9:$H$2008,MATCH(A219,Register!$A$9:$A$2008,0)))</f>
        <v/>
      </c>
      <c r="I219" s="10" t="str">
        <f aca="false">IF(A219="","",INDEX(Register!$I$9:$I$2008,MATCH(A219,Register!$A$9:$A$2008,0))&amp;"")</f>
        <v/>
      </c>
      <c r="J219" s="8"/>
    </row>
    <row r="220" customFormat="false" ht="15" hidden="false" customHeight="false" outlineLevel="0" collapsed="false">
      <c r="A220" s="10" t="str">
        <f aca="false">IFERROR(INDEX(Register!$A$9:$A$2008,MATCH(212,Register!$M$9:$M$2008,0)),"")</f>
        <v/>
      </c>
      <c r="B220" s="22" t="str">
        <f aca="false">IF(A220="","",INDEX(Register!$B$9:$B$2008,MATCH(A220,Register!$A$9:$A$2008,0)))</f>
        <v/>
      </c>
      <c r="C220" s="23" t="str">
        <f aca="false">IF(A220="","",SUMIFS(Register!$E$9:$E$2008,Register!$A$9:$A$2008,A220))</f>
        <v/>
      </c>
      <c r="D220" s="23" t="str">
        <f aca="false">IF(A220="","",SUMIFS(Register!$F$9:$F$2008,Register!$A$9:$A$2008,A220))</f>
        <v/>
      </c>
      <c r="E220" s="10" t="str">
        <f aca="false">IF(A220="","",IF(ABS(C220-D220)&lt;0.5,"Yes","No"))</f>
        <v/>
      </c>
      <c r="F220" s="21" t="str">
        <f aca="false">IF(A220="","",COUNTIF(Register!$A$9:$A$2008,A220))</f>
        <v/>
      </c>
      <c r="G220" s="21" t="str">
        <f aca="false">IF(A220="","",COUNTIFS(Register!$A$9:$A$2008,A220,Register!$L$9:$L$2008,"?*"))</f>
        <v/>
      </c>
      <c r="H220" s="10" t="str">
        <f aca="false">IF(A220="","",INDEX(Register!$H$9:$H$2008,MATCH(A220,Register!$A$9:$A$2008,0)))</f>
        <v/>
      </c>
      <c r="I220" s="10" t="str">
        <f aca="false">IF(A220="","",INDEX(Register!$I$9:$I$2008,MATCH(A220,Register!$A$9:$A$2008,0))&amp;"")</f>
        <v/>
      </c>
      <c r="J220" s="8"/>
    </row>
    <row r="221" customFormat="false" ht="15" hidden="false" customHeight="false" outlineLevel="0" collapsed="false">
      <c r="A221" s="10" t="str">
        <f aca="false">IFERROR(INDEX(Register!$A$9:$A$2008,MATCH(213,Register!$M$9:$M$2008,0)),"")</f>
        <v/>
      </c>
      <c r="B221" s="22" t="str">
        <f aca="false">IF(A221="","",INDEX(Register!$B$9:$B$2008,MATCH(A221,Register!$A$9:$A$2008,0)))</f>
        <v/>
      </c>
      <c r="C221" s="23" t="str">
        <f aca="false">IF(A221="","",SUMIFS(Register!$E$9:$E$2008,Register!$A$9:$A$2008,A221))</f>
        <v/>
      </c>
      <c r="D221" s="23" t="str">
        <f aca="false">IF(A221="","",SUMIFS(Register!$F$9:$F$2008,Register!$A$9:$A$2008,A221))</f>
        <v/>
      </c>
      <c r="E221" s="10" t="str">
        <f aca="false">IF(A221="","",IF(ABS(C221-D221)&lt;0.5,"Yes","No"))</f>
        <v/>
      </c>
      <c r="F221" s="21" t="str">
        <f aca="false">IF(A221="","",COUNTIF(Register!$A$9:$A$2008,A221))</f>
        <v/>
      </c>
      <c r="G221" s="21" t="str">
        <f aca="false">IF(A221="","",COUNTIFS(Register!$A$9:$A$2008,A221,Register!$L$9:$L$2008,"?*"))</f>
        <v/>
      </c>
      <c r="H221" s="10" t="str">
        <f aca="false">IF(A221="","",INDEX(Register!$H$9:$H$2008,MATCH(A221,Register!$A$9:$A$2008,0)))</f>
        <v/>
      </c>
      <c r="I221" s="10" t="str">
        <f aca="false">IF(A221="","",INDEX(Register!$I$9:$I$2008,MATCH(A221,Register!$A$9:$A$2008,0))&amp;"")</f>
        <v/>
      </c>
      <c r="J221" s="8"/>
    </row>
    <row r="222" customFormat="false" ht="15" hidden="false" customHeight="false" outlineLevel="0" collapsed="false">
      <c r="A222" s="10" t="str">
        <f aca="false">IFERROR(INDEX(Register!$A$9:$A$2008,MATCH(214,Register!$M$9:$M$2008,0)),"")</f>
        <v/>
      </c>
      <c r="B222" s="22" t="str">
        <f aca="false">IF(A222="","",INDEX(Register!$B$9:$B$2008,MATCH(A222,Register!$A$9:$A$2008,0)))</f>
        <v/>
      </c>
      <c r="C222" s="23" t="str">
        <f aca="false">IF(A222="","",SUMIFS(Register!$E$9:$E$2008,Register!$A$9:$A$2008,A222))</f>
        <v/>
      </c>
      <c r="D222" s="23" t="str">
        <f aca="false">IF(A222="","",SUMIFS(Register!$F$9:$F$2008,Register!$A$9:$A$2008,A222))</f>
        <v/>
      </c>
      <c r="E222" s="10" t="str">
        <f aca="false">IF(A222="","",IF(ABS(C222-D222)&lt;0.5,"Yes","No"))</f>
        <v/>
      </c>
      <c r="F222" s="21" t="str">
        <f aca="false">IF(A222="","",COUNTIF(Register!$A$9:$A$2008,A222))</f>
        <v/>
      </c>
      <c r="G222" s="21" t="str">
        <f aca="false">IF(A222="","",COUNTIFS(Register!$A$9:$A$2008,A222,Register!$L$9:$L$2008,"?*"))</f>
        <v/>
      </c>
      <c r="H222" s="10" t="str">
        <f aca="false">IF(A222="","",INDEX(Register!$H$9:$H$2008,MATCH(A222,Register!$A$9:$A$2008,0)))</f>
        <v/>
      </c>
      <c r="I222" s="10" t="str">
        <f aca="false">IF(A222="","",INDEX(Register!$I$9:$I$2008,MATCH(A222,Register!$A$9:$A$2008,0))&amp;"")</f>
        <v/>
      </c>
      <c r="J222" s="8"/>
    </row>
    <row r="223" customFormat="false" ht="15" hidden="false" customHeight="false" outlineLevel="0" collapsed="false">
      <c r="A223" s="10" t="str">
        <f aca="false">IFERROR(INDEX(Register!$A$9:$A$2008,MATCH(215,Register!$M$9:$M$2008,0)),"")</f>
        <v/>
      </c>
      <c r="B223" s="22" t="str">
        <f aca="false">IF(A223="","",INDEX(Register!$B$9:$B$2008,MATCH(A223,Register!$A$9:$A$2008,0)))</f>
        <v/>
      </c>
      <c r="C223" s="23" t="str">
        <f aca="false">IF(A223="","",SUMIFS(Register!$E$9:$E$2008,Register!$A$9:$A$2008,A223))</f>
        <v/>
      </c>
      <c r="D223" s="23" t="str">
        <f aca="false">IF(A223="","",SUMIFS(Register!$F$9:$F$2008,Register!$A$9:$A$2008,A223))</f>
        <v/>
      </c>
      <c r="E223" s="10" t="str">
        <f aca="false">IF(A223="","",IF(ABS(C223-D223)&lt;0.5,"Yes","No"))</f>
        <v/>
      </c>
      <c r="F223" s="21" t="str">
        <f aca="false">IF(A223="","",COUNTIF(Register!$A$9:$A$2008,A223))</f>
        <v/>
      </c>
      <c r="G223" s="21" t="str">
        <f aca="false">IF(A223="","",COUNTIFS(Register!$A$9:$A$2008,A223,Register!$L$9:$L$2008,"?*"))</f>
        <v/>
      </c>
      <c r="H223" s="10" t="str">
        <f aca="false">IF(A223="","",INDEX(Register!$H$9:$H$2008,MATCH(A223,Register!$A$9:$A$2008,0)))</f>
        <v/>
      </c>
      <c r="I223" s="10" t="str">
        <f aca="false">IF(A223="","",INDEX(Register!$I$9:$I$2008,MATCH(A223,Register!$A$9:$A$2008,0))&amp;"")</f>
        <v/>
      </c>
      <c r="J223" s="8"/>
    </row>
    <row r="224" customFormat="false" ht="15" hidden="false" customHeight="false" outlineLevel="0" collapsed="false">
      <c r="A224" s="10" t="str">
        <f aca="false">IFERROR(INDEX(Register!$A$9:$A$2008,MATCH(216,Register!$M$9:$M$2008,0)),"")</f>
        <v/>
      </c>
      <c r="B224" s="22" t="str">
        <f aca="false">IF(A224="","",INDEX(Register!$B$9:$B$2008,MATCH(A224,Register!$A$9:$A$2008,0)))</f>
        <v/>
      </c>
      <c r="C224" s="23" t="str">
        <f aca="false">IF(A224="","",SUMIFS(Register!$E$9:$E$2008,Register!$A$9:$A$2008,A224))</f>
        <v/>
      </c>
      <c r="D224" s="23" t="str">
        <f aca="false">IF(A224="","",SUMIFS(Register!$F$9:$F$2008,Register!$A$9:$A$2008,A224))</f>
        <v/>
      </c>
      <c r="E224" s="10" t="str">
        <f aca="false">IF(A224="","",IF(ABS(C224-D224)&lt;0.5,"Yes","No"))</f>
        <v/>
      </c>
      <c r="F224" s="21" t="str">
        <f aca="false">IF(A224="","",COUNTIF(Register!$A$9:$A$2008,A224))</f>
        <v/>
      </c>
      <c r="G224" s="21" t="str">
        <f aca="false">IF(A224="","",COUNTIFS(Register!$A$9:$A$2008,A224,Register!$L$9:$L$2008,"?*"))</f>
        <v/>
      </c>
      <c r="H224" s="10" t="str">
        <f aca="false">IF(A224="","",INDEX(Register!$H$9:$H$2008,MATCH(A224,Register!$A$9:$A$2008,0)))</f>
        <v/>
      </c>
      <c r="I224" s="10" t="str">
        <f aca="false">IF(A224="","",INDEX(Register!$I$9:$I$2008,MATCH(A224,Register!$A$9:$A$2008,0))&amp;"")</f>
        <v/>
      </c>
      <c r="J224" s="8"/>
    </row>
    <row r="225" customFormat="false" ht="15" hidden="false" customHeight="false" outlineLevel="0" collapsed="false">
      <c r="A225" s="10" t="str">
        <f aca="false">IFERROR(INDEX(Register!$A$9:$A$2008,MATCH(217,Register!$M$9:$M$2008,0)),"")</f>
        <v/>
      </c>
      <c r="B225" s="22" t="str">
        <f aca="false">IF(A225="","",INDEX(Register!$B$9:$B$2008,MATCH(A225,Register!$A$9:$A$2008,0)))</f>
        <v/>
      </c>
      <c r="C225" s="23" t="str">
        <f aca="false">IF(A225="","",SUMIFS(Register!$E$9:$E$2008,Register!$A$9:$A$2008,A225))</f>
        <v/>
      </c>
      <c r="D225" s="23" t="str">
        <f aca="false">IF(A225="","",SUMIFS(Register!$F$9:$F$2008,Register!$A$9:$A$2008,A225))</f>
        <v/>
      </c>
      <c r="E225" s="10" t="str">
        <f aca="false">IF(A225="","",IF(ABS(C225-D225)&lt;0.5,"Yes","No"))</f>
        <v/>
      </c>
      <c r="F225" s="21" t="str">
        <f aca="false">IF(A225="","",COUNTIF(Register!$A$9:$A$2008,A225))</f>
        <v/>
      </c>
      <c r="G225" s="21" t="str">
        <f aca="false">IF(A225="","",COUNTIFS(Register!$A$9:$A$2008,A225,Register!$L$9:$L$2008,"?*"))</f>
        <v/>
      </c>
      <c r="H225" s="10" t="str">
        <f aca="false">IF(A225="","",INDEX(Register!$H$9:$H$2008,MATCH(A225,Register!$A$9:$A$2008,0)))</f>
        <v/>
      </c>
      <c r="I225" s="10" t="str">
        <f aca="false">IF(A225="","",INDEX(Register!$I$9:$I$2008,MATCH(A225,Register!$A$9:$A$2008,0))&amp;"")</f>
        <v/>
      </c>
      <c r="J225" s="8"/>
    </row>
    <row r="226" customFormat="false" ht="15" hidden="false" customHeight="false" outlineLevel="0" collapsed="false">
      <c r="A226" s="10" t="str">
        <f aca="false">IFERROR(INDEX(Register!$A$9:$A$2008,MATCH(218,Register!$M$9:$M$2008,0)),"")</f>
        <v/>
      </c>
      <c r="B226" s="22" t="str">
        <f aca="false">IF(A226="","",INDEX(Register!$B$9:$B$2008,MATCH(A226,Register!$A$9:$A$2008,0)))</f>
        <v/>
      </c>
      <c r="C226" s="23" t="str">
        <f aca="false">IF(A226="","",SUMIFS(Register!$E$9:$E$2008,Register!$A$9:$A$2008,A226))</f>
        <v/>
      </c>
      <c r="D226" s="23" t="str">
        <f aca="false">IF(A226="","",SUMIFS(Register!$F$9:$F$2008,Register!$A$9:$A$2008,A226))</f>
        <v/>
      </c>
      <c r="E226" s="10" t="str">
        <f aca="false">IF(A226="","",IF(ABS(C226-D226)&lt;0.5,"Yes","No"))</f>
        <v/>
      </c>
      <c r="F226" s="21" t="str">
        <f aca="false">IF(A226="","",COUNTIF(Register!$A$9:$A$2008,A226))</f>
        <v/>
      </c>
      <c r="G226" s="21" t="str">
        <f aca="false">IF(A226="","",COUNTIFS(Register!$A$9:$A$2008,A226,Register!$L$9:$L$2008,"?*"))</f>
        <v/>
      </c>
      <c r="H226" s="10" t="str">
        <f aca="false">IF(A226="","",INDEX(Register!$H$9:$H$2008,MATCH(A226,Register!$A$9:$A$2008,0)))</f>
        <v/>
      </c>
      <c r="I226" s="10" t="str">
        <f aca="false">IF(A226="","",INDEX(Register!$I$9:$I$2008,MATCH(A226,Register!$A$9:$A$2008,0))&amp;"")</f>
        <v/>
      </c>
      <c r="J226" s="8"/>
    </row>
    <row r="227" customFormat="false" ht="15" hidden="false" customHeight="false" outlineLevel="0" collapsed="false">
      <c r="A227" s="10" t="str">
        <f aca="false">IFERROR(INDEX(Register!$A$9:$A$2008,MATCH(219,Register!$M$9:$M$2008,0)),"")</f>
        <v/>
      </c>
      <c r="B227" s="22" t="str">
        <f aca="false">IF(A227="","",INDEX(Register!$B$9:$B$2008,MATCH(A227,Register!$A$9:$A$2008,0)))</f>
        <v/>
      </c>
      <c r="C227" s="23" t="str">
        <f aca="false">IF(A227="","",SUMIFS(Register!$E$9:$E$2008,Register!$A$9:$A$2008,A227))</f>
        <v/>
      </c>
      <c r="D227" s="23" t="str">
        <f aca="false">IF(A227="","",SUMIFS(Register!$F$9:$F$2008,Register!$A$9:$A$2008,A227))</f>
        <v/>
      </c>
      <c r="E227" s="10" t="str">
        <f aca="false">IF(A227="","",IF(ABS(C227-D227)&lt;0.5,"Yes","No"))</f>
        <v/>
      </c>
      <c r="F227" s="21" t="str">
        <f aca="false">IF(A227="","",COUNTIF(Register!$A$9:$A$2008,A227))</f>
        <v/>
      </c>
      <c r="G227" s="21" t="str">
        <f aca="false">IF(A227="","",COUNTIFS(Register!$A$9:$A$2008,A227,Register!$L$9:$L$2008,"?*"))</f>
        <v/>
      </c>
      <c r="H227" s="10" t="str">
        <f aca="false">IF(A227="","",INDEX(Register!$H$9:$H$2008,MATCH(A227,Register!$A$9:$A$2008,0)))</f>
        <v/>
      </c>
      <c r="I227" s="10" t="str">
        <f aca="false">IF(A227="","",INDEX(Register!$I$9:$I$2008,MATCH(A227,Register!$A$9:$A$2008,0))&amp;"")</f>
        <v/>
      </c>
      <c r="J227" s="8"/>
    </row>
    <row r="228" customFormat="false" ht="15" hidden="false" customHeight="false" outlineLevel="0" collapsed="false">
      <c r="A228" s="10" t="str">
        <f aca="false">IFERROR(INDEX(Register!$A$9:$A$2008,MATCH(220,Register!$M$9:$M$2008,0)),"")</f>
        <v/>
      </c>
      <c r="B228" s="22" t="str">
        <f aca="false">IF(A228="","",INDEX(Register!$B$9:$B$2008,MATCH(A228,Register!$A$9:$A$2008,0)))</f>
        <v/>
      </c>
      <c r="C228" s="23" t="str">
        <f aca="false">IF(A228="","",SUMIFS(Register!$E$9:$E$2008,Register!$A$9:$A$2008,A228))</f>
        <v/>
      </c>
      <c r="D228" s="23" t="str">
        <f aca="false">IF(A228="","",SUMIFS(Register!$F$9:$F$2008,Register!$A$9:$A$2008,A228))</f>
        <v/>
      </c>
      <c r="E228" s="10" t="str">
        <f aca="false">IF(A228="","",IF(ABS(C228-D228)&lt;0.5,"Yes","No"))</f>
        <v/>
      </c>
      <c r="F228" s="21" t="str">
        <f aca="false">IF(A228="","",COUNTIF(Register!$A$9:$A$2008,A228))</f>
        <v/>
      </c>
      <c r="G228" s="21" t="str">
        <f aca="false">IF(A228="","",COUNTIFS(Register!$A$9:$A$2008,A228,Register!$L$9:$L$2008,"?*"))</f>
        <v/>
      </c>
      <c r="H228" s="10" t="str">
        <f aca="false">IF(A228="","",INDEX(Register!$H$9:$H$2008,MATCH(A228,Register!$A$9:$A$2008,0)))</f>
        <v/>
      </c>
      <c r="I228" s="10" t="str">
        <f aca="false">IF(A228="","",INDEX(Register!$I$9:$I$2008,MATCH(A228,Register!$A$9:$A$2008,0))&amp;"")</f>
        <v/>
      </c>
      <c r="J228" s="8"/>
    </row>
    <row r="229" customFormat="false" ht="15" hidden="false" customHeight="false" outlineLevel="0" collapsed="false">
      <c r="A229" s="10" t="str">
        <f aca="false">IFERROR(INDEX(Register!$A$9:$A$2008,MATCH(221,Register!$M$9:$M$2008,0)),"")</f>
        <v/>
      </c>
      <c r="B229" s="22" t="str">
        <f aca="false">IF(A229="","",INDEX(Register!$B$9:$B$2008,MATCH(A229,Register!$A$9:$A$2008,0)))</f>
        <v/>
      </c>
      <c r="C229" s="23" t="str">
        <f aca="false">IF(A229="","",SUMIFS(Register!$E$9:$E$2008,Register!$A$9:$A$2008,A229))</f>
        <v/>
      </c>
      <c r="D229" s="23" t="str">
        <f aca="false">IF(A229="","",SUMIFS(Register!$F$9:$F$2008,Register!$A$9:$A$2008,A229))</f>
        <v/>
      </c>
      <c r="E229" s="10" t="str">
        <f aca="false">IF(A229="","",IF(ABS(C229-D229)&lt;0.5,"Yes","No"))</f>
        <v/>
      </c>
      <c r="F229" s="21" t="str">
        <f aca="false">IF(A229="","",COUNTIF(Register!$A$9:$A$2008,A229))</f>
        <v/>
      </c>
      <c r="G229" s="21" t="str">
        <f aca="false">IF(A229="","",COUNTIFS(Register!$A$9:$A$2008,A229,Register!$L$9:$L$2008,"?*"))</f>
        <v/>
      </c>
      <c r="H229" s="10" t="str">
        <f aca="false">IF(A229="","",INDEX(Register!$H$9:$H$2008,MATCH(A229,Register!$A$9:$A$2008,0)))</f>
        <v/>
      </c>
      <c r="I229" s="10" t="str">
        <f aca="false">IF(A229="","",INDEX(Register!$I$9:$I$2008,MATCH(A229,Register!$A$9:$A$2008,0))&amp;"")</f>
        <v/>
      </c>
      <c r="J229" s="8"/>
    </row>
    <row r="230" customFormat="false" ht="15" hidden="false" customHeight="false" outlineLevel="0" collapsed="false">
      <c r="A230" s="10" t="str">
        <f aca="false">IFERROR(INDEX(Register!$A$9:$A$2008,MATCH(222,Register!$M$9:$M$2008,0)),"")</f>
        <v/>
      </c>
      <c r="B230" s="22" t="str">
        <f aca="false">IF(A230="","",INDEX(Register!$B$9:$B$2008,MATCH(A230,Register!$A$9:$A$2008,0)))</f>
        <v/>
      </c>
      <c r="C230" s="23" t="str">
        <f aca="false">IF(A230="","",SUMIFS(Register!$E$9:$E$2008,Register!$A$9:$A$2008,A230))</f>
        <v/>
      </c>
      <c r="D230" s="23" t="str">
        <f aca="false">IF(A230="","",SUMIFS(Register!$F$9:$F$2008,Register!$A$9:$A$2008,A230))</f>
        <v/>
      </c>
      <c r="E230" s="10" t="str">
        <f aca="false">IF(A230="","",IF(ABS(C230-D230)&lt;0.5,"Yes","No"))</f>
        <v/>
      </c>
      <c r="F230" s="21" t="str">
        <f aca="false">IF(A230="","",COUNTIF(Register!$A$9:$A$2008,A230))</f>
        <v/>
      </c>
      <c r="G230" s="21" t="str">
        <f aca="false">IF(A230="","",COUNTIFS(Register!$A$9:$A$2008,A230,Register!$L$9:$L$2008,"?*"))</f>
        <v/>
      </c>
      <c r="H230" s="10" t="str">
        <f aca="false">IF(A230="","",INDEX(Register!$H$9:$H$2008,MATCH(A230,Register!$A$9:$A$2008,0)))</f>
        <v/>
      </c>
      <c r="I230" s="10" t="str">
        <f aca="false">IF(A230="","",INDEX(Register!$I$9:$I$2008,MATCH(A230,Register!$A$9:$A$2008,0))&amp;"")</f>
        <v/>
      </c>
      <c r="J230" s="8"/>
    </row>
    <row r="231" customFormat="false" ht="15" hidden="false" customHeight="false" outlineLevel="0" collapsed="false">
      <c r="A231" s="10" t="str">
        <f aca="false">IFERROR(INDEX(Register!$A$9:$A$2008,MATCH(223,Register!$M$9:$M$2008,0)),"")</f>
        <v/>
      </c>
      <c r="B231" s="22" t="str">
        <f aca="false">IF(A231="","",INDEX(Register!$B$9:$B$2008,MATCH(A231,Register!$A$9:$A$2008,0)))</f>
        <v/>
      </c>
      <c r="C231" s="23" t="str">
        <f aca="false">IF(A231="","",SUMIFS(Register!$E$9:$E$2008,Register!$A$9:$A$2008,A231))</f>
        <v/>
      </c>
      <c r="D231" s="23" t="str">
        <f aca="false">IF(A231="","",SUMIFS(Register!$F$9:$F$2008,Register!$A$9:$A$2008,A231))</f>
        <v/>
      </c>
      <c r="E231" s="10" t="str">
        <f aca="false">IF(A231="","",IF(ABS(C231-D231)&lt;0.5,"Yes","No"))</f>
        <v/>
      </c>
      <c r="F231" s="21" t="str">
        <f aca="false">IF(A231="","",COUNTIF(Register!$A$9:$A$2008,A231))</f>
        <v/>
      </c>
      <c r="G231" s="21" t="str">
        <f aca="false">IF(A231="","",COUNTIFS(Register!$A$9:$A$2008,A231,Register!$L$9:$L$2008,"?*"))</f>
        <v/>
      </c>
      <c r="H231" s="10" t="str">
        <f aca="false">IF(A231="","",INDEX(Register!$H$9:$H$2008,MATCH(A231,Register!$A$9:$A$2008,0)))</f>
        <v/>
      </c>
      <c r="I231" s="10" t="str">
        <f aca="false">IF(A231="","",INDEX(Register!$I$9:$I$2008,MATCH(A231,Register!$A$9:$A$2008,0))&amp;"")</f>
        <v/>
      </c>
      <c r="J231" s="8"/>
    </row>
    <row r="232" customFormat="false" ht="15" hidden="false" customHeight="false" outlineLevel="0" collapsed="false">
      <c r="A232" s="10" t="str">
        <f aca="false">IFERROR(INDEX(Register!$A$9:$A$2008,MATCH(224,Register!$M$9:$M$2008,0)),"")</f>
        <v/>
      </c>
      <c r="B232" s="22" t="str">
        <f aca="false">IF(A232="","",INDEX(Register!$B$9:$B$2008,MATCH(A232,Register!$A$9:$A$2008,0)))</f>
        <v/>
      </c>
      <c r="C232" s="23" t="str">
        <f aca="false">IF(A232="","",SUMIFS(Register!$E$9:$E$2008,Register!$A$9:$A$2008,A232))</f>
        <v/>
      </c>
      <c r="D232" s="23" t="str">
        <f aca="false">IF(A232="","",SUMIFS(Register!$F$9:$F$2008,Register!$A$9:$A$2008,A232))</f>
        <v/>
      </c>
      <c r="E232" s="10" t="str">
        <f aca="false">IF(A232="","",IF(ABS(C232-D232)&lt;0.5,"Yes","No"))</f>
        <v/>
      </c>
      <c r="F232" s="21" t="str">
        <f aca="false">IF(A232="","",COUNTIF(Register!$A$9:$A$2008,A232))</f>
        <v/>
      </c>
      <c r="G232" s="21" t="str">
        <f aca="false">IF(A232="","",COUNTIFS(Register!$A$9:$A$2008,A232,Register!$L$9:$L$2008,"?*"))</f>
        <v/>
      </c>
      <c r="H232" s="10" t="str">
        <f aca="false">IF(A232="","",INDEX(Register!$H$9:$H$2008,MATCH(A232,Register!$A$9:$A$2008,0)))</f>
        <v/>
      </c>
      <c r="I232" s="10" t="str">
        <f aca="false">IF(A232="","",INDEX(Register!$I$9:$I$2008,MATCH(A232,Register!$A$9:$A$2008,0))&amp;"")</f>
        <v/>
      </c>
      <c r="J232" s="8"/>
    </row>
    <row r="233" customFormat="false" ht="15" hidden="false" customHeight="false" outlineLevel="0" collapsed="false">
      <c r="A233" s="10" t="str">
        <f aca="false">IFERROR(INDEX(Register!$A$9:$A$2008,MATCH(225,Register!$M$9:$M$2008,0)),"")</f>
        <v/>
      </c>
      <c r="B233" s="22" t="str">
        <f aca="false">IF(A233="","",INDEX(Register!$B$9:$B$2008,MATCH(A233,Register!$A$9:$A$2008,0)))</f>
        <v/>
      </c>
      <c r="C233" s="23" t="str">
        <f aca="false">IF(A233="","",SUMIFS(Register!$E$9:$E$2008,Register!$A$9:$A$2008,A233))</f>
        <v/>
      </c>
      <c r="D233" s="23" t="str">
        <f aca="false">IF(A233="","",SUMIFS(Register!$F$9:$F$2008,Register!$A$9:$A$2008,A233))</f>
        <v/>
      </c>
      <c r="E233" s="10" t="str">
        <f aca="false">IF(A233="","",IF(ABS(C233-D233)&lt;0.5,"Yes","No"))</f>
        <v/>
      </c>
      <c r="F233" s="21" t="str">
        <f aca="false">IF(A233="","",COUNTIF(Register!$A$9:$A$2008,A233))</f>
        <v/>
      </c>
      <c r="G233" s="21" t="str">
        <f aca="false">IF(A233="","",COUNTIFS(Register!$A$9:$A$2008,A233,Register!$L$9:$L$2008,"?*"))</f>
        <v/>
      </c>
      <c r="H233" s="10" t="str">
        <f aca="false">IF(A233="","",INDEX(Register!$H$9:$H$2008,MATCH(A233,Register!$A$9:$A$2008,0)))</f>
        <v/>
      </c>
      <c r="I233" s="10" t="str">
        <f aca="false">IF(A233="","",INDEX(Register!$I$9:$I$2008,MATCH(A233,Register!$A$9:$A$2008,0))&amp;"")</f>
        <v/>
      </c>
      <c r="J233" s="8"/>
    </row>
    <row r="234" customFormat="false" ht="15" hidden="false" customHeight="false" outlineLevel="0" collapsed="false">
      <c r="A234" s="10" t="str">
        <f aca="false">IFERROR(INDEX(Register!$A$9:$A$2008,MATCH(226,Register!$M$9:$M$2008,0)),"")</f>
        <v/>
      </c>
      <c r="B234" s="22" t="str">
        <f aca="false">IF(A234="","",INDEX(Register!$B$9:$B$2008,MATCH(A234,Register!$A$9:$A$2008,0)))</f>
        <v/>
      </c>
      <c r="C234" s="23" t="str">
        <f aca="false">IF(A234="","",SUMIFS(Register!$E$9:$E$2008,Register!$A$9:$A$2008,A234))</f>
        <v/>
      </c>
      <c r="D234" s="23" t="str">
        <f aca="false">IF(A234="","",SUMIFS(Register!$F$9:$F$2008,Register!$A$9:$A$2008,A234))</f>
        <v/>
      </c>
      <c r="E234" s="10" t="str">
        <f aca="false">IF(A234="","",IF(ABS(C234-D234)&lt;0.5,"Yes","No"))</f>
        <v/>
      </c>
      <c r="F234" s="21" t="str">
        <f aca="false">IF(A234="","",COUNTIF(Register!$A$9:$A$2008,A234))</f>
        <v/>
      </c>
      <c r="G234" s="21" t="str">
        <f aca="false">IF(A234="","",COUNTIFS(Register!$A$9:$A$2008,A234,Register!$L$9:$L$2008,"?*"))</f>
        <v/>
      </c>
      <c r="H234" s="10" t="str">
        <f aca="false">IF(A234="","",INDEX(Register!$H$9:$H$2008,MATCH(A234,Register!$A$9:$A$2008,0)))</f>
        <v/>
      </c>
      <c r="I234" s="10" t="str">
        <f aca="false">IF(A234="","",INDEX(Register!$I$9:$I$2008,MATCH(A234,Register!$A$9:$A$2008,0))&amp;"")</f>
        <v/>
      </c>
      <c r="J234" s="8"/>
    </row>
    <row r="235" customFormat="false" ht="15" hidden="false" customHeight="false" outlineLevel="0" collapsed="false">
      <c r="A235" s="10" t="str">
        <f aca="false">IFERROR(INDEX(Register!$A$9:$A$2008,MATCH(227,Register!$M$9:$M$2008,0)),"")</f>
        <v/>
      </c>
      <c r="B235" s="22" t="str">
        <f aca="false">IF(A235="","",INDEX(Register!$B$9:$B$2008,MATCH(A235,Register!$A$9:$A$2008,0)))</f>
        <v/>
      </c>
      <c r="C235" s="23" t="str">
        <f aca="false">IF(A235="","",SUMIFS(Register!$E$9:$E$2008,Register!$A$9:$A$2008,A235))</f>
        <v/>
      </c>
      <c r="D235" s="23" t="str">
        <f aca="false">IF(A235="","",SUMIFS(Register!$F$9:$F$2008,Register!$A$9:$A$2008,A235))</f>
        <v/>
      </c>
      <c r="E235" s="10" t="str">
        <f aca="false">IF(A235="","",IF(ABS(C235-D235)&lt;0.5,"Yes","No"))</f>
        <v/>
      </c>
      <c r="F235" s="21" t="str">
        <f aca="false">IF(A235="","",COUNTIF(Register!$A$9:$A$2008,A235))</f>
        <v/>
      </c>
      <c r="G235" s="21" t="str">
        <f aca="false">IF(A235="","",COUNTIFS(Register!$A$9:$A$2008,A235,Register!$L$9:$L$2008,"?*"))</f>
        <v/>
      </c>
      <c r="H235" s="10" t="str">
        <f aca="false">IF(A235="","",INDEX(Register!$H$9:$H$2008,MATCH(A235,Register!$A$9:$A$2008,0)))</f>
        <v/>
      </c>
      <c r="I235" s="10" t="str">
        <f aca="false">IF(A235="","",INDEX(Register!$I$9:$I$2008,MATCH(A235,Register!$A$9:$A$2008,0))&amp;"")</f>
        <v/>
      </c>
      <c r="J235" s="8"/>
    </row>
    <row r="236" customFormat="false" ht="15" hidden="false" customHeight="false" outlineLevel="0" collapsed="false">
      <c r="A236" s="10" t="str">
        <f aca="false">IFERROR(INDEX(Register!$A$9:$A$2008,MATCH(228,Register!$M$9:$M$2008,0)),"")</f>
        <v/>
      </c>
      <c r="B236" s="22" t="str">
        <f aca="false">IF(A236="","",INDEX(Register!$B$9:$B$2008,MATCH(A236,Register!$A$9:$A$2008,0)))</f>
        <v/>
      </c>
      <c r="C236" s="23" t="str">
        <f aca="false">IF(A236="","",SUMIFS(Register!$E$9:$E$2008,Register!$A$9:$A$2008,A236))</f>
        <v/>
      </c>
      <c r="D236" s="23" t="str">
        <f aca="false">IF(A236="","",SUMIFS(Register!$F$9:$F$2008,Register!$A$9:$A$2008,A236))</f>
        <v/>
      </c>
      <c r="E236" s="10" t="str">
        <f aca="false">IF(A236="","",IF(ABS(C236-D236)&lt;0.5,"Yes","No"))</f>
        <v/>
      </c>
      <c r="F236" s="21" t="str">
        <f aca="false">IF(A236="","",COUNTIF(Register!$A$9:$A$2008,A236))</f>
        <v/>
      </c>
      <c r="G236" s="21" t="str">
        <f aca="false">IF(A236="","",COUNTIFS(Register!$A$9:$A$2008,A236,Register!$L$9:$L$2008,"?*"))</f>
        <v/>
      </c>
      <c r="H236" s="10" t="str">
        <f aca="false">IF(A236="","",INDEX(Register!$H$9:$H$2008,MATCH(A236,Register!$A$9:$A$2008,0)))</f>
        <v/>
      </c>
      <c r="I236" s="10" t="str">
        <f aca="false">IF(A236="","",INDEX(Register!$I$9:$I$2008,MATCH(A236,Register!$A$9:$A$2008,0))&amp;"")</f>
        <v/>
      </c>
      <c r="J236" s="8"/>
    </row>
    <row r="237" customFormat="false" ht="15" hidden="false" customHeight="false" outlineLevel="0" collapsed="false">
      <c r="A237" s="10" t="str">
        <f aca="false">IFERROR(INDEX(Register!$A$9:$A$2008,MATCH(229,Register!$M$9:$M$2008,0)),"")</f>
        <v/>
      </c>
      <c r="B237" s="22" t="str">
        <f aca="false">IF(A237="","",INDEX(Register!$B$9:$B$2008,MATCH(A237,Register!$A$9:$A$2008,0)))</f>
        <v/>
      </c>
      <c r="C237" s="23" t="str">
        <f aca="false">IF(A237="","",SUMIFS(Register!$E$9:$E$2008,Register!$A$9:$A$2008,A237))</f>
        <v/>
      </c>
      <c r="D237" s="23" t="str">
        <f aca="false">IF(A237="","",SUMIFS(Register!$F$9:$F$2008,Register!$A$9:$A$2008,A237))</f>
        <v/>
      </c>
      <c r="E237" s="10" t="str">
        <f aca="false">IF(A237="","",IF(ABS(C237-D237)&lt;0.5,"Yes","No"))</f>
        <v/>
      </c>
      <c r="F237" s="21" t="str">
        <f aca="false">IF(A237="","",COUNTIF(Register!$A$9:$A$2008,A237))</f>
        <v/>
      </c>
      <c r="G237" s="21" t="str">
        <f aca="false">IF(A237="","",COUNTIFS(Register!$A$9:$A$2008,A237,Register!$L$9:$L$2008,"?*"))</f>
        <v/>
      </c>
      <c r="H237" s="10" t="str">
        <f aca="false">IF(A237="","",INDEX(Register!$H$9:$H$2008,MATCH(A237,Register!$A$9:$A$2008,0)))</f>
        <v/>
      </c>
      <c r="I237" s="10" t="str">
        <f aca="false">IF(A237="","",INDEX(Register!$I$9:$I$2008,MATCH(A237,Register!$A$9:$A$2008,0))&amp;"")</f>
        <v/>
      </c>
      <c r="J237" s="8"/>
    </row>
    <row r="238" customFormat="false" ht="15" hidden="false" customHeight="false" outlineLevel="0" collapsed="false">
      <c r="A238" s="10" t="str">
        <f aca="false">IFERROR(INDEX(Register!$A$9:$A$2008,MATCH(230,Register!$M$9:$M$2008,0)),"")</f>
        <v/>
      </c>
      <c r="B238" s="22" t="str">
        <f aca="false">IF(A238="","",INDEX(Register!$B$9:$B$2008,MATCH(A238,Register!$A$9:$A$2008,0)))</f>
        <v/>
      </c>
      <c r="C238" s="23" t="str">
        <f aca="false">IF(A238="","",SUMIFS(Register!$E$9:$E$2008,Register!$A$9:$A$2008,A238))</f>
        <v/>
      </c>
      <c r="D238" s="23" t="str">
        <f aca="false">IF(A238="","",SUMIFS(Register!$F$9:$F$2008,Register!$A$9:$A$2008,A238))</f>
        <v/>
      </c>
      <c r="E238" s="10" t="str">
        <f aca="false">IF(A238="","",IF(ABS(C238-D238)&lt;0.5,"Yes","No"))</f>
        <v/>
      </c>
      <c r="F238" s="21" t="str">
        <f aca="false">IF(A238="","",COUNTIF(Register!$A$9:$A$2008,A238))</f>
        <v/>
      </c>
      <c r="G238" s="21" t="str">
        <f aca="false">IF(A238="","",COUNTIFS(Register!$A$9:$A$2008,A238,Register!$L$9:$L$2008,"?*"))</f>
        <v/>
      </c>
      <c r="H238" s="10" t="str">
        <f aca="false">IF(A238="","",INDEX(Register!$H$9:$H$2008,MATCH(A238,Register!$A$9:$A$2008,0)))</f>
        <v/>
      </c>
      <c r="I238" s="10" t="str">
        <f aca="false">IF(A238="","",INDEX(Register!$I$9:$I$2008,MATCH(A238,Register!$A$9:$A$2008,0))&amp;"")</f>
        <v/>
      </c>
      <c r="J238" s="8"/>
    </row>
    <row r="239" customFormat="false" ht="15" hidden="false" customHeight="false" outlineLevel="0" collapsed="false">
      <c r="A239" s="10" t="str">
        <f aca="false">IFERROR(INDEX(Register!$A$9:$A$2008,MATCH(231,Register!$M$9:$M$2008,0)),"")</f>
        <v/>
      </c>
      <c r="B239" s="22" t="str">
        <f aca="false">IF(A239="","",INDEX(Register!$B$9:$B$2008,MATCH(A239,Register!$A$9:$A$2008,0)))</f>
        <v/>
      </c>
      <c r="C239" s="23" t="str">
        <f aca="false">IF(A239="","",SUMIFS(Register!$E$9:$E$2008,Register!$A$9:$A$2008,A239))</f>
        <v/>
      </c>
      <c r="D239" s="23" t="str">
        <f aca="false">IF(A239="","",SUMIFS(Register!$F$9:$F$2008,Register!$A$9:$A$2008,A239))</f>
        <v/>
      </c>
      <c r="E239" s="10" t="str">
        <f aca="false">IF(A239="","",IF(ABS(C239-D239)&lt;0.5,"Yes","No"))</f>
        <v/>
      </c>
      <c r="F239" s="21" t="str">
        <f aca="false">IF(A239="","",COUNTIF(Register!$A$9:$A$2008,A239))</f>
        <v/>
      </c>
      <c r="G239" s="21" t="str">
        <f aca="false">IF(A239="","",COUNTIFS(Register!$A$9:$A$2008,A239,Register!$L$9:$L$2008,"?*"))</f>
        <v/>
      </c>
      <c r="H239" s="10" t="str">
        <f aca="false">IF(A239="","",INDEX(Register!$H$9:$H$2008,MATCH(A239,Register!$A$9:$A$2008,0)))</f>
        <v/>
      </c>
      <c r="I239" s="10" t="str">
        <f aca="false">IF(A239="","",INDEX(Register!$I$9:$I$2008,MATCH(A239,Register!$A$9:$A$2008,0))&amp;"")</f>
        <v/>
      </c>
      <c r="J239" s="8"/>
    </row>
    <row r="240" customFormat="false" ht="15" hidden="false" customHeight="false" outlineLevel="0" collapsed="false">
      <c r="A240" s="10" t="str">
        <f aca="false">IFERROR(INDEX(Register!$A$9:$A$2008,MATCH(232,Register!$M$9:$M$2008,0)),"")</f>
        <v/>
      </c>
      <c r="B240" s="22" t="str">
        <f aca="false">IF(A240="","",INDEX(Register!$B$9:$B$2008,MATCH(A240,Register!$A$9:$A$2008,0)))</f>
        <v/>
      </c>
      <c r="C240" s="23" t="str">
        <f aca="false">IF(A240="","",SUMIFS(Register!$E$9:$E$2008,Register!$A$9:$A$2008,A240))</f>
        <v/>
      </c>
      <c r="D240" s="23" t="str">
        <f aca="false">IF(A240="","",SUMIFS(Register!$F$9:$F$2008,Register!$A$9:$A$2008,A240))</f>
        <v/>
      </c>
      <c r="E240" s="10" t="str">
        <f aca="false">IF(A240="","",IF(ABS(C240-D240)&lt;0.5,"Yes","No"))</f>
        <v/>
      </c>
      <c r="F240" s="21" t="str">
        <f aca="false">IF(A240="","",COUNTIF(Register!$A$9:$A$2008,A240))</f>
        <v/>
      </c>
      <c r="G240" s="21" t="str">
        <f aca="false">IF(A240="","",COUNTIFS(Register!$A$9:$A$2008,A240,Register!$L$9:$L$2008,"?*"))</f>
        <v/>
      </c>
      <c r="H240" s="10" t="str">
        <f aca="false">IF(A240="","",INDEX(Register!$H$9:$H$2008,MATCH(A240,Register!$A$9:$A$2008,0)))</f>
        <v/>
      </c>
      <c r="I240" s="10" t="str">
        <f aca="false">IF(A240="","",INDEX(Register!$I$9:$I$2008,MATCH(A240,Register!$A$9:$A$2008,0))&amp;"")</f>
        <v/>
      </c>
      <c r="J240" s="8"/>
    </row>
    <row r="241" customFormat="false" ht="15" hidden="false" customHeight="false" outlineLevel="0" collapsed="false">
      <c r="A241" s="10" t="str">
        <f aca="false">IFERROR(INDEX(Register!$A$9:$A$2008,MATCH(233,Register!$M$9:$M$2008,0)),"")</f>
        <v/>
      </c>
      <c r="B241" s="22" t="str">
        <f aca="false">IF(A241="","",INDEX(Register!$B$9:$B$2008,MATCH(A241,Register!$A$9:$A$2008,0)))</f>
        <v/>
      </c>
      <c r="C241" s="23" t="str">
        <f aca="false">IF(A241="","",SUMIFS(Register!$E$9:$E$2008,Register!$A$9:$A$2008,A241))</f>
        <v/>
      </c>
      <c r="D241" s="23" t="str">
        <f aca="false">IF(A241="","",SUMIFS(Register!$F$9:$F$2008,Register!$A$9:$A$2008,A241))</f>
        <v/>
      </c>
      <c r="E241" s="10" t="str">
        <f aca="false">IF(A241="","",IF(ABS(C241-D241)&lt;0.5,"Yes","No"))</f>
        <v/>
      </c>
      <c r="F241" s="21" t="str">
        <f aca="false">IF(A241="","",COUNTIF(Register!$A$9:$A$2008,A241))</f>
        <v/>
      </c>
      <c r="G241" s="21" t="str">
        <f aca="false">IF(A241="","",COUNTIFS(Register!$A$9:$A$2008,A241,Register!$L$9:$L$2008,"?*"))</f>
        <v/>
      </c>
      <c r="H241" s="10" t="str">
        <f aca="false">IF(A241="","",INDEX(Register!$H$9:$H$2008,MATCH(A241,Register!$A$9:$A$2008,0)))</f>
        <v/>
      </c>
      <c r="I241" s="10" t="str">
        <f aca="false">IF(A241="","",INDEX(Register!$I$9:$I$2008,MATCH(A241,Register!$A$9:$A$2008,0))&amp;"")</f>
        <v/>
      </c>
      <c r="J241" s="8"/>
    </row>
    <row r="242" customFormat="false" ht="15" hidden="false" customHeight="false" outlineLevel="0" collapsed="false">
      <c r="A242" s="10" t="str">
        <f aca="false">IFERROR(INDEX(Register!$A$9:$A$2008,MATCH(234,Register!$M$9:$M$2008,0)),"")</f>
        <v/>
      </c>
      <c r="B242" s="22" t="str">
        <f aca="false">IF(A242="","",INDEX(Register!$B$9:$B$2008,MATCH(A242,Register!$A$9:$A$2008,0)))</f>
        <v/>
      </c>
      <c r="C242" s="23" t="str">
        <f aca="false">IF(A242="","",SUMIFS(Register!$E$9:$E$2008,Register!$A$9:$A$2008,A242))</f>
        <v/>
      </c>
      <c r="D242" s="23" t="str">
        <f aca="false">IF(A242="","",SUMIFS(Register!$F$9:$F$2008,Register!$A$9:$A$2008,A242))</f>
        <v/>
      </c>
      <c r="E242" s="10" t="str">
        <f aca="false">IF(A242="","",IF(ABS(C242-D242)&lt;0.5,"Yes","No"))</f>
        <v/>
      </c>
      <c r="F242" s="21" t="str">
        <f aca="false">IF(A242="","",COUNTIF(Register!$A$9:$A$2008,A242))</f>
        <v/>
      </c>
      <c r="G242" s="21" t="str">
        <f aca="false">IF(A242="","",COUNTIFS(Register!$A$9:$A$2008,A242,Register!$L$9:$L$2008,"?*"))</f>
        <v/>
      </c>
      <c r="H242" s="10" t="str">
        <f aca="false">IF(A242="","",INDEX(Register!$H$9:$H$2008,MATCH(A242,Register!$A$9:$A$2008,0)))</f>
        <v/>
      </c>
      <c r="I242" s="10" t="str">
        <f aca="false">IF(A242="","",INDEX(Register!$I$9:$I$2008,MATCH(A242,Register!$A$9:$A$2008,0))&amp;"")</f>
        <v/>
      </c>
      <c r="J242" s="8"/>
    </row>
    <row r="243" customFormat="false" ht="15" hidden="false" customHeight="false" outlineLevel="0" collapsed="false">
      <c r="A243" s="10" t="str">
        <f aca="false">IFERROR(INDEX(Register!$A$9:$A$2008,MATCH(235,Register!$M$9:$M$2008,0)),"")</f>
        <v/>
      </c>
      <c r="B243" s="22" t="str">
        <f aca="false">IF(A243="","",INDEX(Register!$B$9:$B$2008,MATCH(A243,Register!$A$9:$A$2008,0)))</f>
        <v/>
      </c>
      <c r="C243" s="23" t="str">
        <f aca="false">IF(A243="","",SUMIFS(Register!$E$9:$E$2008,Register!$A$9:$A$2008,A243))</f>
        <v/>
      </c>
      <c r="D243" s="23" t="str">
        <f aca="false">IF(A243="","",SUMIFS(Register!$F$9:$F$2008,Register!$A$9:$A$2008,A243))</f>
        <v/>
      </c>
      <c r="E243" s="10" t="str">
        <f aca="false">IF(A243="","",IF(ABS(C243-D243)&lt;0.5,"Yes","No"))</f>
        <v/>
      </c>
      <c r="F243" s="21" t="str">
        <f aca="false">IF(A243="","",COUNTIF(Register!$A$9:$A$2008,A243))</f>
        <v/>
      </c>
      <c r="G243" s="21" t="str">
        <f aca="false">IF(A243="","",COUNTIFS(Register!$A$9:$A$2008,A243,Register!$L$9:$L$2008,"?*"))</f>
        <v/>
      </c>
      <c r="H243" s="10" t="str">
        <f aca="false">IF(A243="","",INDEX(Register!$H$9:$H$2008,MATCH(A243,Register!$A$9:$A$2008,0)))</f>
        <v/>
      </c>
      <c r="I243" s="10" t="str">
        <f aca="false">IF(A243="","",INDEX(Register!$I$9:$I$2008,MATCH(A243,Register!$A$9:$A$2008,0))&amp;"")</f>
        <v/>
      </c>
      <c r="J243" s="8"/>
    </row>
    <row r="244" customFormat="false" ht="15" hidden="false" customHeight="false" outlineLevel="0" collapsed="false">
      <c r="A244" s="10" t="str">
        <f aca="false">IFERROR(INDEX(Register!$A$9:$A$2008,MATCH(236,Register!$M$9:$M$2008,0)),"")</f>
        <v/>
      </c>
      <c r="B244" s="22" t="str">
        <f aca="false">IF(A244="","",INDEX(Register!$B$9:$B$2008,MATCH(A244,Register!$A$9:$A$2008,0)))</f>
        <v/>
      </c>
      <c r="C244" s="23" t="str">
        <f aca="false">IF(A244="","",SUMIFS(Register!$E$9:$E$2008,Register!$A$9:$A$2008,A244))</f>
        <v/>
      </c>
      <c r="D244" s="23" t="str">
        <f aca="false">IF(A244="","",SUMIFS(Register!$F$9:$F$2008,Register!$A$9:$A$2008,A244))</f>
        <v/>
      </c>
      <c r="E244" s="10" t="str">
        <f aca="false">IF(A244="","",IF(ABS(C244-D244)&lt;0.5,"Yes","No"))</f>
        <v/>
      </c>
      <c r="F244" s="21" t="str">
        <f aca="false">IF(A244="","",COUNTIF(Register!$A$9:$A$2008,A244))</f>
        <v/>
      </c>
      <c r="G244" s="21" t="str">
        <f aca="false">IF(A244="","",COUNTIFS(Register!$A$9:$A$2008,A244,Register!$L$9:$L$2008,"?*"))</f>
        <v/>
      </c>
      <c r="H244" s="10" t="str">
        <f aca="false">IF(A244="","",INDEX(Register!$H$9:$H$2008,MATCH(A244,Register!$A$9:$A$2008,0)))</f>
        <v/>
      </c>
      <c r="I244" s="10" t="str">
        <f aca="false">IF(A244="","",INDEX(Register!$I$9:$I$2008,MATCH(A244,Register!$A$9:$A$2008,0))&amp;"")</f>
        <v/>
      </c>
      <c r="J244" s="8"/>
    </row>
    <row r="245" customFormat="false" ht="15" hidden="false" customHeight="false" outlineLevel="0" collapsed="false">
      <c r="A245" s="10" t="str">
        <f aca="false">IFERROR(INDEX(Register!$A$9:$A$2008,MATCH(237,Register!$M$9:$M$2008,0)),"")</f>
        <v/>
      </c>
      <c r="B245" s="22" t="str">
        <f aca="false">IF(A245="","",INDEX(Register!$B$9:$B$2008,MATCH(A245,Register!$A$9:$A$2008,0)))</f>
        <v/>
      </c>
      <c r="C245" s="23" t="str">
        <f aca="false">IF(A245="","",SUMIFS(Register!$E$9:$E$2008,Register!$A$9:$A$2008,A245))</f>
        <v/>
      </c>
      <c r="D245" s="23" t="str">
        <f aca="false">IF(A245="","",SUMIFS(Register!$F$9:$F$2008,Register!$A$9:$A$2008,A245))</f>
        <v/>
      </c>
      <c r="E245" s="10" t="str">
        <f aca="false">IF(A245="","",IF(ABS(C245-D245)&lt;0.5,"Yes","No"))</f>
        <v/>
      </c>
      <c r="F245" s="21" t="str">
        <f aca="false">IF(A245="","",COUNTIF(Register!$A$9:$A$2008,A245))</f>
        <v/>
      </c>
      <c r="G245" s="21" t="str">
        <f aca="false">IF(A245="","",COUNTIFS(Register!$A$9:$A$2008,A245,Register!$L$9:$L$2008,"?*"))</f>
        <v/>
      </c>
      <c r="H245" s="10" t="str">
        <f aca="false">IF(A245="","",INDEX(Register!$H$9:$H$2008,MATCH(A245,Register!$A$9:$A$2008,0)))</f>
        <v/>
      </c>
      <c r="I245" s="10" t="str">
        <f aca="false">IF(A245="","",INDEX(Register!$I$9:$I$2008,MATCH(A245,Register!$A$9:$A$2008,0))&amp;"")</f>
        <v/>
      </c>
      <c r="J245" s="8"/>
    </row>
    <row r="246" customFormat="false" ht="15" hidden="false" customHeight="false" outlineLevel="0" collapsed="false">
      <c r="A246" s="10" t="str">
        <f aca="false">IFERROR(INDEX(Register!$A$9:$A$2008,MATCH(238,Register!$M$9:$M$2008,0)),"")</f>
        <v/>
      </c>
      <c r="B246" s="22" t="str">
        <f aca="false">IF(A246="","",INDEX(Register!$B$9:$B$2008,MATCH(A246,Register!$A$9:$A$2008,0)))</f>
        <v/>
      </c>
      <c r="C246" s="23" t="str">
        <f aca="false">IF(A246="","",SUMIFS(Register!$E$9:$E$2008,Register!$A$9:$A$2008,A246))</f>
        <v/>
      </c>
      <c r="D246" s="23" t="str">
        <f aca="false">IF(A246="","",SUMIFS(Register!$F$9:$F$2008,Register!$A$9:$A$2008,A246))</f>
        <v/>
      </c>
      <c r="E246" s="10" t="str">
        <f aca="false">IF(A246="","",IF(ABS(C246-D246)&lt;0.5,"Yes","No"))</f>
        <v/>
      </c>
      <c r="F246" s="21" t="str">
        <f aca="false">IF(A246="","",COUNTIF(Register!$A$9:$A$2008,A246))</f>
        <v/>
      </c>
      <c r="G246" s="21" t="str">
        <f aca="false">IF(A246="","",COUNTIFS(Register!$A$9:$A$2008,A246,Register!$L$9:$L$2008,"?*"))</f>
        <v/>
      </c>
      <c r="H246" s="10" t="str">
        <f aca="false">IF(A246="","",INDEX(Register!$H$9:$H$2008,MATCH(A246,Register!$A$9:$A$2008,0)))</f>
        <v/>
      </c>
      <c r="I246" s="10" t="str">
        <f aca="false">IF(A246="","",INDEX(Register!$I$9:$I$2008,MATCH(A246,Register!$A$9:$A$2008,0))&amp;"")</f>
        <v/>
      </c>
      <c r="J246" s="8"/>
    </row>
    <row r="247" customFormat="false" ht="15" hidden="false" customHeight="false" outlineLevel="0" collapsed="false">
      <c r="A247" s="10" t="str">
        <f aca="false">IFERROR(INDEX(Register!$A$9:$A$2008,MATCH(239,Register!$M$9:$M$2008,0)),"")</f>
        <v/>
      </c>
      <c r="B247" s="22" t="str">
        <f aca="false">IF(A247="","",INDEX(Register!$B$9:$B$2008,MATCH(A247,Register!$A$9:$A$2008,0)))</f>
        <v/>
      </c>
      <c r="C247" s="23" t="str">
        <f aca="false">IF(A247="","",SUMIFS(Register!$E$9:$E$2008,Register!$A$9:$A$2008,A247))</f>
        <v/>
      </c>
      <c r="D247" s="23" t="str">
        <f aca="false">IF(A247="","",SUMIFS(Register!$F$9:$F$2008,Register!$A$9:$A$2008,A247))</f>
        <v/>
      </c>
      <c r="E247" s="10" t="str">
        <f aca="false">IF(A247="","",IF(ABS(C247-D247)&lt;0.5,"Yes","No"))</f>
        <v/>
      </c>
      <c r="F247" s="21" t="str">
        <f aca="false">IF(A247="","",COUNTIF(Register!$A$9:$A$2008,A247))</f>
        <v/>
      </c>
      <c r="G247" s="21" t="str">
        <f aca="false">IF(A247="","",COUNTIFS(Register!$A$9:$A$2008,A247,Register!$L$9:$L$2008,"?*"))</f>
        <v/>
      </c>
      <c r="H247" s="10" t="str">
        <f aca="false">IF(A247="","",INDEX(Register!$H$9:$H$2008,MATCH(A247,Register!$A$9:$A$2008,0)))</f>
        <v/>
      </c>
      <c r="I247" s="10" t="str">
        <f aca="false">IF(A247="","",INDEX(Register!$I$9:$I$2008,MATCH(A247,Register!$A$9:$A$2008,0))&amp;"")</f>
        <v/>
      </c>
      <c r="J247" s="8"/>
    </row>
    <row r="248" customFormat="false" ht="15" hidden="false" customHeight="false" outlineLevel="0" collapsed="false">
      <c r="A248" s="10" t="str">
        <f aca="false">IFERROR(INDEX(Register!$A$9:$A$2008,MATCH(240,Register!$M$9:$M$2008,0)),"")</f>
        <v/>
      </c>
      <c r="B248" s="22" t="str">
        <f aca="false">IF(A248="","",INDEX(Register!$B$9:$B$2008,MATCH(A248,Register!$A$9:$A$2008,0)))</f>
        <v/>
      </c>
      <c r="C248" s="23" t="str">
        <f aca="false">IF(A248="","",SUMIFS(Register!$E$9:$E$2008,Register!$A$9:$A$2008,A248))</f>
        <v/>
      </c>
      <c r="D248" s="23" t="str">
        <f aca="false">IF(A248="","",SUMIFS(Register!$F$9:$F$2008,Register!$A$9:$A$2008,A248))</f>
        <v/>
      </c>
      <c r="E248" s="10" t="str">
        <f aca="false">IF(A248="","",IF(ABS(C248-D248)&lt;0.5,"Yes","No"))</f>
        <v/>
      </c>
      <c r="F248" s="21" t="str">
        <f aca="false">IF(A248="","",COUNTIF(Register!$A$9:$A$2008,A248))</f>
        <v/>
      </c>
      <c r="G248" s="21" t="str">
        <f aca="false">IF(A248="","",COUNTIFS(Register!$A$9:$A$2008,A248,Register!$L$9:$L$2008,"?*"))</f>
        <v/>
      </c>
      <c r="H248" s="10" t="str">
        <f aca="false">IF(A248="","",INDEX(Register!$H$9:$H$2008,MATCH(A248,Register!$A$9:$A$2008,0)))</f>
        <v/>
      </c>
      <c r="I248" s="10" t="str">
        <f aca="false">IF(A248="","",INDEX(Register!$I$9:$I$2008,MATCH(A248,Register!$A$9:$A$2008,0))&amp;"")</f>
        <v/>
      </c>
      <c r="J248" s="8"/>
    </row>
    <row r="249" customFormat="false" ht="15" hidden="false" customHeight="false" outlineLevel="0" collapsed="false">
      <c r="A249" s="10" t="str">
        <f aca="false">IFERROR(INDEX(Register!$A$9:$A$2008,MATCH(241,Register!$M$9:$M$2008,0)),"")</f>
        <v/>
      </c>
      <c r="B249" s="22" t="str">
        <f aca="false">IF(A249="","",INDEX(Register!$B$9:$B$2008,MATCH(A249,Register!$A$9:$A$2008,0)))</f>
        <v/>
      </c>
      <c r="C249" s="23" t="str">
        <f aca="false">IF(A249="","",SUMIFS(Register!$E$9:$E$2008,Register!$A$9:$A$2008,A249))</f>
        <v/>
      </c>
      <c r="D249" s="23" t="str">
        <f aca="false">IF(A249="","",SUMIFS(Register!$F$9:$F$2008,Register!$A$9:$A$2008,A249))</f>
        <v/>
      </c>
      <c r="E249" s="10" t="str">
        <f aca="false">IF(A249="","",IF(ABS(C249-D249)&lt;0.5,"Yes","No"))</f>
        <v/>
      </c>
      <c r="F249" s="21" t="str">
        <f aca="false">IF(A249="","",COUNTIF(Register!$A$9:$A$2008,A249))</f>
        <v/>
      </c>
      <c r="G249" s="21" t="str">
        <f aca="false">IF(A249="","",COUNTIFS(Register!$A$9:$A$2008,A249,Register!$L$9:$L$2008,"?*"))</f>
        <v/>
      </c>
      <c r="H249" s="10" t="str">
        <f aca="false">IF(A249="","",INDEX(Register!$H$9:$H$2008,MATCH(A249,Register!$A$9:$A$2008,0)))</f>
        <v/>
      </c>
      <c r="I249" s="10" t="str">
        <f aca="false">IF(A249="","",INDEX(Register!$I$9:$I$2008,MATCH(A249,Register!$A$9:$A$2008,0))&amp;"")</f>
        <v/>
      </c>
      <c r="J249" s="8"/>
    </row>
    <row r="250" customFormat="false" ht="15" hidden="false" customHeight="false" outlineLevel="0" collapsed="false">
      <c r="A250" s="10" t="str">
        <f aca="false">IFERROR(INDEX(Register!$A$9:$A$2008,MATCH(242,Register!$M$9:$M$2008,0)),"")</f>
        <v/>
      </c>
      <c r="B250" s="22" t="str">
        <f aca="false">IF(A250="","",INDEX(Register!$B$9:$B$2008,MATCH(A250,Register!$A$9:$A$2008,0)))</f>
        <v/>
      </c>
      <c r="C250" s="23" t="str">
        <f aca="false">IF(A250="","",SUMIFS(Register!$E$9:$E$2008,Register!$A$9:$A$2008,A250))</f>
        <v/>
      </c>
      <c r="D250" s="23" t="str">
        <f aca="false">IF(A250="","",SUMIFS(Register!$F$9:$F$2008,Register!$A$9:$A$2008,A250))</f>
        <v/>
      </c>
      <c r="E250" s="10" t="str">
        <f aca="false">IF(A250="","",IF(ABS(C250-D250)&lt;0.5,"Yes","No"))</f>
        <v/>
      </c>
      <c r="F250" s="21" t="str">
        <f aca="false">IF(A250="","",COUNTIF(Register!$A$9:$A$2008,A250))</f>
        <v/>
      </c>
      <c r="G250" s="21" t="str">
        <f aca="false">IF(A250="","",COUNTIFS(Register!$A$9:$A$2008,A250,Register!$L$9:$L$2008,"?*"))</f>
        <v/>
      </c>
      <c r="H250" s="10" t="str">
        <f aca="false">IF(A250="","",INDEX(Register!$H$9:$H$2008,MATCH(A250,Register!$A$9:$A$2008,0)))</f>
        <v/>
      </c>
      <c r="I250" s="10" t="str">
        <f aca="false">IF(A250="","",INDEX(Register!$I$9:$I$2008,MATCH(A250,Register!$A$9:$A$2008,0))&amp;"")</f>
        <v/>
      </c>
      <c r="J250" s="8"/>
    </row>
    <row r="251" customFormat="false" ht="15" hidden="false" customHeight="false" outlineLevel="0" collapsed="false">
      <c r="A251" s="10" t="str">
        <f aca="false">IFERROR(INDEX(Register!$A$9:$A$2008,MATCH(243,Register!$M$9:$M$2008,0)),"")</f>
        <v/>
      </c>
      <c r="B251" s="22" t="str">
        <f aca="false">IF(A251="","",INDEX(Register!$B$9:$B$2008,MATCH(A251,Register!$A$9:$A$2008,0)))</f>
        <v/>
      </c>
      <c r="C251" s="23" t="str">
        <f aca="false">IF(A251="","",SUMIFS(Register!$E$9:$E$2008,Register!$A$9:$A$2008,A251))</f>
        <v/>
      </c>
      <c r="D251" s="23" t="str">
        <f aca="false">IF(A251="","",SUMIFS(Register!$F$9:$F$2008,Register!$A$9:$A$2008,A251))</f>
        <v/>
      </c>
      <c r="E251" s="10" t="str">
        <f aca="false">IF(A251="","",IF(ABS(C251-D251)&lt;0.5,"Yes","No"))</f>
        <v/>
      </c>
      <c r="F251" s="21" t="str">
        <f aca="false">IF(A251="","",COUNTIF(Register!$A$9:$A$2008,A251))</f>
        <v/>
      </c>
      <c r="G251" s="21" t="str">
        <f aca="false">IF(A251="","",COUNTIFS(Register!$A$9:$A$2008,A251,Register!$L$9:$L$2008,"?*"))</f>
        <v/>
      </c>
      <c r="H251" s="10" t="str">
        <f aca="false">IF(A251="","",INDEX(Register!$H$9:$H$2008,MATCH(A251,Register!$A$9:$A$2008,0)))</f>
        <v/>
      </c>
      <c r="I251" s="10" t="str">
        <f aca="false">IF(A251="","",INDEX(Register!$I$9:$I$2008,MATCH(A251,Register!$A$9:$A$2008,0))&amp;"")</f>
        <v/>
      </c>
      <c r="J251" s="8"/>
    </row>
    <row r="252" customFormat="false" ht="15" hidden="false" customHeight="false" outlineLevel="0" collapsed="false">
      <c r="A252" s="10" t="str">
        <f aca="false">IFERROR(INDEX(Register!$A$9:$A$2008,MATCH(244,Register!$M$9:$M$2008,0)),"")</f>
        <v/>
      </c>
      <c r="B252" s="22" t="str">
        <f aca="false">IF(A252="","",INDEX(Register!$B$9:$B$2008,MATCH(A252,Register!$A$9:$A$2008,0)))</f>
        <v/>
      </c>
      <c r="C252" s="23" t="str">
        <f aca="false">IF(A252="","",SUMIFS(Register!$E$9:$E$2008,Register!$A$9:$A$2008,A252))</f>
        <v/>
      </c>
      <c r="D252" s="23" t="str">
        <f aca="false">IF(A252="","",SUMIFS(Register!$F$9:$F$2008,Register!$A$9:$A$2008,A252))</f>
        <v/>
      </c>
      <c r="E252" s="10" t="str">
        <f aca="false">IF(A252="","",IF(ABS(C252-D252)&lt;0.5,"Yes","No"))</f>
        <v/>
      </c>
      <c r="F252" s="21" t="str">
        <f aca="false">IF(A252="","",COUNTIF(Register!$A$9:$A$2008,A252))</f>
        <v/>
      </c>
      <c r="G252" s="21" t="str">
        <f aca="false">IF(A252="","",COUNTIFS(Register!$A$9:$A$2008,A252,Register!$L$9:$L$2008,"?*"))</f>
        <v/>
      </c>
      <c r="H252" s="10" t="str">
        <f aca="false">IF(A252="","",INDEX(Register!$H$9:$H$2008,MATCH(A252,Register!$A$9:$A$2008,0)))</f>
        <v/>
      </c>
      <c r="I252" s="10" t="str">
        <f aca="false">IF(A252="","",INDEX(Register!$I$9:$I$2008,MATCH(A252,Register!$A$9:$A$2008,0))&amp;"")</f>
        <v/>
      </c>
      <c r="J252" s="8"/>
    </row>
    <row r="253" customFormat="false" ht="15" hidden="false" customHeight="false" outlineLevel="0" collapsed="false">
      <c r="A253" s="10" t="str">
        <f aca="false">IFERROR(INDEX(Register!$A$9:$A$2008,MATCH(245,Register!$M$9:$M$2008,0)),"")</f>
        <v/>
      </c>
      <c r="B253" s="22" t="str">
        <f aca="false">IF(A253="","",INDEX(Register!$B$9:$B$2008,MATCH(A253,Register!$A$9:$A$2008,0)))</f>
        <v/>
      </c>
      <c r="C253" s="23" t="str">
        <f aca="false">IF(A253="","",SUMIFS(Register!$E$9:$E$2008,Register!$A$9:$A$2008,A253))</f>
        <v/>
      </c>
      <c r="D253" s="23" t="str">
        <f aca="false">IF(A253="","",SUMIFS(Register!$F$9:$F$2008,Register!$A$9:$A$2008,A253))</f>
        <v/>
      </c>
      <c r="E253" s="10" t="str">
        <f aca="false">IF(A253="","",IF(ABS(C253-D253)&lt;0.5,"Yes","No"))</f>
        <v/>
      </c>
      <c r="F253" s="21" t="str">
        <f aca="false">IF(A253="","",COUNTIF(Register!$A$9:$A$2008,A253))</f>
        <v/>
      </c>
      <c r="G253" s="21" t="str">
        <f aca="false">IF(A253="","",COUNTIFS(Register!$A$9:$A$2008,A253,Register!$L$9:$L$2008,"?*"))</f>
        <v/>
      </c>
      <c r="H253" s="10" t="str">
        <f aca="false">IF(A253="","",INDEX(Register!$H$9:$H$2008,MATCH(A253,Register!$A$9:$A$2008,0)))</f>
        <v/>
      </c>
      <c r="I253" s="10" t="str">
        <f aca="false">IF(A253="","",INDEX(Register!$I$9:$I$2008,MATCH(A253,Register!$A$9:$A$2008,0))&amp;"")</f>
        <v/>
      </c>
      <c r="J253" s="8"/>
    </row>
    <row r="254" customFormat="false" ht="15" hidden="false" customHeight="false" outlineLevel="0" collapsed="false">
      <c r="A254" s="10" t="str">
        <f aca="false">IFERROR(INDEX(Register!$A$9:$A$2008,MATCH(246,Register!$M$9:$M$2008,0)),"")</f>
        <v/>
      </c>
      <c r="B254" s="22" t="str">
        <f aca="false">IF(A254="","",INDEX(Register!$B$9:$B$2008,MATCH(A254,Register!$A$9:$A$2008,0)))</f>
        <v/>
      </c>
      <c r="C254" s="23" t="str">
        <f aca="false">IF(A254="","",SUMIFS(Register!$E$9:$E$2008,Register!$A$9:$A$2008,A254))</f>
        <v/>
      </c>
      <c r="D254" s="23" t="str">
        <f aca="false">IF(A254="","",SUMIFS(Register!$F$9:$F$2008,Register!$A$9:$A$2008,A254))</f>
        <v/>
      </c>
      <c r="E254" s="10" t="str">
        <f aca="false">IF(A254="","",IF(ABS(C254-D254)&lt;0.5,"Yes","No"))</f>
        <v/>
      </c>
      <c r="F254" s="21" t="str">
        <f aca="false">IF(A254="","",COUNTIF(Register!$A$9:$A$2008,A254))</f>
        <v/>
      </c>
      <c r="G254" s="21" t="str">
        <f aca="false">IF(A254="","",COUNTIFS(Register!$A$9:$A$2008,A254,Register!$L$9:$L$2008,"?*"))</f>
        <v/>
      </c>
      <c r="H254" s="10" t="str">
        <f aca="false">IF(A254="","",INDEX(Register!$H$9:$H$2008,MATCH(A254,Register!$A$9:$A$2008,0)))</f>
        <v/>
      </c>
      <c r="I254" s="10" t="str">
        <f aca="false">IF(A254="","",INDEX(Register!$I$9:$I$2008,MATCH(A254,Register!$A$9:$A$2008,0))&amp;"")</f>
        <v/>
      </c>
      <c r="J254" s="8"/>
    </row>
    <row r="255" customFormat="false" ht="15" hidden="false" customHeight="false" outlineLevel="0" collapsed="false">
      <c r="A255" s="10" t="str">
        <f aca="false">IFERROR(INDEX(Register!$A$9:$A$2008,MATCH(247,Register!$M$9:$M$2008,0)),"")</f>
        <v/>
      </c>
      <c r="B255" s="22" t="str">
        <f aca="false">IF(A255="","",INDEX(Register!$B$9:$B$2008,MATCH(A255,Register!$A$9:$A$2008,0)))</f>
        <v/>
      </c>
      <c r="C255" s="23" t="str">
        <f aca="false">IF(A255="","",SUMIFS(Register!$E$9:$E$2008,Register!$A$9:$A$2008,A255))</f>
        <v/>
      </c>
      <c r="D255" s="23" t="str">
        <f aca="false">IF(A255="","",SUMIFS(Register!$F$9:$F$2008,Register!$A$9:$A$2008,A255))</f>
        <v/>
      </c>
      <c r="E255" s="10" t="str">
        <f aca="false">IF(A255="","",IF(ABS(C255-D255)&lt;0.5,"Yes","No"))</f>
        <v/>
      </c>
      <c r="F255" s="21" t="str">
        <f aca="false">IF(A255="","",COUNTIF(Register!$A$9:$A$2008,A255))</f>
        <v/>
      </c>
      <c r="G255" s="21" t="str">
        <f aca="false">IF(A255="","",COUNTIFS(Register!$A$9:$A$2008,A255,Register!$L$9:$L$2008,"?*"))</f>
        <v/>
      </c>
      <c r="H255" s="10" t="str">
        <f aca="false">IF(A255="","",INDEX(Register!$H$9:$H$2008,MATCH(A255,Register!$A$9:$A$2008,0)))</f>
        <v/>
      </c>
      <c r="I255" s="10" t="str">
        <f aca="false">IF(A255="","",INDEX(Register!$I$9:$I$2008,MATCH(A255,Register!$A$9:$A$2008,0))&amp;"")</f>
        <v/>
      </c>
      <c r="J255" s="8"/>
    </row>
    <row r="256" customFormat="false" ht="15" hidden="false" customHeight="false" outlineLevel="0" collapsed="false">
      <c r="A256" s="10" t="str">
        <f aca="false">IFERROR(INDEX(Register!$A$9:$A$2008,MATCH(248,Register!$M$9:$M$2008,0)),"")</f>
        <v/>
      </c>
      <c r="B256" s="22" t="str">
        <f aca="false">IF(A256="","",INDEX(Register!$B$9:$B$2008,MATCH(A256,Register!$A$9:$A$2008,0)))</f>
        <v/>
      </c>
      <c r="C256" s="23" t="str">
        <f aca="false">IF(A256="","",SUMIFS(Register!$E$9:$E$2008,Register!$A$9:$A$2008,A256))</f>
        <v/>
      </c>
      <c r="D256" s="23" t="str">
        <f aca="false">IF(A256="","",SUMIFS(Register!$F$9:$F$2008,Register!$A$9:$A$2008,A256))</f>
        <v/>
      </c>
      <c r="E256" s="10" t="str">
        <f aca="false">IF(A256="","",IF(ABS(C256-D256)&lt;0.5,"Yes","No"))</f>
        <v/>
      </c>
      <c r="F256" s="21" t="str">
        <f aca="false">IF(A256="","",COUNTIF(Register!$A$9:$A$2008,A256))</f>
        <v/>
      </c>
      <c r="G256" s="21" t="str">
        <f aca="false">IF(A256="","",COUNTIFS(Register!$A$9:$A$2008,A256,Register!$L$9:$L$2008,"?*"))</f>
        <v/>
      </c>
      <c r="H256" s="10" t="str">
        <f aca="false">IF(A256="","",INDEX(Register!$H$9:$H$2008,MATCH(A256,Register!$A$9:$A$2008,0)))</f>
        <v/>
      </c>
      <c r="I256" s="10" t="str">
        <f aca="false">IF(A256="","",INDEX(Register!$I$9:$I$2008,MATCH(A256,Register!$A$9:$A$2008,0))&amp;"")</f>
        <v/>
      </c>
      <c r="J256" s="8"/>
    </row>
    <row r="257" customFormat="false" ht="15" hidden="false" customHeight="false" outlineLevel="0" collapsed="false">
      <c r="A257" s="10" t="str">
        <f aca="false">IFERROR(INDEX(Register!$A$9:$A$2008,MATCH(249,Register!$M$9:$M$2008,0)),"")</f>
        <v/>
      </c>
      <c r="B257" s="22" t="str">
        <f aca="false">IF(A257="","",INDEX(Register!$B$9:$B$2008,MATCH(A257,Register!$A$9:$A$2008,0)))</f>
        <v/>
      </c>
      <c r="C257" s="23" t="str">
        <f aca="false">IF(A257="","",SUMIFS(Register!$E$9:$E$2008,Register!$A$9:$A$2008,A257))</f>
        <v/>
      </c>
      <c r="D257" s="23" t="str">
        <f aca="false">IF(A257="","",SUMIFS(Register!$F$9:$F$2008,Register!$A$9:$A$2008,A257))</f>
        <v/>
      </c>
      <c r="E257" s="10" t="str">
        <f aca="false">IF(A257="","",IF(ABS(C257-D257)&lt;0.5,"Yes","No"))</f>
        <v/>
      </c>
      <c r="F257" s="21" t="str">
        <f aca="false">IF(A257="","",COUNTIF(Register!$A$9:$A$2008,A257))</f>
        <v/>
      </c>
      <c r="G257" s="21" t="str">
        <f aca="false">IF(A257="","",COUNTIFS(Register!$A$9:$A$2008,A257,Register!$L$9:$L$2008,"?*"))</f>
        <v/>
      </c>
      <c r="H257" s="10" t="str">
        <f aca="false">IF(A257="","",INDEX(Register!$H$9:$H$2008,MATCH(A257,Register!$A$9:$A$2008,0)))</f>
        <v/>
      </c>
      <c r="I257" s="10" t="str">
        <f aca="false">IF(A257="","",INDEX(Register!$I$9:$I$2008,MATCH(A257,Register!$A$9:$A$2008,0))&amp;"")</f>
        <v/>
      </c>
      <c r="J257" s="8"/>
    </row>
    <row r="258" customFormat="false" ht="15" hidden="false" customHeight="false" outlineLevel="0" collapsed="false">
      <c r="A258" s="10" t="str">
        <f aca="false">IFERROR(INDEX(Register!$A$9:$A$2008,MATCH(250,Register!$M$9:$M$2008,0)),"")</f>
        <v/>
      </c>
      <c r="B258" s="22" t="str">
        <f aca="false">IF(A258="","",INDEX(Register!$B$9:$B$2008,MATCH(A258,Register!$A$9:$A$2008,0)))</f>
        <v/>
      </c>
      <c r="C258" s="23" t="str">
        <f aca="false">IF(A258="","",SUMIFS(Register!$E$9:$E$2008,Register!$A$9:$A$2008,A258))</f>
        <v/>
      </c>
      <c r="D258" s="23" t="str">
        <f aca="false">IF(A258="","",SUMIFS(Register!$F$9:$F$2008,Register!$A$9:$A$2008,A258))</f>
        <v/>
      </c>
      <c r="E258" s="10" t="str">
        <f aca="false">IF(A258="","",IF(ABS(C258-D258)&lt;0.5,"Yes","No"))</f>
        <v/>
      </c>
      <c r="F258" s="21" t="str">
        <f aca="false">IF(A258="","",COUNTIF(Register!$A$9:$A$2008,A258))</f>
        <v/>
      </c>
      <c r="G258" s="21" t="str">
        <f aca="false">IF(A258="","",COUNTIFS(Register!$A$9:$A$2008,A258,Register!$L$9:$L$2008,"?*"))</f>
        <v/>
      </c>
      <c r="H258" s="10" t="str">
        <f aca="false">IF(A258="","",INDEX(Register!$H$9:$H$2008,MATCH(A258,Register!$A$9:$A$2008,0)))</f>
        <v/>
      </c>
      <c r="I258" s="10" t="str">
        <f aca="false">IF(A258="","",INDEX(Register!$I$9:$I$2008,MATCH(A258,Register!$A$9:$A$2008,0))&amp;"")</f>
        <v/>
      </c>
      <c r="J258" s="8"/>
    </row>
    <row r="259" customFormat="false" ht="15" hidden="false" customHeight="false" outlineLevel="0" collapsed="false">
      <c r="A259" s="10" t="str">
        <f aca="false">IFERROR(INDEX(Register!$A$9:$A$2008,MATCH(251,Register!$M$9:$M$2008,0)),"")</f>
        <v/>
      </c>
      <c r="B259" s="22" t="str">
        <f aca="false">IF(A259="","",INDEX(Register!$B$9:$B$2008,MATCH(A259,Register!$A$9:$A$2008,0)))</f>
        <v/>
      </c>
      <c r="C259" s="23" t="str">
        <f aca="false">IF(A259="","",SUMIFS(Register!$E$9:$E$2008,Register!$A$9:$A$2008,A259))</f>
        <v/>
      </c>
      <c r="D259" s="23" t="str">
        <f aca="false">IF(A259="","",SUMIFS(Register!$F$9:$F$2008,Register!$A$9:$A$2008,A259))</f>
        <v/>
      </c>
      <c r="E259" s="10" t="str">
        <f aca="false">IF(A259="","",IF(ABS(C259-D259)&lt;0.5,"Yes","No"))</f>
        <v/>
      </c>
      <c r="F259" s="21" t="str">
        <f aca="false">IF(A259="","",COUNTIF(Register!$A$9:$A$2008,A259))</f>
        <v/>
      </c>
      <c r="G259" s="21" t="str">
        <f aca="false">IF(A259="","",COUNTIFS(Register!$A$9:$A$2008,A259,Register!$L$9:$L$2008,"?*"))</f>
        <v/>
      </c>
      <c r="H259" s="10" t="str">
        <f aca="false">IF(A259="","",INDEX(Register!$H$9:$H$2008,MATCH(A259,Register!$A$9:$A$2008,0)))</f>
        <v/>
      </c>
      <c r="I259" s="10" t="str">
        <f aca="false">IF(A259="","",INDEX(Register!$I$9:$I$2008,MATCH(A259,Register!$A$9:$A$2008,0))&amp;"")</f>
        <v/>
      </c>
      <c r="J259" s="8"/>
    </row>
    <row r="260" customFormat="false" ht="15" hidden="false" customHeight="false" outlineLevel="0" collapsed="false">
      <c r="A260" s="10" t="str">
        <f aca="false">IFERROR(INDEX(Register!$A$9:$A$2008,MATCH(252,Register!$M$9:$M$2008,0)),"")</f>
        <v/>
      </c>
      <c r="B260" s="22" t="str">
        <f aca="false">IF(A260="","",INDEX(Register!$B$9:$B$2008,MATCH(A260,Register!$A$9:$A$2008,0)))</f>
        <v/>
      </c>
      <c r="C260" s="23" t="str">
        <f aca="false">IF(A260="","",SUMIFS(Register!$E$9:$E$2008,Register!$A$9:$A$2008,A260))</f>
        <v/>
      </c>
      <c r="D260" s="23" t="str">
        <f aca="false">IF(A260="","",SUMIFS(Register!$F$9:$F$2008,Register!$A$9:$A$2008,A260))</f>
        <v/>
      </c>
      <c r="E260" s="10" t="str">
        <f aca="false">IF(A260="","",IF(ABS(C260-D260)&lt;0.5,"Yes","No"))</f>
        <v/>
      </c>
      <c r="F260" s="21" t="str">
        <f aca="false">IF(A260="","",COUNTIF(Register!$A$9:$A$2008,A260))</f>
        <v/>
      </c>
      <c r="G260" s="21" t="str">
        <f aca="false">IF(A260="","",COUNTIFS(Register!$A$9:$A$2008,A260,Register!$L$9:$L$2008,"?*"))</f>
        <v/>
      </c>
      <c r="H260" s="10" t="str">
        <f aca="false">IF(A260="","",INDEX(Register!$H$9:$H$2008,MATCH(A260,Register!$A$9:$A$2008,0)))</f>
        <v/>
      </c>
      <c r="I260" s="10" t="str">
        <f aca="false">IF(A260="","",INDEX(Register!$I$9:$I$2008,MATCH(A260,Register!$A$9:$A$2008,0))&amp;"")</f>
        <v/>
      </c>
      <c r="J260" s="8"/>
    </row>
    <row r="261" customFormat="false" ht="15" hidden="false" customHeight="false" outlineLevel="0" collapsed="false">
      <c r="A261" s="10" t="str">
        <f aca="false">IFERROR(INDEX(Register!$A$9:$A$2008,MATCH(253,Register!$M$9:$M$2008,0)),"")</f>
        <v/>
      </c>
      <c r="B261" s="22" t="str">
        <f aca="false">IF(A261="","",INDEX(Register!$B$9:$B$2008,MATCH(A261,Register!$A$9:$A$2008,0)))</f>
        <v/>
      </c>
      <c r="C261" s="23" t="str">
        <f aca="false">IF(A261="","",SUMIFS(Register!$E$9:$E$2008,Register!$A$9:$A$2008,A261))</f>
        <v/>
      </c>
      <c r="D261" s="23" t="str">
        <f aca="false">IF(A261="","",SUMIFS(Register!$F$9:$F$2008,Register!$A$9:$A$2008,A261))</f>
        <v/>
      </c>
      <c r="E261" s="10" t="str">
        <f aca="false">IF(A261="","",IF(ABS(C261-D261)&lt;0.5,"Yes","No"))</f>
        <v/>
      </c>
      <c r="F261" s="21" t="str">
        <f aca="false">IF(A261="","",COUNTIF(Register!$A$9:$A$2008,A261))</f>
        <v/>
      </c>
      <c r="G261" s="21" t="str">
        <f aca="false">IF(A261="","",COUNTIFS(Register!$A$9:$A$2008,A261,Register!$L$9:$L$2008,"?*"))</f>
        <v/>
      </c>
      <c r="H261" s="10" t="str">
        <f aca="false">IF(A261="","",INDEX(Register!$H$9:$H$2008,MATCH(A261,Register!$A$9:$A$2008,0)))</f>
        <v/>
      </c>
      <c r="I261" s="10" t="str">
        <f aca="false">IF(A261="","",INDEX(Register!$I$9:$I$2008,MATCH(A261,Register!$A$9:$A$2008,0))&amp;"")</f>
        <v/>
      </c>
      <c r="J261" s="8"/>
    </row>
    <row r="262" customFormat="false" ht="15" hidden="false" customHeight="false" outlineLevel="0" collapsed="false">
      <c r="A262" s="10" t="str">
        <f aca="false">IFERROR(INDEX(Register!$A$9:$A$2008,MATCH(254,Register!$M$9:$M$2008,0)),"")</f>
        <v/>
      </c>
      <c r="B262" s="22" t="str">
        <f aca="false">IF(A262="","",INDEX(Register!$B$9:$B$2008,MATCH(A262,Register!$A$9:$A$2008,0)))</f>
        <v/>
      </c>
      <c r="C262" s="23" t="str">
        <f aca="false">IF(A262="","",SUMIFS(Register!$E$9:$E$2008,Register!$A$9:$A$2008,A262))</f>
        <v/>
      </c>
      <c r="D262" s="23" t="str">
        <f aca="false">IF(A262="","",SUMIFS(Register!$F$9:$F$2008,Register!$A$9:$A$2008,A262))</f>
        <v/>
      </c>
      <c r="E262" s="10" t="str">
        <f aca="false">IF(A262="","",IF(ABS(C262-D262)&lt;0.5,"Yes","No"))</f>
        <v/>
      </c>
      <c r="F262" s="21" t="str">
        <f aca="false">IF(A262="","",COUNTIF(Register!$A$9:$A$2008,A262))</f>
        <v/>
      </c>
      <c r="G262" s="21" t="str">
        <f aca="false">IF(A262="","",COUNTIFS(Register!$A$9:$A$2008,A262,Register!$L$9:$L$2008,"?*"))</f>
        <v/>
      </c>
      <c r="H262" s="10" t="str">
        <f aca="false">IF(A262="","",INDEX(Register!$H$9:$H$2008,MATCH(A262,Register!$A$9:$A$2008,0)))</f>
        <v/>
      </c>
      <c r="I262" s="10" t="str">
        <f aca="false">IF(A262="","",INDEX(Register!$I$9:$I$2008,MATCH(A262,Register!$A$9:$A$2008,0))&amp;"")</f>
        <v/>
      </c>
      <c r="J262" s="8"/>
    </row>
    <row r="263" customFormat="false" ht="15" hidden="false" customHeight="false" outlineLevel="0" collapsed="false">
      <c r="A263" s="10" t="str">
        <f aca="false">IFERROR(INDEX(Register!$A$9:$A$2008,MATCH(255,Register!$M$9:$M$2008,0)),"")</f>
        <v/>
      </c>
      <c r="B263" s="22" t="str">
        <f aca="false">IF(A263="","",INDEX(Register!$B$9:$B$2008,MATCH(A263,Register!$A$9:$A$2008,0)))</f>
        <v/>
      </c>
      <c r="C263" s="23" t="str">
        <f aca="false">IF(A263="","",SUMIFS(Register!$E$9:$E$2008,Register!$A$9:$A$2008,A263))</f>
        <v/>
      </c>
      <c r="D263" s="23" t="str">
        <f aca="false">IF(A263="","",SUMIFS(Register!$F$9:$F$2008,Register!$A$9:$A$2008,A263))</f>
        <v/>
      </c>
      <c r="E263" s="10" t="str">
        <f aca="false">IF(A263="","",IF(ABS(C263-D263)&lt;0.5,"Yes","No"))</f>
        <v/>
      </c>
      <c r="F263" s="21" t="str">
        <f aca="false">IF(A263="","",COUNTIF(Register!$A$9:$A$2008,A263))</f>
        <v/>
      </c>
      <c r="G263" s="21" t="str">
        <f aca="false">IF(A263="","",COUNTIFS(Register!$A$9:$A$2008,A263,Register!$L$9:$L$2008,"?*"))</f>
        <v/>
      </c>
      <c r="H263" s="10" t="str">
        <f aca="false">IF(A263="","",INDEX(Register!$H$9:$H$2008,MATCH(A263,Register!$A$9:$A$2008,0)))</f>
        <v/>
      </c>
      <c r="I263" s="10" t="str">
        <f aca="false">IF(A263="","",INDEX(Register!$I$9:$I$2008,MATCH(A263,Register!$A$9:$A$2008,0))&amp;"")</f>
        <v/>
      </c>
      <c r="J263" s="8"/>
    </row>
    <row r="264" customFormat="false" ht="15" hidden="false" customHeight="false" outlineLevel="0" collapsed="false">
      <c r="A264" s="10" t="str">
        <f aca="false">IFERROR(INDEX(Register!$A$9:$A$2008,MATCH(256,Register!$M$9:$M$2008,0)),"")</f>
        <v/>
      </c>
      <c r="B264" s="22" t="str">
        <f aca="false">IF(A264="","",INDEX(Register!$B$9:$B$2008,MATCH(A264,Register!$A$9:$A$2008,0)))</f>
        <v/>
      </c>
      <c r="C264" s="23" t="str">
        <f aca="false">IF(A264="","",SUMIFS(Register!$E$9:$E$2008,Register!$A$9:$A$2008,A264))</f>
        <v/>
      </c>
      <c r="D264" s="23" t="str">
        <f aca="false">IF(A264="","",SUMIFS(Register!$F$9:$F$2008,Register!$A$9:$A$2008,A264))</f>
        <v/>
      </c>
      <c r="E264" s="10" t="str">
        <f aca="false">IF(A264="","",IF(ABS(C264-D264)&lt;0.5,"Yes","No"))</f>
        <v/>
      </c>
      <c r="F264" s="21" t="str">
        <f aca="false">IF(A264="","",COUNTIF(Register!$A$9:$A$2008,A264))</f>
        <v/>
      </c>
      <c r="G264" s="21" t="str">
        <f aca="false">IF(A264="","",COUNTIFS(Register!$A$9:$A$2008,A264,Register!$L$9:$L$2008,"?*"))</f>
        <v/>
      </c>
      <c r="H264" s="10" t="str">
        <f aca="false">IF(A264="","",INDEX(Register!$H$9:$H$2008,MATCH(A264,Register!$A$9:$A$2008,0)))</f>
        <v/>
      </c>
      <c r="I264" s="10" t="str">
        <f aca="false">IF(A264="","",INDEX(Register!$I$9:$I$2008,MATCH(A264,Register!$A$9:$A$2008,0))&amp;"")</f>
        <v/>
      </c>
      <c r="J264" s="8"/>
    </row>
    <row r="265" customFormat="false" ht="15" hidden="false" customHeight="false" outlineLevel="0" collapsed="false">
      <c r="A265" s="10" t="str">
        <f aca="false">IFERROR(INDEX(Register!$A$9:$A$2008,MATCH(257,Register!$M$9:$M$2008,0)),"")</f>
        <v/>
      </c>
      <c r="B265" s="22" t="str">
        <f aca="false">IF(A265="","",INDEX(Register!$B$9:$B$2008,MATCH(A265,Register!$A$9:$A$2008,0)))</f>
        <v/>
      </c>
      <c r="C265" s="23" t="str">
        <f aca="false">IF(A265="","",SUMIFS(Register!$E$9:$E$2008,Register!$A$9:$A$2008,A265))</f>
        <v/>
      </c>
      <c r="D265" s="23" t="str">
        <f aca="false">IF(A265="","",SUMIFS(Register!$F$9:$F$2008,Register!$A$9:$A$2008,A265))</f>
        <v/>
      </c>
      <c r="E265" s="10" t="str">
        <f aca="false">IF(A265="","",IF(ABS(C265-D265)&lt;0.5,"Yes","No"))</f>
        <v/>
      </c>
      <c r="F265" s="21" t="str">
        <f aca="false">IF(A265="","",COUNTIF(Register!$A$9:$A$2008,A265))</f>
        <v/>
      </c>
      <c r="G265" s="21" t="str">
        <f aca="false">IF(A265="","",COUNTIFS(Register!$A$9:$A$2008,A265,Register!$L$9:$L$2008,"?*"))</f>
        <v/>
      </c>
      <c r="H265" s="10" t="str">
        <f aca="false">IF(A265="","",INDEX(Register!$H$9:$H$2008,MATCH(A265,Register!$A$9:$A$2008,0)))</f>
        <v/>
      </c>
      <c r="I265" s="10" t="str">
        <f aca="false">IF(A265="","",INDEX(Register!$I$9:$I$2008,MATCH(A265,Register!$A$9:$A$2008,0))&amp;"")</f>
        <v/>
      </c>
      <c r="J265" s="8"/>
    </row>
    <row r="266" customFormat="false" ht="15" hidden="false" customHeight="false" outlineLevel="0" collapsed="false">
      <c r="A266" s="10" t="str">
        <f aca="false">IFERROR(INDEX(Register!$A$9:$A$2008,MATCH(258,Register!$M$9:$M$2008,0)),"")</f>
        <v/>
      </c>
      <c r="B266" s="22" t="str">
        <f aca="false">IF(A266="","",INDEX(Register!$B$9:$B$2008,MATCH(A266,Register!$A$9:$A$2008,0)))</f>
        <v/>
      </c>
      <c r="C266" s="23" t="str">
        <f aca="false">IF(A266="","",SUMIFS(Register!$E$9:$E$2008,Register!$A$9:$A$2008,A266))</f>
        <v/>
      </c>
      <c r="D266" s="23" t="str">
        <f aca="false">IF(A266="","",SUMIFS(Register!$F$9:$F$2008,Register!$A$9:$A$2008,A266))</f>
        <v/>
      </c>
      <c r="E266" s="10" t="str">
        <f aca="false">IF(A266="","",IF(ABS(C266-D266)&lt;0.5,"Yes","No"))</f>
        <v/>
      </c>
      <c r="F266" s="21" t="str">
        <f aca="false">IF(A266="","",COUNTIF(Register!$A$9:$A$2008,A266))</f>
        <v/>
      </c>
      <c r="G266" s="21" t="str">
        <f aca="false">IF(A266="","",COUNTIFS(Register!$A$9:$A$2008,A266,Register!$L$9:$L$2008,"?*"))</f>
        <v/>
      </c>
      <c r="H266" s="10" t="str">
        <f aca="false">IF(A266="","",INDEX(Register!$H$9:$H$2008,MATCH(A266,Register!$A$9:$A$2008,0)))</f>
        <v/>
      </c>
      <c r="I266" s="10" t="str">
        <f aca="false">IF(A266="","",INDEX(Register!$I$9:$I$2008,MATCH(A266,Register!$A$9:$A$2008,0))&amp;"")</f>
        <v/>
      </c>
      <c r="J266" s="8"/>
    </row>
    <row r="267" customFormat="false" ht="15" hidden="false" customHeight="false" outlineLevel="0" collapsed="false">
      <c r="A267" s="10" t="str">
        <f aca="false">IFERROR(INDEX(Register!$A$9:$A$2008,MATCH(259,Register!$M$9:$M$2008,0)),"")</f>
        <v/>
      </c>
      <c r="B267" s="22" t="str">
        <f aca="false">IF(A267="","",INDEX(Register!$B$9:$B$2008,MATCH(A267,Register!$A$9:$A$2008,0)))</f>
        <v/>
      </c>
      <c r="C267" s="23" t="str">
        <f aca="false">IF(A267="","",SUMIFS(Register!$E$9:$E$2008,Register!$A$9:$A$2008,A267))</f>
        <v/>
      </c>
      <c r="D267" s="23" t="str">
        <f aca="false">IF(A267="","",SUMIFS(Register!$F$9:$F$2008,Register!$A$9:$A$2008,A267))</f>
        <v/>
      </c>
      <c r="E267" s="10" t="str">
        <f aca="false">IF(A267="","",IF(ABS(C267-D267)&lt;0.5,"Yes","No"))</f>
        <v/>
      </c>
      <c r="F267" s="21" t="str">
        <f aca="false">IF(A267="","",COUNTIF(Register!$A$9:$A$2008,A267))</f>
        <v/>
      </c>
      <c r="G267" s="21" t="str">
        <f aca="false">IF(A267="","",COUNTIFS(Register!$A$9:$A$2008,A267,Register!$L$9:$L$2008,"?*"))</f>
        <v/>
      </c>
      <c r="H267" s="10" t="str">
        <f aca="false">IF(A267="","",INDEX(Register!$H$9:$H$2008,MATCH(A267,Register!$A$9:$A$2008,0)))</f>
        <v/>
      </c>
      <c r="I267" s="10" t="str">
        <f aca="false">IF(A267="","",INDEX(Register!$I$9:$I$2008,MATCH(A267,Register!$A$9:$A$2008,0))&amp;"")</f>
        <v/>
      </c>
      <c r="J267" s="8"/>
    </row>
    <row r="268" customFormat="false" ht="15" hidden="false" customHeight="false" outlineLevel="0" collapsed="false">
      <c r="A268" s="10" t="str">
        <f aca="false">IFERROR(INDEX(Register!$A$9:$A$2008,MATCH(260,Register!$M$9:$M$2008,0)),"")</f>
        <v/>
      </c>
      <c r="B268" s="22" t="str">
        <f aca="false">IF(A268="","",INDEX(Register!$B$9:$B$2008,MATCH(A268,Register!$A$9:$A$2008,0)))</f>
        <v/>
      </c>
      <c r="C268" s="23" t="str">
        <f aca="false">IF(A268="","",SUMIFS(Register!$E$9:$E$2008,Register!$A$9:$A$2008,A268))</f>
        <v/>
      </c>
      <c r="D268" s="23" t="str">
        <f aca="false">IF(A268="","",SUMIFS(Register!$F$9:$F$2008,Register!$A$9:$A$2008,A268))</f>
        <v/>
      </c>
      <c r="E268" s="10" t="str">
        <f aca="false">IF(A268="","",IF(ABS(C268-D268)&lt;0.5,"Yes","No"))</f>
        <v/>
      </c>
      <c r="F268" s="21" t="str">
        <f aca="false">IF(A268="","",COUNTIF(Register!$A$9:$A$2008,A268))</f>
        <v/>
      </c>
      <c r="G268" s="21" t="str">
        <f aca="false">IF(A268="","",COUNTIFS(Register!$A$9:$A$2008,A268,Register!$L$9:$L$2008,"?*"))</f>
        <v/>
      </c>
      <c r="H268" s="10" t="str">
        <f aca="false">IF(A268="","",INDEX(Register!$H$9:$H$2008,MATCH(A268,Register!$A$9:$A$2008,0)))</f>
        <v/>
      </c>
      <c r="I268" s="10" t="str">
        <f aca="false">IF(A268="","",INDEX(Register!$I$9:$I$2008,MATCH(A268,Register!$A$9:$A$2008,0))&amp;"")</f>
        <v/>
      </c>
      <c r="J268" s="8"/>
    </row>
    <row r="269" customFormat="false" ht="15" hidden="false" customHeight="false" outlineLevel="0" collapsed="false">
      <c r="A269" s="10" t="str">
        <f aca="false">IFERROR(INDEX(Register!$A$9:$A$2008,MATCH(261,Register!$M$9:$M$2008,0)),"")</f>
        <v/>
      </c>
      <c r="B269" s="22" t="str">
        <f aca="false">IF(A269="","",INDEX(Register!$B$9:$B$2008,MATCH(A269,Register!$A$9:$A$2008,0)))</f>
        <v/>
      </c>
      <c r="C269" s="23" t="str">
        <f aca="false">IF(A269="","",SUMIFS(Register!$E$9:$E$2008,Register!$A$9:$A$2008,A269))</f>
        <v/>
      </c>
      <c r="D269" s="23" t="str">
        <f aca="false">IF(A269="","",SUMIFS(Register!$F$9:$F$2008,Register!$A$9:$A$2008,A269))</f>
        <v/>
      </c>
      <c r="E269" s="10" t="str">
        <f aca="false">IF(A269="","",IF(ABS(C269-D269)&lt;0.5,"Yes","No"))</f>
        <v/>
      </c>
      <c r="F269" s="21" t="str">
        <f aca="false">IF(A269="","",COUNTIF(Register!$A$9:$A$2008,A269))</f>
        <v/>
      </c>
      <c r="G269" s="21" t="str">
        <f aca="false">IF(A269="","",COUNTIFS(Register!$A$9:$A$2008,A269,Register!$L$9:$L$2008,"?*"))</f>
        <v/>
      </c>
      <c r="H269" s="10" t="str">
        <f aca="false">IF(A269="","",INDEX(Register!$H$9:$H$2008,MATCH(A269,Register!$A$9:$A$2008,0)))</f>
        <v/>
      </c>
      <c r="I269" s="10" t="str">
        <f aca="false">IF(A269="","",INDEX(Register!$I$9:$I$2008,MATCH(A269,Register!$A$9:$A$2008,0))&amp;"")</f>
        <v/>
      </c>
      <c r="J269" s="8"/>
    </row>
    <row r="270" customFormat="false" ht="15" hidden="false" customHeight="false" outlineLevel="0" collapsed="false">
      <c r="A270" s="10" t="str">
        <f aca="false">IFERROR(INDEX(Register!$A$9:$A$2008,MATCH(262,Register!$M$9:$M$2008,0)),"")</f>
        <v/>
      </c>
      <c r="B270" s="22" t="str">
        <f aca="false">IF(A270="","",INDEX(Register!$B$9:$B$2008,MATCH(A270,Register!$A$9:$A$2008,0)))</f>
        <v/>
      </c>
      <c r="C270" s="23" t="str">
        <f aca="false">IF(A270="","",SUMIFS(Register!$E$9:$E$2008,Register!$A$9:$A$2008,A270))</f>
        <v/>
      </c>
      <c r="D270" s="23" t="str">
        <f aca="false">IF(A270="","",SUMIFS(Register!$F$9:$F$2008,Register!$A$9:$A$2008,A270))</f>
        <v/>
      </c>
      <c r="E270" s="10" t="str">
        <f aca="false">IF(A270="","",IF(ABS(C270-D270)&lt;0.5,"Yes","No"))</f>
        <v/>
      </c>
      <c r="F270" s="21" t="str">
        <f aca="false">IF(A270="","",COUNTIF(Register!$A$9:$A$2008,A270))</f>
        <v/>
      </c>
      <c r="G270" s="21" t="str">
        <f aca="false">IF(A270="","",COUNTIFS(Register!$A$9:$A$2008,A270,Register!$L$9:$L$2008,"?*"))</f>
        <v/>
      </c>
      <c r="H270" s="10" t="str">
        <f aca="false">IF(A270="","",INDEX(Register!$H$9:$H$2008,MATCH(A270,Register!$A$9:$A$2008,0)))</f>
        <v/>
      </c>
      <c r="I270" s="10" t="str">
        <f aca="false">IF(A270="","",INDEX(Register!$I$9:$I$2008,MATCH(A270,Register!$A$9:$A$2008,0))&amp;"")</f>
        <v/>
      </c>
      <c r="J270" s="8"/>
    </row>
    <row r="271" customFormat="false" ht="15" hidden="false" customHeight="false" outlineLevel="0" collapsed="false">
      <c r="A271" s="10" t="str">
        <f aca="false">IFERROR(INDEX(Register!$A$9:$A$2008,MATCH(263,Register!$M$9:$M$2008,0)),"")</f>
        <v/>
      </c>
      <c r="B271" s="22" t="str">
        <f aca="false">IF(A271="","",INDEX(Register!$B$9:$B$2008,MATCH(A271,Register!$A$9:$A$2008,0)))</f>
        <v/>
      </c>
      <c r="C271" s="23" t="str">
        <f aca="false">IF(A271="","",SUMIFS(Register!$E$9:$E$2008,Register!$A$9:$A$2008,A271))</f>
        <v/>
      </c>
      <c r="D271" s="23" t="str">
        <f aca="false">IF(A271="","",SUMIFS(Register!$F$9:$F$2008,Register!$A$9:$A$2008,A271))</f>
        <v/>
      </c>
      <c r="E271" s="10" t="str">
        <f aca="false">IF(A271="","",IF(ABS(C271-D271)&lt;0.5,"Yes","No"))</f>
        <v/>
      </c>
      <c r="F271" s="21" t="str">
        <f aca="false">IF(A271="","",COUNTIF(Register!$A$9:$A$2008,A271))</f>
        <v/>
      </c>
      <c r="G271" s="21" t="str">
        <f aca="false">IF(A271="","",COUNTIFS(Register!$A$9:$A$2008,A271,Register!$L$9:$L$2008,"?*"))</f>
        <v/>
      </c>
      <c r="H271" s="10" t="str">
        <f aca="false">IF(A271="","",INDEX(Register!$H$9:$H$2008,MATCH(A271,Register!$A$9:$A$2008,0)))</f>
        <v/>
      </c>
      <c r="I271" s="10" t="str">
        <f aca="false">IF(A271="","",INDEX(Register!$I$9:$I$2008,MATCH(A271,Register!$A$9:$A$2008,0))&amp;"")</f>
        <v/>
      </c>
      <c r="J271" s="8"/>
    </row>
    <row r="272" customFormat="false" ht="15" hidden="false" customHeight="false" outlineLevel="0" collapsed="false">
      <c r="A272" s="10" t="str">
        <f aca="false">IFERROR(INDEX(Register!$A$9:$A$2008,MATCH(264,Register!$M$9:$M$2008,0)),"")</f>
        <v/>
      </c>
      <c r="B272" s="22" t="str">
        <f aca="false">IF(A272="","",INDEX(Register!$B$9:$B$2008,MATCH(A272,Register!$A$9:$A$2008,0)))</f>
        <v/>
      </c>
      <c r="C272" s="23" t="str">
        <f aca="false">IF(A272="","",SUMIFS(Register!$E$9:$E$2008,Register!$A$9:$A$2008,A272))</f>
        <v/>
      </c>
      <c r="D272" s="23" t="str">
        <f aca="false">IF(A272="","",SUMIFS(Register!$F$9:$F$2008,Register!$A$9:$A$2008,A272))</f>
        <v/>
      </c>
      <c r="E272" s="10" t="str">
        <f aca="false">IF(A272="","",IF(ABS(C272-D272)&lt;0.5,"Yes","No"))</f>
        <v/>
      </c>
      <c r="F272" s="21" t="str">
        <f aca="false">IF(A272="","",COUNTIF(Register!$A$9:$A$2008,A272))</f>
        <v/>
      </c>
      <c r="G272" s="21" t="str">
        <f aca="false">IF(A272="","",COUNTIFS(Register!$A$9:$A$2008,A272,Register!$L$9:$L$2008,"?*"))</f>
        <v/>
      </c>
      <c r="H272" s="10" t="str">
        <f aca="false">IF(A272="","",INDEX(Register!$H$9:$H$2008,MATCH(A272,Register!$A$9:$A$2008,0)))</f>
        <v/>
      </c>
      <c r="I272" s="10" t="str">
        <f aca="false">IF(A272="","",INDEX(Register!$I$9:$I$2008,MATCH(A272,Register!$A$9:$A$2008,0))&amp;"")</f>
        <v/>
      </c>
      <c r="J272" s="8"/>
    </row>
    <row r="273" customFormat="false" ht="15" hidden="false" customHeight="false" outlineLevel="0" collapsed="false">
      <c r="A273" s="10" t="str">
        <f aca="false">IFERROR(INDEX(Register!$A$9:$A$2008,MATCH(265,Register!$M$9:$M$2008,0)),"")</f>
        <v/>
      </c>
      <c r="B273" s="22" t="str">
        <f aca="false">IF(A273="","",INDEX(Register!$B$9:$B$2008,MATCH(A273,Register!$A$9:$A$2008,0)))</f>
        <v/>
      </c>
      <c r="C273" s="23" t="str">
        <f aca="false">IF(A273="","",SUMIFS(Register!$E$9:$E$2008,Register!$A$9:$A$2008,A273))</f>
        <v/>
      </c>
      <c r="D273" s="23" t="str">
        <f aca="false">IF(A273="","",SUMIFS(Register!$F$9:$F$2008,Register!$A$9:$A$2008,A273))</f>
        <v/>
      </c>
      <c r="E273" s="10" t="str">
        <f aca="false">IF(A273="","",IF(ABS(C273-D273)&lt;0.5,"Yes","No"))</f>
        <v/>
      </c>
      <c r="F273" s="21" t="str">
        <f aca="false">IF(A273="","",COUNTIF(Register!$A$9:$A$2008,A273))</f>
        <v/>
      </c>
      <c r="G273" s="21" t="str">
        <f aca="false">IF(A273="","",COUNTIFS(Register!$A$9:$A$2008,A273,Register!$L$9:$L$2008,"?*"))</f>
        <v/>
      </c>
      <c r="H273" s="10" t="str">
        <f aca="false">IF(A273="","",INDEX(Register!$H$9:$H$2008,MATCH(A273,Register!$A$9:$A$2008,0)))</f>
        <v/>
      </c>
      <c r="I273" s="10" t="str">
        <f aca="false">IF(A273="","",INDEX(Register!$I$9:$I$2008,MATCH(A273,Register!$A$9:$A$2008,0))&amp;"")</f>
        <v/>
      </c>
      <c r="J273" s="8"/>
    </row>
    <row r="274" customFormat="false" ht="15" hidden="false" customHeight="false" outlineLevel="0" collapsed="false">
      <c r="A274" s="10" t="str">
        <f aca="false">IFERROR(INDEX(Register!$A$9:$A$2008,MATCH(266,Register!$M$9:$M$2008,0)),"")</f>
        <v/>
      </c>
      <c r="B274" s="22" t="str">
        <f aca="false">IF(A274="","",INDEX(Register!$B$9:$B$2008,MATCH(A274,Register!$A$9:$A$2008,0)))</f>
        <v/>
      </c>
      <c r="C274" s="23" t="str">
        <f aca="false">IF(A274="","",SUMIFS(Register!$E$9:$E$2008,Register!$A$9:$A$2008,A274))</f>
        <v/>
      </c>
      <c r="D274" s="23" t="str">
        <f aca="false">IF(A274="","",SUMIFS(Register!$F$9:$F$2008,Register!$A$9:$A$2008,A274))</f>
        <v/>
      </c>
      <c r="E274" s="10" t="str">
        <f aca="false">IF(A274="","",IF(ABS(C274-D274)&lt;0.5,"Yes","No"))</f>
        <v/>
      </c>
      <c r="F274" s="21" t="str">
        <f aca="false">IF(A274="","",COUNTIF(Register!$A$9:$A$2008,A274))</f>
        <v/>
      </c>
      <c r="G274" s="21" t="str">
        <f aca="false">IF(A274="","",COUNTIFS(Register!$A$9:$A$2008,A274,Register!$L$9:$L$2008,"?*"))</f>
        <v/>
      </c>
      <c r="H274" s="10" t="str">
        <f aca="false">IF(A274="","",INDEX(Register!$H$9:$H$2008,MATCH(A274,Register!$A$9:$A$2008,0)))</f>
        <v/>
      </c>
      <c r="I274" s="10" t="str">
        <f aca="false">IF(A274="","",INDEX(Register!$I$9:$I$2008,MATCH(A274,Register!$A$9:$A$2008,0))&amp;"")</f>
        <v/>
      </c>
      <c r="J274" s="8"/>
    </row>
    <row r="275" customFormat="false" ht="15" hidden="false" customHeight="false" outlineLevel="0" collapsed="false">
      <c r="A275" s="10" t="str">
        <f aca="false">IFERROR(INDEX(Register!$A$9:$A$2008,MATCH(267,Register!$M$9:$M$2008,0)),"")</f>
        <v/>
      </c>
      <c r="B275" s="22" t="str">
        <f aca="false">IF(A275="","",INDEX(Register!$B$9:$B$2008,MATCH(A275,Register!$A$9:$A$2008,0)))</f>
        <v/>
      </c>
      <c r="C275" s="23" t="str">
        <f aca="false">IF(A275="","",SUMIFS(Register!$E$9:$E$2008,Register!$A$9:$A$2008,A275))</f>
        <v/>
      </c>
      <c r="D275" s="23" t="str">
        <f aca="false">IF(A275="","",SUMIFS(Register!$F$9:$F$2008,Register!$A$9:$A$2008,A275))</f>
        <v/>
      </c>
      <c r="E275" s="10" t="str">
        <f aca="false">IF(A275="","",IF(ABS(C275-D275)&lt;0.5,"Yes","No"))</f>
        <v/>
      </c>
      <c r="F275" s="21" t="str">
        <f aca="false">IF(A275="","",COUNTIF(Register!$A$9:$A$2008,A275))</f>
        <v/>
      </c>
      <c r="G275" s="21" t="str">
        <f aca="false">IF(A275="","",COUNTIFS(Register!$A$9:$A$2008,A275,Register!$L$9:$L$2008,"?*"))</f>
        <v/>
      </c>
      <c r="H275" s="10" t="str">
        <f aca="false">IF(A275="","",INDEX(Register!$H$9:$H$2008,MATCH(A275,Register!$A$9:$A$2008,0)))</f>
        <v/>
      </c>
      <c r="I275" s="10" t="str">
        <f aca="false">IF(A275="","",INDEX(Register!$I$9:$I$2008,MATCH(A275,Register!$A$9:$A$2008,0))&amp;"")</f>
        <v/>
      </c>
      <c r="J275" s="8"/>
    </row>
    <row r="276" customFormat="false" ht="15" hidden="false" customHeight="false" outlineLevel="0" collapsed="false">
      <c r="A276" s="10" t="str">
        <f aca="false">IFERROR(INDEX(Register!$A$9:$A$2008,MATCH(268,Register!$M$9:$M$2008,0)),"")</f>
        <v/>
      </c>
      <c r="B276" s="22" t="str">
        <f aca="false">IF(A276="","",INDEX(Register!$B$9:$B$2008,MATCH(A276,Register!$A$9:$A$2008,0)))</f>
        <v/>
      </c>
      <c r="C276" s="23" t="str">
        <f aca="false">IF(A276="","",SUMIFS(Register!$E$9:$E$2008,Register!$A$9:$A$2008,A276))</f>
        <v/>
      </c>
      <c r="D276" s="23" t="str">
        <f aca="false">IF(A276="","",SUMIFS(Register!$F$9:$F$2008,Register!$A$9:$A$2008,A276))</f>
        <v/>
      </c>
      <c r="E276" s="10" t="str">
        <f aca="false">IF(A276="","",IF(ABS(C276-D276)&lt;0.5,"Yes","No"))</f>
        <v/>
      </c>
      <c r="F276" s="21" t="str">
        <f aca="false">IF(A276="","",COUNTIF(Register!$A$9:$A$2008,A276))</f>
        <v/>
      </c>
      <c r="G276" s="21" t="str">
        <f aca="false">IF(A276="","",COUNTIFS(Register!$A$9:$A$2008,A276,Register!$L$9:$L$2008,"?*"))</f>
        <v/>
      </c>
      <c r="H276" s="10" t="str">
        <f aca="false">IF(A276="","",INDEX(Register!$H$9:$H$2008,MATCH(A276,Register!$A$9:$A$2008,0)))</f>
        <v/>
      </c>
      <c r="I276" s="10" t="str">
        <f aca="false">IF(A276="","",INDEX(Register!$I$9:$I$2008,MATCH(A276,Register!$A$9:$A$2008,0))&amp;"")</f>
        <v/>
      </c>
      <c r="J276" s="8"/>
    </row>
    <row r="277" customFormat="false" ht="15" hidden="false" customHeight="false" outlineLevel="0" collapsed="false">
      <c r="A277" s="10" t="str">
        <f aca="false">IFERROR(INDEX(Register!$A$9:$A$2008,MATCH(269,Register!$M$9:$M$2008,0)),"")</f>
        <v/>
      </c>
      <c r="B277" s="22" t="str">
        <f aca="false">IF(A277="","",INDEX(Register!$B$9:$B$2008,MATCH(A277,Register!$A$9:$A$2008,0)))</f>
        <v/>
      </c>
      <c r="C277" s="23" t="str">
        <f aca="false">IF(A277="","",SUMIFS(Register!$E$9:$E$2008,Register!$A$9:$A$2008,A277))</f>
        <v/>
      </c>
      <c r="D277" s="23" t="str">
        <f aca="false">IF(A277="","",SUMIFS(Register!$F$9:$F$2008,Register!$A$9:$A$2008,A277))</f>
        <v/>
      </c>
      <c r="E277" s="10" t="str">
        <f aca="false">IF(A277="","",IF(ABS(C277-D277)&lt;0.5,"Yes","No"))</f>
        <v/>
      </c>
      <c r="F277" s="21" t="str">
        <f aca="false">IF(A277="","",COUNTIF(Register!$A$9:$A$2008,A277))</f>
        <v/>
      </c>
      <c r="G277" s="21" t="str">
        <f aca="false">IF(A277="","",COUNTIFS(Register!$A$9:$A$2008,A277,Register!$L$9:$L$2008,"?*"))</f>
        <v/>
      </c>
      <c r="H277" s="10" t="str">
        <f aca="false">IF(A277="","",INDEX(Register!$H$9:$H$2008,MATCH(A277,Register!$A$9:$A$2008,0)))</f>
        <v/>
      </c>
      <c r="I277" s="10" t="str">
        <f aca="false">IF(A277="","",INDEX(Register!$I$9:$I$2008,MATCH(A277,Register!$A$9:$A$2008,0))&amp;"")</f>
        <v/>
      </c>
      <c r="J277" s="8"/>
    </row>
    <row r="278" customFormat="false" ht="15" hidden="false" customHeight="false" outlineLevel="0" collapsed="false">
      <c r="A278" s="10" t="str">
        <f aca="false">IFERROR(INDEX(Register!$A$9:$A$2008,MATCH(270,Register!$M$9:$M$2008,0)),"")</f>
        <v/>
      </c>
      <c r="B278" s="22" t="str">
        <f aca="false">IF(A278="","",INDEX(Register!$B$9:$B$2008,MATCH(A278,Register!$A$9:$A$2008,0)))</f>
        <v/>
      </c>
      <c r="C278" s="23" t="str">
        <f aca="false">IF(A278="","",SUMIFS(Register!$E$9:$E$2008,Register!$A$9:$A$2008,A278))</f>
        <v/>
      </c>
      <c r="D278" s="23" t="str">
        <f aca="false">IF(A278="","",SUMIFS(Register!$F$9:$F$2008,Register!$A$9:$A$2008,A278))</f>
        <v/>
      </c>
      <c r="E278" s="10" t="str">
        <f aca="false">IF(A278="","",IF(ABS(C278-D278)&lt;0.5,"Yes","No"))</f>
        <v/>
      </c>
      <c r="F278" s="21" t="str">
        <f aca="false">IF(A278="","",COUNTIF(Register!$A$9:$A$2008,A278))</f>
        <v/>
      </c>
      <c r="G278" s="21" t="str">
        <f aca="false">IF(A278="","",COUNTIFS(Register!$A$9:$A$2008,A278,Register!$L$9:$L$2008,"?*"))</f>
        <v/>
      </c>
      <c r="H278" s="10" t="str">
        <f aca="false">IF(A278="","",INDEX(Register!$H$9:$H$2008,MATCH(A278,Register!$A$9:$A$2008,0)))</f>
        <v/>
      </c>
      <c r="I278" s="10" t="str">
        <f aca="false">IF(A278="","",INDEX(Register!$I$9:$I$2008,MATCH(A278,Register!$A$9:$A$2008,0))&amp;"")</f>
        <v/>
      </c>
      <c r="J278" s="8"/>
    </row>
    <row r="279" customFormat="false" ht="15" hidden="false" customHeight="false" outlineLevel="0" collapsed="false">
      <c r="A279" s="10" t="str">
        <f aca="false">IFERROR(INDEX(Register!$A$9:$A$2008,MATCH(271,Register!$M$9:$M$2008,0)),"")</f>
        <v/>
      </c>
      <c r="B279" s="22" t="str">
        <f aca="false">IF(A279="","",INDEX(Register!$B$9:$B$2008,MATCH(A279,Register!$A$9:$A$2008,0)))</f>
        <v/>
      </c>
      <c r="C279" s="23" t="str">
        <f aca="false">IF(A279="","",SUMIFS(Register!$E$9:$E$2008,Register!$A$9:$A$2008,A279))</f>
        <v/>
      </c>
      <c r="D279" s="23" t="str">
        <f aca="false">IF(A279="","",SUMIFS(Register!$F$9:$F$2008,Register!$A$9:$A$2008,A279))</f>
        <v/>
      </c>
      <c r="E279" s="10" t="str">
        <f aca="false">IF(A279="","",IF(ABS(C279-D279)&lt;0.5,"Yes","No"))</f>
        <v/>
      </c>
      <c r="F279" s="21" t="str">
        <f aca="false">IF(A279="","",COUNTIF(Register!$A$9:$A$2008,A279))</f>
        <v/>
      </c>
      <c r="G279" s="21" t="str">
        <f aca="false">IF(A279="","",COUNTIFS(Register!$A$9:$A$2008,A279,Register!$L$9:$L$2008,"?*"))</f>
        <v/>
      </c>
      <c r="H279" s="10" t="str">
        <f aca="false">IF(A279="","",INDEX(Register!$H$9:$H$2008,MATCH(A279,Register!$A$9:$A$2008,0)))</f>
        <v/>
      </c>
      <c r="I279" s="10" t="str">
        <f aca="false">IF(A279="","",INDEX(Register!$I$9:$I$2008,MATCH(A279,Register!$A$9:$A$2008,0))&amp;"")</f>
        <v/>
      </c>
      <c r="J279" s="8"/>
    </row>
    <row r="280" customFormat="false" ht="15" hidden="false" customHeight="false" outlineLevel="0" collapsed="false">
      <c r="A280" s="10" t="str">
        <f aca="false">IFERROR(INDEX(Register!$A$9:$A$2008,MATCH(272,Register!$M$9:$M$2008,0)),"")</f>
        <v/>
      </c>
      <c r="B280" s="22" t="str">
        <f aca="false">IF(A280="","",INDEX(Register!$B$9:$B$2008,MATCH(A280,Register!$A$9:$A$2008,0)))</f>
        <v/>
      </c>
      <c r="C280" s="23" t="str">
        <f aca="false">IF(A280="","",SUMIFS(Register!$E$9:$E$2008,Register!$A$9:$A$2008,A280))</f>
        <v/>
      </c>
      <c r="D280" s="23" t="str">
        <f aca="false">IF(A280="","",SUMIFS(Register!$F$9:$F$2008,Register!$A$9:$A$2008,A280))</f>
        <v/>
      </c>
      <c r="E280" s="10" t="str">
        <f aca="false">IF(A280="","",IF(ABS(C280-D280)&lt;0.5,"Yes","No"))</f>
        <v/>
      </c>
      <c r="F280" s="21" t="str">
        <f aca="false">IF(A280="","",COUNTIF(Register!$A$9:$A$2008,A280))</f>
        <v/>
      </c>
      <c r="G280" s="21" t="str">
        <f aca="false">IF(A280="","",COUNTIFS(Register!$A$9:$A$2008,A280,Register!$L$9:$L$2008,"?*"))</f>
        <v/>
      </c>
      <c r="H280" s="10" t="str">
        <f aca="false">IF(A280="","",INDEX(Register!$H$9:$H$2008,MATCH(A280,Register!$A$9:$A$2008,0)))</f>
        <v/>
      </c>
      <c r="I280" s="10" t="str">
        <f aca="false">IF(A280="","",INDEX(Register!$I$9:$I$2008,MATCH(A280,Register!$A$9:$A$2008,0))&amp;"")</f>
        <v/>
      </c>
      <c r="J280" s="8"/>
    </row>
    <row r="281" customFormat="false" ht="15" hidden="false" customHeight="false" outlineLevel="0" collapsed="false">
      <c r="A281" s="10" t="str">
        <f aca="false">IFERROR(INDEX(Register!$A$9:$A$2008,MATCH(273,Register!$M$9:$M$2008,0)),"")</f>
        <v/>
      </c>
      <c r="B281" s="22" t="str">
        <f aca="false">IF(A281="","",INDEX(Register!$B$9:$B$2008,MATCH(A281,Register!$A$9:$A$2008,0)))</f>
        <v/>
      </c>
      <c r="C281" s="23" t="str">
        <f aca="false">IF(A281="","",SUMIFS(Register!$E$9:$E$2008,Register!$A$9:$A$2008,A281))</f>
        <v/>
      </c>
      <c r="D281" s="23" t="str">
        <f aca="false">IF(A281="","",SUMIFS(Register!$F$9:$F$2008,Register!$A$9:$A$2008,A281))</f>
        <v/>
      </c>
      <c r="E281" s="10" t="str">
        <f aca="false">IF(A281="","",IF(ABS(C281-D281)&lt;0.5,"Yes","No"))</f>
        <v/>
      </c>
      <c r="F281" s="21" t="str">
        <f aca="false">IF(A281="","",COUNTIF(Register!$A$9:$A$2008,A281))</f>
        <v/>
      </c>
      <c r="G281" s="21" t="str">
        <f aca="false">IF(A281="","",COUNTIFS(Register!$A$9:$A$2008,A281,Register!$L$9:$L$2008,"?*"))</f>
        <v/>
      </c>
      <c r="H281" s="10" t="str">
        <f aca="false">IF(A281="","",INDEX(Register!$H$9:$H$2008,MATCH(A281,Register!$A$9:$A$2008,0)))</f>
        <v/>
      </c>
      <c r="I281" s="10" t="str">
        <f aca="false">IF(A281="","",INDEX(Register!$I$9:$I$2008,MATCH(A281,Register!$A$9:$A$2008,0))&amp;"")</f>
        <v/>
      </c>
      <c r="J281" s="8"/>
    </row>
    <row r="282" customFormat="false" ht="15" hidden="false" customHeight="false" outlineLevel="0" collapsed="false">
      <c r="A282" s="10" t="str">
        <f aca="false">IFERROR(INDEX(Register!$A$9:$A$2008,MATCH(274,Register!$M$9:$M$2008,0)),"")</f>
        <v/>
      </c>
      <c r="B282" s="22" t="str">
        <f aca="false">IF(A282="","",INDEX(Register!$B$9:$B$2008,MATCH(A282,Register!$A$9:$A$2008,0)))</f>
        <v/>
      </c>
      <c r="C282" s="23" t="str">
        <f aca="false">IF(A282="","",SUMIFS(Register!$E$9:$E$2008,Register!$A$9:$A$2008,A282))</f>
        <v/>
      </c>
      <c r="D282" s="23" t="str">
        <f aca="false">IF(A282="","",SUMIFS(Register!$F$9:$F$2008,Register!$A$9:$A$2008,A282))</f>
        <v/>
      </c>
      <c r="E282" s="10" t="str">
        <f aca="false">IF(A282="","",IF(ABS(C282-D282)&lt;0.5,"Yes","No"))</f>
        <v/>
      </c>
      <c r="F282" s="21" t="str">
        <f aca="false">IF(A282="","",COUNTIF(Register!$A$9:$A$2008,A282))</f>
        <v/>
      </c>
      <c r="G282" s="21" t="str">
        <f aca="false">IF(A282="","",COUNTIFS(Register!$A$9:$A$2008,A282,Register!$L$9:$L$2008,"?*"))</f>
        <v/>
      </c>
      <c r="H282" s="10" t="str">
        <f aca="false">IF(A282="","",INDEX(Register!$H$9:$H$2008,MATCH(A282,Register!$A$9:$A$2008,0)))</f>
        <v/>
      </c>
      <c r="I282" s="10" t="str">
        <f aca="false">IF(A282="","",INDEX(Register!$I$9:$I$2008,MATCH(A282,Register!$A$9:$A$2008,0))&amp;"")</f>
        <v/>
      </c>
      <c r="J282" s="8"/>
    </row>
    <row r="283" customFormat="false" ht="15" hidden="false" customHeight="false" outlineLevel="0" collapsed="false">
      <c r="A283" s="10" t="str">
        <f aca="false">IFERROR(INDEX(Register!$A$9:$A$2008,MATCH(275,Register!$M$9:$M$2008,0)),"")</f>
        <v/>
      </c>
      <c r="B283" s="22" t="str">
        <f aca="false">IF(A283="","",INDEX(Register!$B$9:$B$2008,MATCH(A283,Register!$A$9:$A$2008,0)))</f>
        <v/>
      </c>
      <c r="C283" s="23" t="str">
        <f aca="false">IF(A283="","",SUMIFS(Register!$E$9:$E$2008,Register!$A$9:$A$2008,A283))</f>
        <v/>
      </c>
      <c r="D283" s="23" t="str">
        <f aca="false">IF(A283="","",SUMIFS(Register!$F$9:$F$2008,Register!$A$9:$A$2008,A283))</f>
        <v/>
      </c>
      <c r="E283" s="10" t="str">
        <f aca="false">IF(A283="","",IF(ABS(C283-D283)&lt;0.5,"Yes","No"))</f>
        <v/>
      </c>
      <c r="F283" s="21" t="str">
        <f aca="false">IF(A283="","",COUNTIF(Register!$A$9:$A$2008,A283))</f>
        <v/>
      </c>
      <c r="G283" s="21" t="str">
        <f aca="false">IF(A283="","",COUNTIFS(Register!$A$9:$A$2008,A283,Register!$L$9:$L$2008,"?*"))</f>
        <v/>
      </c>
      <c r="H283" s="10" t="str">
        <f aca="false">IF(A283="","",INDEX(Register!$H$9:$H$2008,MATCH(A283,Register!$A$9:$A$2008,0)))</f>
        <v/>
      </c>
      <c r="I283" s="10" t="str">
        <f aca="false">IF(A283="","",INDEX(Register!$I$9:$I$2008,MATCH(A283,Register!$A$9:$A$2008,0))&amp;"")</f>
        <v/>
      </c>
      <c r="J283" s="8"/>
    </row>
    <row r="284" customFormat="false" ht="15" hidden="false" customHeight="false" outlineLevel="0" collapsed="false">
      <c r="A284" s="10" t="str">
        <f aca="false">IFERROR(INDEX(Register!$A$9:$A$2008,MATCH(276,Register!$M$9:$M$2008,0)),"")</f>
        <v/>
      </c>
      <c r="B284" s="22" t="str">
        <f aca="false">IF(A284="","",INDEX(Register!$B$9:$B$2008,MATCH(A284,Register!$A$9:$A$2008,0)))</f>
        <v/>
      </c>
      <c r="C284" s="23" t="str">
        <f aca="false">IF(A284="","",SUMIFS(Register!$E$9:$E$2008,Register!$A$9:$A$2008,A284))</f>
        <v/>
      </c>
      <c r="D284" s="23" t="str">
        <f aca="false">IF(A284="","",SUMIFS(Register!$F$9:$F$2008,Register!$A$9:$A$2008,A284))</f>
        <v/>
      </c>
      <c r="E284" s="10" t="str">
        <f aca="false">IF(A284="","",IF(ABS(C284-D284)&lt;0.5,"Yes","No"))</f>
        <v/>
      </c>
      <c r="F284" s="21" t="str">
        <f aca="false">IF(A284="","",COUNTIF(Register!$A$9:$A$2008,A284))</f>
        <v/>
      </c>
      <c r="G284" s="21" t="str">
        <f aca="false">IF(A284="","",COUNTIFS(Register!$A$9:$A$2008,A284,Register!$L$9:$L$2008,"?*"))</f>
        <v/>
      </c>
      <c r="H284" s="10" t="str">
        <f aca="false">IF(A284="","",INDEX(Register!$H$9:$H$2008,MATCH(A284,Register!$A$9:$A$2008,0)))</f>
        <v/>
      </c>
      <c r="I284" s="10" t="str">
        <f aca="false">IF(A284="","",INDEX(Register!$I$9:$I$2008,MATCH(A284,Register!$A$9:$A$2008,0))&amp;"")</f>
        <v/>
      </c>
      <c r="J284" s="8"/>
    </row>
    <row r="285" customFormat="false" ht="15" hidden="false" customHeight="false" outlineLevel="0" collapsed="false">
      <c r="A285" s="10" t="str">
        <f aca="false">IFERROR(INDEX(Register!$A$9:$A$2008,MATCH(277,Register!$M$9:$M$2008,0)),"")</f>
        <v/>
      </c>
      <c r="B285" s="22" t="str">
        <f aca="false">IF(A285="","",INDEX(Register!$B$9:$B$2008,MATCH(A285,Register!$A$9:$A$2008,0)))</f>
        <v/>
      </c>
      <c r="C285" s="23" t="str">
        <f aca="false">IF(A285="","",SUMIFS(Register!$E$9:$E$2008,Register!$A$9:$A$2008,A285))</f>
        <v/>
      </c>
      <c r="D285" s="23" t="str">
        <f aca="false">IF(A285="","",SUMIFS(Register!$F$9:$F$2008,Register!$A$9:$A$2008,A285))</f>
        <v/>
      </c>
      <c r="E285" s="10" t="str">
        <f aca="false">IF(A285="","",IF(ABS(C285-D285)&lt;0.5,"Yes","No"))</f>
        <v/>
      </c>
      <c r="F285" s="21" t="str">
        <f aca="false">IF(A285="","",COUNTIF(Register!$A$9:$A$2008,A285))</f>
        <v/>
      </c>
      <c r="G285" s="21" t="str">
        <f aca="false">IF(A285="","",COUNTIFS(Register!$A$9:$A$2008,A285,Register!$L$9:$L$2008,"?*"))</f>
        <v/>
      </c>
      <c r="H285" s="10" t="str">
        <f aca="false">IF(A285="","",INDEX(Register!$H$9:$H$2008,MATCH(A285,Register!$A$9:$A$2008,0)))</f>
        <v/>
      </c>
      <c r="I285" s="10" t="str">
        <f aca="false">IF(A285="","",INDEX(Register!$I$9:$I$2008,MATCH(A285,Register!$A$9:$A$2008,0))&amp;"")</f>
        <v/>
      </c>
      <c r="J285" s="8"/>
    </row>
    <row r="286" customFormat="false" ht="15" hidden="false" customHeight="false" outlineLevel="0" collapsed="false">
      <c r="A286" s="10" t="str">
        <f aca="false">IFERROR(INDEX(Register!$A$9:$A$2008,MATCH(278,Register!$M$9:$M$2008,0)),"")</f>
        <v/>
      </c>
      <c r="B286" s="22" t="str">
        <f aca="false">IF(A286="","",INDEX(Register!$B$9:$B$2008,MATCH(A286,Register!$A$9:$A$2008,0)))</f>
        <v/>
      </c>
      <c r="C286" s="23" t="str">
        <f aca="false">IF(A286="","",SUMIFS(Register!$E$9:$E$2008,Register!$A$9:$A$2008,A286))</f>
        <v/>
      </c>
      <c r="D286" s="23" t="str">
        <f aca="false">IF(A286="","",SUMIFS(Register!$F$9:$F$2008,Register!$A$9:$A$2008,A286))</f>
        <v/>
      </c>
      <c r="E286" s="10" t="str">
        <f aca="false">IF(A286="","",IF(ABS(C286-D286)&lt;0.5,"Yes","No"))</f>
        <v/>
      </c>
      <c r="F286" s="21" t="str">
        <f aca="false">IF(A286="","",COUNTIF(Register!$A$9:$A$2008,A286))</f>
        <v/>
      </c>
      <c r="G286" s="21" t="str">
        <f aca="false">IF(A286="","",COUNTIFS(Register!$A$9:$A$2008,A286,Register!$L$9:$L$2008,"?*"))</f>
        <v/>
      </c>
      <c r="H286" s="10" t="str">
        <f aca="false">IF(A286="","",INDEX(Register!$H$9:$H$2008,MATCH(A286,Register!$A$9:$A$2008,0)))</f>
        <v/>
      </c>
      <c r="I286" s="10" t="str">
        <f aca="false">IF(A286="","",INDEX(Register!$I$9:$I$2008,MATCH(A286,Register!$A$9:$A$2008,0))&amp;"")</f>
        <v/>
      </c>
      <c r="J286" s="8"/>
    </row>
    <row r="287" customFormat="false" ht="15" hidden="false" customHeight="false" outlineLevel="0" collapsed="false">
      <c r="A287" s="10" t="str">
        <f aca="false">IFERROR(INDEX(Register!$A$9:$A$2008,MATCH(279,Register!$M$9:$M$2008,0)),"")</f>
        <v/>
      </c>
      <c r="B287" s="22" t="str">
        <f aca="false">IF(A287="","",INDEX(Register!$B$9:$B$2008,MATCH(A287,Register!$A$9:$A$2008,0)))</f>
        <v/>
      </c>
      <c r="C287" s="23" t="str">
        <f aca="false">IF(A287="","",SUMIFS(Register!$E$9:$E$2008,Register!$A$9:$A$2008,A287))</f>
        <v/>
      </c>
      <c r="D287" s="23" t="str">
        <f aca="false">IF(A287="","",SUMIFS(Register!$F$9:$F$2008,Register!$A$9:$A$2008,A287))</f>
        <v/>
      </c>
      <c r="E287" s="10" t="str">
        <f aca="false">IF(A287="","",IF(ABS(C287-D287)&lt;0.5,"Yes","No"))</f>
        <v/>
      </c>
      <c r="F287" s="21" t="str">
        <f aca="false">IF(A287="","",COUNTIF(Register!$A$9:$A$2008,A287))</f>
        <v/>
      </c>
      <c r="G287" s="21" t="str">
        <f aca="false">IF(A287="","",COUNTIFS(Register!$A$9:$A$2008,A287,Register!$L$9:$L$2008,"?*"))</f>
        <v/>
      </c>
      <c r="H287" s="10" t="str">
        <f aca="false">IF(A287="","",INDEX(Register!$H$9:$H$2008,MATCH(A287,Register!$A$9:$A$2008,0)))</f>
        <v/>
      </c>
      <c r="I287" s="10" t="str">
        <f aca="false">IF(A287="","",INDEX(Register!$I$9:$I$2008,MATCH(A287,Register!$A$9:$A$2008,0))&amp;"")</f>
        <v/>
      </c>
      <c r="J287" s="8"/>
    </row>
    <row r="288" customFormat="false" ht="15" hidden="false" customHeight="false" outlineLevel="0" collapsed="false">
      <c r="A288" s="10" t="str">
        <f aca="false">IFERROR(INDEX(Register!$A$9:$A$2008,MATCH(280,Register!$M$9:$M$2008,0)),"")</f>
        <v/>
      </c>
      <c r="B288" s="22" t="str">
        <f aca="false">IF(A288="","",INDEX(Register!$B$9:$B$2008,MATCH(A288,Register!$A$9:$A$2008,0)))</f>
        <v/>
      </c>
      <c r="C288" s="23" t="str">
        <f aca="false">IF(A288="","",SUMIFS(Register!$E$9:$E$2008,Register!$A$9:$A$2008,A288))</f>
        <v/>
      </c>
      <c r="D288" s="23" t="str">
        <f aca="false">IF(A288="","",SUMIFS(Register!$F$9:$F$2008,Register!$A$9:$A$2008,A288))</f>
        <v/>
      </c>
      <c r="E288" s="10" t="str">
        <f aca="false">IF(A288="","",IF(ABS(C288-D288)&lt;0.5,"Yes","No"))</f>
        <v/>
      </c>
      <c r="F288" s="21" t="str">
        <f aca="false">IF(A288="","",COUNTIF(Register!$A$9:$A$2008,A288))</f>
        <v/>
      </c>
      <c r="G288" s="21" t="str">
        <f aca="false">IF(A288="","",COUNTIFS(Register!$A$9:$A$2008,A288,Register!$L$9:$L$2008,"?*"))</f>
        <v/>
      </c>
      <c r="H288" s="10" t="str">
        <f aca="false">IF(A288="","",INDEX(Register!$H$9:$H$2008,MATCH(A288,Register!$A$9:$A$2008,0)))</f>
        <v/>
      </c>
      <c r="I288" s="10" t="str">
        <f aca="false">IF(A288="","",INDEX(Register!$I$9:$I$2008,MATCH(A288,Register!$A$9:$A$2008,0))&amp;"")</f>
        <v/>
      </c>
      <c r="J288" s="8"/>
    </row>
    <row r="289" customFormat="false" ht="15" hidden="false" customHeight="false" outlineLevel="0" collapsed="false">
      <c r="A289" s="10" t="str">
        <f aca="false">IFERROR(INDEX(Register!$A$9:$A$2008,MATCH(281,Register!$M$9:$M$2008,0)),"")</f>
        <v/>
      </c>
      <c r="B289" s="22" t="str">
        <f aca="false">IF(A289="","",INDEX(Register!$B$9:$B$2008,MATCH(A289,Register!$A$9:$A$2008,0)))</f>
        <v/>
      </c>
      <c r="C289" s="23" t="str">
        <f aca="false">IF(A289="","",SUMIFS(Register!$E$9:$E$2008,Register!$A$9:$A$2008,A289))</f>
        <v/>
      </c>
      <c r="D289" s="23" t="str">
        <f aca="false">IF(A289="","",SUMIFS(Register!$F$9:$F$2008,Register!$A$9:$A$2008,A289))</f>
        <v/>
      </c>
      <c r="E289" s="10" t="str">
        <f aca="false">IF(A289="","",IF(ABS(C289-D289)&lt;0.5,"Yes","No"))</f>
        <v/>
      </c>
      <c r="F289" s="21" t="str">
        <f aca="false">IF(A289="","",COUNTIF(Register!$A$9:$A$2008,A289))</f>
        <v/>
      </c>
      <c r="G289" s="21" t="str">
        <f aca="false">IF(A289="","",COUNTIFS(Register!$A$9:$A$2008,A289,Register!$L$9:$L$2008,"?*"))</f>
        <v/>
      </c>
      <c r="H289" s="10" t="str">
        <f aca="false">IF(A289="","",INDEX(Register!$H$9:$H$2008,MATCH(A289,Register!$A$9:$A$2008,0)))</f>
        <v/>
      </c>
      <c r="I289" s="10" t="str">
        <f aca="false">IF(A289="","",INDEX(Register!$I$9:$I$2008,MATCH(A289,Register!$A$9:$A$2008,0))&amp;"")</f>
        <v/>
      </c>
      <c r="J289" s="8"/>
    </row>
    <row r="290" customFormat="false" ht="15" hidden="false" customHeight="false" outlineLevel="0" collapsed="false">
      <c r="A290" s="10" t="str">
        <f aca="false">IFERROR(INDEX(Register!$A$9:$A$2008,MATCH(282,Register!$M$9:$M$2008,0)),"")</f>
        <v/>
      </c>
      <c r="B290" s="22" t="str">
        <f aca="false">IF(A290="","",INDEX(Register!$B$9:$B$2008,MATCH(A290,Register!$A$9:$A$2008,0)))</f>
        <v/>
      </c>
      <c r="C290" s="23" t="str">
        <f aca="false">IF(A290="","",SUMIFS(Register!$E$9:$E$2008,Register!$A$9:$A$2008,A290))</f>
        <v/>
      </c>
      <c r="D290" s="23" t="str">
        <f aca="false">IF(A290="","",SUMIFS(Register!$F$9:$F$2008,Register!$A$9:$A$2008,A290))</f>
        <v/>
      </c>
      <c r="E290" s="10" t="str">
        <f aca="false">IF(A290="","",IF(ABS(C290-D290)&lt;0.5,"Yes","No"))</f>
        <v/>
      </c>
      <c r="F290" s="21" t="str">
        <f aca="false">IF(A290="","",COUNTIF(Register!$A$9:$A$2008,A290))</f>
        <v/>
      </c>
      <c r="G290" s="21" t="str">
        <f aca="false">IF(A290="","",COUNTIFS(Register!$A$9:$A$2008,A290,Register!$L$9:$L$2008,"?*"))</f>
        <v/>
      </c>
      <c r="H290" s="10" t="str">
        <f aca="false">IF(A290="","",INDEX(Register!$H$9:$H$2008,MATCH(A290,Register!$A$9:$A$2008,0)))</f>
        <v/>
      </c>
      <c r="I290" s="10" t="str">
        <f aca="false">IF(A290="","",INDEX(Register!$I$9:$I$2008,MATCH(A290,Register!$A$9:$A$2008,0))&amp;"")</f>
        <v/>
      </c>
      <c r="J290" s="8"/>
    </row>
    <row r="291" customFormat="false" ht="15" hidden="false" customHeight="false" outlineLevel="0" collapsed="false">
      <c r="A291" s="10" t="str">
        <f aca="false">IFERROR(INDEX(Register!$A$9:$A$2008,MATCH(283,Register!$M$9:$M$2008,0)),"")</f>
        <v/>
      </c>
      <c r="B291" s="22" t="str">
        <f aca="false">IF(A291="","",INDEX(Register!$B$9:$B$2008,MATCH(A291,Register!$A$9:$A$2008,0)))</f>
        <v/>
      </c>
      <c r="C291" s="23" t="str">
        <f aca="false">IF(A291="","",SUMIFS(Register!$E$9:$E$2008,Register!$A$9:$A$2008,A291))</f>
        <v/>
      </c>
      <c r="D291" s="23" t="str">
        <f aca="false">IF(A291="","",SUMIFS(Register!$F$9:$F$2008,Register!$A$9:$A$2008,A291))</f>
        <v/>
      </c>
      <c r="E291" s="10" t="str">
        <f aca="false">IF(A291="","",IF(ABS(C291-D291)&lt;0.5,"Yes","No"))</f>
        <v/>
      </c>
      <c r="F291" s="21" t="str">
        <f aca="false">IF(A291="","",COUNTIF(Register!$A$9:$A$2008,A291))</f>
        <v/>
      </c>
      <c r="G291" s="21" t="str">
        <f aca="false">IF(A291="","",COUNTIFS(Register!$A$9:$A$2008,A291,Register!$L$9:$L$2008,"?*"))</f>
        <v/>
      </c>
      <c r="H291" s="10" t="str">
        <f aca="false">IF(A291="","",INDEX(Register!$H$9:$H$2008,MATCH(A291,Register!$A$9:$A$2008,0)))</f>
        <v/>
      </c>
      <c r="I291" s="10" t="str">
        <f aca="false">IF(A291="","",INDEX(Register!$I$9:$I$2008,MATCH(A291,Register!$A$9:$A$2008,0))&amp;"")</f>
        <v/>
      </c>
      <c r="J291" s="8"/>
    </row>
    <row r="292" customFormat="false" ht="15" hidden="false" customHeight="false" outlineLevel="0" collapsed="false">
      <c r="A292" s="10" t="str">
        <f aca="false">IFERROR(INDEX(Register!$A$9:$A$2008,MATCH(284,Register!$M$9:$M$2008,0)),"")</f>
        <v/>
      </c>
      <c r="B292" s="22" t="str">
        <f aca="false">IF(A292="","",INDEX(Register!$B$9:$B$2008,MATCH(A292,Register!$A$9:$A$2008,0)))</f>
        <v/>
      </c>
      <c r="C292" s="23" t="str">
        <f aca="false">IF(A292="","",SUMIFS(Register!$E$9:$E$2008,Register!$A$9:$A$2008,A292))</f>
        <v/>
      </c>
      <c r="D292" s="23" t="str">
        <f aca="false">IF(A292="","",SUMIFS(Register!$F$9:$F$2008,Register!$A$9:$A$2008,A292))</f>
        <v/>
      </c>
      <c r="E292" s="10" t="str">
        <f aca="false">IF(A292="","",IF(ABS(C292-D292)&lt;0.5,"Yes","No"))</f>
        <v/>
      </c>
      <c r="F292" s="21" t="str">
        <f aca="false">IF(A292="","",COUNTIF(Register!$A$9:$A$2008,A292))</f>
        <v/>
      </c>
      <c r="G292" s="21" t="str">
        <f aca="false">IF(A292="","",COUNTIFS(Register!$A$9:$A$2008,A292,Register!$L$9:$L$2008,"?*"))</f>
        <v/>
      </c>
      <c r="H292" s="10" t="str">
        <f aca="false">IF(A292="","",INDEX(Register!$H$9:$H$2008,MATCH(A292,Register!$A$9:$A$2008,0)))</f>
        <v/>
      </c>
      <c r="I292" s="10" t="str">
        <f aca="false">IF(A292="","",INDEX(Register!$I$9:$I$2008,MATCH(A292,Register!$A$9:$A$2008,0))&amp;"")</f>
        <v/>
      </c>
      <c r="J292" s="8"/>
    </row>
    <row r="293" customFormat="false" ht="15" hidden="false" customHeight="false" outlineLevel="0" collapsed="false">
      <c r="A293" s="10" t="str">
        <f aca="false">IFERROR(INDEX(Register!$A$9:$A$2008,MATCH(285,Register!$M$9:$M$2008,0)),"")</f>
        <v/>
      </c>
      <c r="B293" s="22" t="str">
        <f aca="false">IF(A293="","",INDEX(Register!$B$9:$B$2008,MATCH(A293,Register!$A$9:$A$2008,0)))</f>
        <v/>
      </c>
      <c r="C293" s="23" t="str">
        <f aca="false">IF(A293="","",SUMIFS(Register!$E$9:$E$2008,Register!$A$9:$A$2008,A293))</f>
        <v/>
      </c>
      <c r="D293" s="23" t="str">
        <f aca="false">IF(A293="","",SUMIFS(Register!$F$9:$F$2008,Register!$A$9:$A$2008,A293))</f>
        <v/>
      </c>
      <c r="E293" s="10" t="str">
        <f aca="false">IF(A293="","",IF(ABS(C293-D293)&lt;0.5,"Yes","No"))</f>
        <v/>
      </c>
      <c r="F293" s="21" t="str">
        <f aca="false">IF(A293="","",COUNTIF(Register!$A$9:$A$2008,A293))</f>
        <v/>
      </c>
      <c r="G293" s="21" t="str">
        <f aca="false">IF(A293="","",COUNTIFS(Register!$A$9:$A$2008,A293,Register!$L$9:$L$2008,"?*"))</f>
        <v/>
      </c>
      <c r="H293" s="10" t="str">
        <f aca="false">IF(A293="","",INDEX(Register!$H$9:$H$2008,MATCH(A293,Register!$A$9:$A$2008,0)))</f>
        <v/>
      </c>
      <c r="I293" s="10" t="str">
        <f aca="false">IF(A293="","",INDEX(Register!$I$9:$I$2008,MATCH(A293,Register!$A$9:$A$2008,0))&amp;"")</f>
        <v/>
      </c>
      <c r="J293" s="8"/>
    </row>
    <row r="294" customFormat="false" ht="15" hidden="false" customHeight="false" outlineLevel="0" collapsed="false">
      <c r="A294" s="10" t="str">
        <f aca="false">IFERROR(INDEX(Register!$A$9:$A$2008,MATCH(286,Register!$M$9:$M$2008,0)),"")</f>
        <v/>
      </c>
      <c r="B294" s="22" t="str">
        <f aca="false">IF(A294="","",INDEX(Register!$B$9:$B$2008,MATCH(A294,Register!$A$9:$A$2008,0)))</f>
        <v/>
      </c>
      <c r="C294" s="23" t="str">
        <f aca="false">IF(A294="","",SUMIFS(Register!$E$9:$E$2008,Register!$A$9:$A$2008,A294))</f>
        <v/>
      </c>
      <c r="D294" s="23" t="str">
        <f aca="false">IF(A294="","",SUMIFS(Register!$F$9:$F$2008,Register!$A$9:$A$2008,A294))</f>
        <v/>
      </c>
      <c r="E294" s="10" t="str">
        <f aca="false">IF(A294="","",IF(ABS(C294-D294)&lt;0.5,"Yes","No"))</f>
        <v/>
      </c>
      <c r="F294" s="21" t="str">
        <f aca="false">IF(A294="","",COUNTIF(Register!$A$9:$A$2008,A294))</f>
        <v/>
      </c>
      <c r="G294" s="21" t="str">
        <f aca="false">IF(A294="","",COUNTIFS(Register!$A$9:$A$2008,A294,Register!$L$9:$L$2008,"?*"))</f>
        <v/>
      </c>
      <c r="H294" s="10" t="str">
        <f aca="false">IF(A294="","",INDEX(Register!$H$9:$H$2008,MATCH(A294,Register!$A$9:$A$2008,0)))</f>
        <v/>
      </c>
      <c r="I294" s="10" t="str">
        <f aca="false">IF(A294="","",INDEX(Register!$I$9:$I$2008,MATCH(A294,Register!$A$9:$A$2008,0))&amp;"")</f>
        <v/>
      </c>
      <c r="J294" s="8"/>
    </row>
    <row r="295" customFormat="false" ht="15" hidden="false" customHeight="false" outlineLevel="0" collapsed="false">
      <c r="A295" s="10" t="str">
        <f aca="false">IFERROR(INDEX(Register!$A$9:$A$2008,MATCH(287,Register!$M$9:$M$2008,0)),"")</f>
        <v/>
      </c>
      <c r="B295" s="22" t="str">
        <f aca="false">IF(A295="","",INDEX(Register!$B$9:$B$2008,MATCH(A295,Register!$A$9:$A$2008,0)))</f>
        <v/>
      </c>
      <c r="C295" s="23" t="str">
        <f aca="false">IF(A295="","",SUMIFS(Register!$E$9:$E$2008,Register!$A$9:$A$2008,A295))</f>
        <v/>
      </c>
      <c r="D295" s="23" t="str">
        <f aca="false">IF(A295="","",SUMIFS(Register!$F$9:$F$2008,Register!$A$9:$A$2008,A295))</f>
        <v/>
      </c>
      <c r="E295" s="10" t="str">
        <f aca="false">IF(A295="","",IF(ABS(C295-D295)&lt;0.5,"Yes","No"))</f>
        <v/>
      </c>
      <c r="F295" s="21" t="str">
        <f aca="false">IF(A295="","",COUNTIF(Register!$A$9:$A$2008,A295))</f>
        <v/>
      </c>
      <c r="G295" s="21" t="str">
        <f aca="false">IF(A295="","",COUNTIFS(Register!$A$9:$A$2008,A295,Register!$L$9:$L$2008,"?*"))</f>
        <v/>
      </c>
      <c r="H295" s="10" t="str">
        <f aca="false">IF(A295="","",INDEX(Register!$H$9:$H$2008,MATCH(A295,Register!$A$9:$A$2008,0)))</f>
        <v/>
      </c>
      <c r="I295" s="10" t="str">
        <f aca="false">IF(A295="","",INDEX(Register!$I$9:$I$2008,MATCH(A295,Register!$A$9:$A$2008,0))&amp;"")</f>
        <v/>
      </c>
      <c r="J295" s="8"/>
    </row>
    <row r="296" customFormat="false" ht="15" hidden="false" customHeight="false" outlineLevel="0" collapsed="false">
      <c r="A296" s="10" t="str">
        <f aca="false">IFERROR(INDEX(Register!$A$9:$A$2008,MATCH(288,Register!$M$9:$M$2008,0)),"")</f>
        <v/>
      </c>
      <c r="B296" s="22" t="str">
        <f aca="false">IF(A296="","",INDEX(Register!$B$9:$B$2008,MATCH(A296,Register!$A$9:$A$2008,0)))</f>
        <v/>
      </c>
      <c r="C296" s="23" t="str">
        <f aca="false">IF(A296="","",SUMIFS(Register!$E$9:$E$2008,Register!$A$9:$A$2008,A296))</f>
        <v/>
      </c>
      <c r="D296" s="23" t="str">
        <f aca="false">IF(A296="","",SUMIFS(Register!$F$9:$F$2008,Register!$A$9:$A$2008,A296))</f>
        <v/>
      </c>
      <c r="E296" s="10" t="str">
        <f aca="false">IF(A296="","",IF(ABS(C296-D296)&lt;0.5,"Yes","No"))</f>
        <v/>
      </c>
      <c r="F296" s="21" t="str">
        <f aca="false">IF(A296="","",COUNTIF(Register!$A$9:$A$2008,A296))</f>
        <v/>
      </c>
      <c r="G296" s="21" t="str">
        <f aca="false">IF(A296="","",COUNTIFS(Register!$A$9:$A$2008,A296,Register!$L$9:$L$2008,"?*"))</f>
        <v/>
      </c>
      <c r="H296" s="10" t="str">
        <f aca="false">IF(A296="","",INDEX(Register!$H$9:$H$2008,MATCH(A296,Register!$A$9:$A$2008,0)))</f>
        <v/>
      </c>
      <c r="I296" s="10" t="str">
        <f aca="false">IF(A296="","",INDEX(Register!$I$9:$I$2008,MATCH(A296,Register!$A$9:$A$2008,0))&amp;"")</f>
        <v/>
      </c>
      <c r="J296" s="8"/>
    </row>
    <row r="297" customFormat="false" ht="15" hidden="false" customHeight="false" outlineLevel="0" collapsed="false">
      <c r="A297" s="10" t="str">
        <f aca="false">IFERROR(INDEX(Register!$A$9:$A$2008,MATCH(289,Register!$M$9:$M$2008,0)),"")</f>
        <v/>
      </c>
      <c r="B297" s="22" t="str">
        <f aca="false">IF(A297="","",INDEX(Register!$B$9:$B$2008,MATCH(A297,Register!$A$9:$A$2008,0)))</f>
        <v/>
      </c>
      <c r="C297" s="23" t="str">
        <f aca="false">IF(A297="","",SUMIFS(Register!$E$9:$E$2008,Register!$A$9:$A$2008,A297))</f>
        <v/>
      </c>
      <c r="D297" s="23" t="str">
        <f aca="false">IF(A297="","",SUMIFS(Register!$F$9:$F$2008,Register!$A$9:$A$2008,A297))</f>
        <v/>
      </c>
      <c r="E297" s="10" t="str">
        <f aca="false">IF(A297="","",IF(ABS(C297-D297)&lt;0.5,"Yes","No"))</f>
        <v/>
      </c>
      <c r="F297" s="21" t="str">
        <f aca="false">IF(A297="","",COUNTIF(Register!$A$9:$A$2008,A297))</f>
        <v/>
      </c>
      <c r="G297" s="21" t="str">
        <f aca="false">IF(A297="","",COUNTIFS(Register!$A$9:$A$2008,A297,Register!$L$9:$L$2008,"?*"))</f>
        <v/>
      </c>
      <c r="H297" s="10" t="str">
        <f aca="false">IF(A297="","",INDEX(Register!$H$9:$H$2008,MATCH(A297,Register!$A$9:$A$2008,0)))</f>
        <v/>
      </c>
      <c r="I297" s="10" t="str">
        <f aca="false">IF(A297="","",INDEX(Register!$I$9:$I$2008,MATCH(A297,Register!$A$9:$A$2008,0))&amp;"")</f>
        <v/>
      </c>
      <c r="J297" s="8"/>
    </row>
    <row r="298" customFormat="false" ht="15" hidden="false" customHeight="false" outlineLevel="0" collapsed="false">
      <c r="A298" s="10" t="str">
        <f aca="false">IFERROR(INDEX(Register!$A$9:$A$2008,MATCH(290,Register!$M$9:$M$2008,0)),"")</f>
        <v/>
      </c>
      <c r="B298" s="22" t="str">
        <f aca="false">IF(A298="","",INDEX(Register!$B$9:$B$2008,MATCH(A298,Register!$A$9:$A$2008,0)))</f>
        <v/>
      </c>
      <c r="C298" s="23" t="str">
        <f aca="false">IF(A298="","",SUMIFS(Register!$E$9:$E$2008,Register!$A$9:$A$2008,A298))</f>
        <v/>
      </c>
      <c r="D298" s="23" t="str">
        <f aca="false">IF(A298="","",SUMIFS(Register!$F$9:$F$2008,Register!$A$9:$A$2008,A298))</f>
        <v/>
      </c>
      <c r="E298" s="10" t="str">
        <f aca="false">IF(A298="","",IF(ABS(C298-D298)&lt;0.5,"Yes","No"))</f>
        <v/>
      </c>
      <c r="F298" s="21" t="str">
        <f aca="false">IF(A298="","",COUNTIF(Register!$A$9:$A$2008,A298))</f>
        <v/>
      </c>
      <c r="G298" s="21" t="str">
        <f aca="false">IF(A298="","",COUNTIFS(Register!$A$9:$A$2008,A298,Register!$L$9:$L$2008,"?*"))</f>
        <v/>
      </c>
      <c r="H298" s="10" t="str">
        <f aca="false">IF(A298="","",INDEX(Register!$H$9:$H$2008,MATCH(A298,Register!$A$9:$A$2008,0)))</f>
        <v/>
      </c>
      <c r="I298" s="10" t="str">
        <f aca="false">IF(A298="","",INDEX(Register!$I$9:$I$2008,MATCH(A298,Register!$A$9:$A$2008,0))&amp;"")</f>
        <v/>
      </c>
      <c r="J298" s="8"/>
    </row>
    <row r="299" customFormat="false" ht="15" hidden="false" customHeight="false" outlineLevel="0" collapsed="false">
      <c r="A299" s="10" t="str">
        <f aca="false">IFERROR(INDEX(Register!$A$9:$A$2008,MATCH(291,Register!$M$9:$M$2008,0)),"")</f>
        <v/>
      </c>
      <c r="B299" s="22" t="str">
        <f aca="false">IF(A299="","",INDEX(Register!$B$9:$B$2008,MATCH(A299,Register!$A$9:$A$2008,0)))</f>
        <v/>
      </c>
      <c r="C299" s="23" t="str">
        <f aca="false">IF(A299="","",SUMIFS(Register!$E$9:$E$2008,Register!$A$9:$A$2008,A299))</f>
        <v/>
      </c>
      <c r="D299" s="23" t="str">
        <f aca="false">IF(A299="","",SUMIFS(Register!$F$9:$F$2008,Register!$A$9:$A$2008,A299))</f>
        <v/>
      </c>
      <c r="E299" s="10" t="str">
        <f aca="false">IF(A299="","",IF(ABS(C299-D299)&lt;0.5,"Yes","No"))</f>
        <v/>
      </c>
      <c r="F299" s="21" t="str">
        <f aca="false">IF(A299="","",COUNTIF(Register!$A$9:$A$2008,A299))</f>
        <v/>
      </c>
      <c r="G299" s="21" t="str">
        <f aca="false">IF(A299="","",COUNTIFS(Register!$A$9:$A$2008,A299,Register!$L$9:$L$2008,"?*"))</f>
        <v/>
      </c>
      <c r="H299" s="10" t="str">
        <f aca="false">IF(A299="","",INDEX(Register!$H$9:$H$2008,MATCH(A299,Register!$A$9:$A$2008,0)))</f>
        <v/>
      </c>
      <c r="I299" s="10" t="str">
        <f aca="false">IF(A299="","",INDEX(Register!$I$9:$I$2008,MATCH(A299,Register!$A$9:$A$2008,0))&amp;"")</f>
        <v/>
      </c>
      <c r="J299" s="8"/>
    </row>
    <row r="300" customFormat="false" ht="15" hidden="false" customHeight="false" outlineLevel="0" collapsed="false">
      <c r="A300" s="10" t="str">
        <f aca="false">IFERROR(INDEX(Register!$A$9:$A$2008,MATCH(292,Register!$M$9:$M$2008,0)),"")</f>
        <v/>
      </c>
      <c r="B300" s="22" t="str">
        <f aca="false">IF(A300="","",INDEX(Register!$B$9:$B$2008,MATCH(A300,Register!$A$9:$A$2008,0)))</f>
        <v/>
      </c>
      <c r="C300" s="23" t="str">
        <f aca="false">IF(A300="","",SUMIFS(Register!$E$9:$E$2008,Register!$A$9:$A$2008,A300))</f>
        <v/>
      </c>
      <c r="D300" s="23" t="str">
        <f aca="false">IF(A300="","",SUMIFS(Register!$F$9:$F$2008,Register!$A$9:$A$2008,A300))</f>
        <v/>
      </c>
      <c r="E300" s="10" t="str">
        <f aca="false">IF(A300="","",IF(ABS(C300-D300)&lt;0.5,"Yes","No"))</f>
        <v/>
      </c>
      <c r="F300" s="21" t="str">
        <f aca="false">IF(A300="","",COUNTIF(Register!$A$9:$A$2008,A300))</f>
        <v/>
      </c>
      <c r="G300" s="21" t="str">
        <f aca="false">IF(A300="","",COUNTIFS(Register!$A$9:$A$2008,A300,Register!$L$9:$L$2008,"?*"))</f>
        <v/>
      </c>
      <c r="H300" s="10" t="str">
        <f aca="false">IF(A300="","",INDEX(Register!$H$9:$H$2008,MATCH(A300,Register!$A$9:$A$2008,0)))</f>
        <v/>
      </c>
      <c r="I300" s="10" t="str">
        <f aca="false">IF(A300="","",INDEX(Register!$I$9:$I$2008,MATCH(A300,Register!$A$9:$A$2008,0))&amp;"")</f>
        <v/>
      </c>
      <c r="J300" s="8"/>
    </row>
    <row r="301" customFormat="false" ht="15" hidden="false" customHeight="false" outlineLevel="0" collapsed="false">
      <c r="A301" s="10" t="str">
        <f aca="false">IFERROR(INDEX(Register!$A$9:$A$2008,MATCH(293,Register!$M$9:$M$2008,0)),"")</f>
        <v/>
      </c>
      <c r="B301" s="22" t="str">
        <f aca="false">IF(A301="","",INDEX(Register!$B$9:$B$2008,MATCH(A301,Register!$A$9:$A$2008,0)))</f>
        <v/>
      </c>
      <c r="C301" s="23" t="str">
        <f aca="false">IF(A301="","",SUMIFS(Register!$E$9:$E$2008,Register!$A$9:$A$2008,A301))</f>
        <v/>
      </c>
      <c r="D301" s="23" t="str">
        <f aca="false">IF(A301="","",SUMIFS(Register!$F$9:$F$2008,Register!$A$9:$A$2008,A301))</f>
        <v/>
      </c>
      <c r="E301" s="10" t="str">
        <f aca="false">IF(A301="","",IF(ABS(C301-D301)&lt;0.5,"Yes","No"))</f>
        <v/>
      </c>
      <c r="F301" s="21" t="str">
        <f aca="false">IF(A301="","",COUNTIF(Register!$A$9:$A$2008,A301))</f>
        <v/>
      </c>
      <c r="G301" s="21" t="str">
        <f aca="false">IF(A301="","",COUNTIFS(Register!$A$9:$A$2008,A301,Register!$L$9:$L$2008,"?*"))</f>
        <v/>
      </c>
      <c r="H301" s="10" t="str">
        <f aca="false">IF(A301="","",INDEX(Register!$H$9:$H$2008,MATCH(A301,Register!$A$9:$A$2008,0)))</f>
        <v/>
      </c>
      <c r="I301" s="10" t="str">
        <f aca="false">IF(A301="","",INDEX(Register!$I$9:$I$2008,MATCH(A301,Register!$A$9:$A$2008,0))&amp;"")</f>
        <v/>
      </c>
      <c r="J301" s="8"/>
    </row>
    <row r="302" customFormat="false" ht="15" hidden="false" customHeight="false" outlineLevel="0" collapsed="false">
      <c r="A302" s="10" t="str">
        <f aca="false">IFERROR(INDEX(Register!$A$9:$A$2008,MATCH(294,Register!$M$9:$M$2008,0)),"")</f>
        <v/>
      </c>
      <c r="B302" s="22" t="str">
        <f aca="false">IF(A302="","",INDEX(Register!$B$9:$B$2008,MATCH(A302,Register!$A$9:$A$2008,0)))</f>
        <v/>
      </c>
      <c r="C302" s="23" t="str">
        <f aca="false">IF(A302="","",SUMIFS(Register!$E$9:$E$2008,Register!$A$9:$A$2008,A302))</f>
        <v/>
      </c>
      <c r="D302" s="23" t="str">
        <f aca="false">IF(A302="","",SUMIFS(Register!$F$9:$F$2008,Register!$A$9:$A$2008,A302))</f>
        <v/>
      </c>
      <c r="E302" s="10" t="str">
        <f aca="false">IF(A302="","",IF(ABS(C302-D302)&lt;0.5,"Yes","No"))</f>
        <v/>
      </c>
      <c r="F302" s="21" t="str">
        <f aca="false">IF(A302="","",COUNTIF(Register!$A$9:$A$2008,A302))</f>
        <v/>
      </c>
      <c r="G302" s="21" t="str">
        <f aca="false">IF(A302="","",COUNTIFS(Register!$A$9:$A$2008,A302,Register!$L$9:$L$2008,"?*"))</f>
        <v/>
      </c>
      <c r="H302" s="10" t="str">
        <f aca="false">IF(A302="","",INDEX(Register!$H$9:$H$2008,MATCH(A302,Register!$A$9:$A$2008,0)))</f>
        <v/>
      </c>
      <c r="I302" s="10" t="str">
        <f aca="false">IF(A302="","",INDEX(Register!$I$9:$I$2008,MATCH(A302,Register!$A$9:$A$2008,0))&amp;"")</f>
        <v/>
      </c>
      <c r="J302" s="8"/>
    </row>
    <row r="303" customFormat="false" ht="15" hidden="false" customHeight="false" outlineLevel="0" collapsed="false">
      <c r="A303" s="10" t="str">
        <f aca="false">IFERROR(INDEX(Register!$A$9:$A$2008,MATCH(295,Register!$M$9:$M$2008,0)),"")</f>
        <v/>
      </c>
      <c r="B303" s="22" t="str">
        <f aca="false">IF(A303="","",INDEX(Register!$B$9:$B$2008,MATCH(A303,Register!$A$9:$A$2008,0)))</f>
        <v/>
      </c>
      <c r="C303" s="23" t="str">
        <f aca="false">IF(A303="","",SUMIFS(Register!$E$9:$E$2008,Register!$A$9:$A$2008,A303))</f>
        <v/>
      </c>
      <c r="D303" s="23" t="str">
        <f aca="false">IF(A303="","",SUMIFS(Register!$F$9:$F$2008,Register!$A$9:$A$2008,A303))</f>
        <v/>
      </c>
      <c r="E303" s="10" t="str">
        <f aca="false">IF(A303="","",IF(ABS(C303-D303)&lt;0.5,"Yes","No"))</f>
        <v/>
      </c>
      <c r="F303" s="21" t="str">
        <f aca="false">IF(A303="","",COUNTIF(Register!$A$9:$A$2008,A303))</f>
        <v/>
      </c>
      <c r="G303" s="21" t="str">
        <f aca="false">IF(A303="","",COUNTIFS(Register!$A$9:$A$2008,A303,Register!$L$9:$L$2008,"?*"))</f>
        <v/>
      </c>
      <c r="H303" s="10" t="str">
        <f aca="false">IF(A303="","",INDEX(Register!$H$9:$H$2008,MATCH(A303,Register!$A$9:$A$2008,0)))</f>
        <v/>
      </c>
      <c r="I303" s="10" t="str">
        <f aca="false">IF(A303="","",INDEX(Register!$I$9:$I$2008,MATCH(A303,Register!$A$9:$A$2008,0))&amp;"")</f>
        <v/>
      </c>
      <c r="J303" s="8"/>
    </row>
    <row r="304" customFormat="false" ht="15" hidden="false" customHeight="false" outlineLevel="0" collapsed="false">
      <c r="A304" s="10" t="str">
        <f aca="false">IFERROR(INDEX(Register!$A$9:$A$2008,MATCH(296,Register!$M$9:$M$2008,0)),"")</f>
        <v/>
      </c>
      <c r="B304" s="22" t="str">
        <f aca="false">IF(A304="","",INDEX(Register!$B$9:$B$2008,MATCH(A304,Register!$A$9:$A$2008,0)))</f>
        <v/>
      </c>
      <c r="C304" s="23" t="str">
        <f aca="false">IF(A304="","",SUMIFS(Register!$E$9:$E$2008,Register!$A$9:$A$2008,A304))</f>
        <v/>
      </c>
      <c r="D304" s="23" t="str">
        <f aca="false">IF(A304="","",SUMIFS(Register!$F$9:$F$2008,Register!$A$9:$A$2008,A304))</f>
        <v/>
      </c>
      <c r="E304" s="10" t="str">
        <f aca="false">IF(A304="","",IF(ABS(C304-D304)&lt;0.5,"Yes","No"))</f>
        <v/>
      </c>
      <c r="F304" s="21" t="str">
        <f aca="false">IF(A304="","",COUNTIF(Register!$A$9:$A$2008,A304))</f>
        <v/>
      </c>
      <c r="G304" s="21" t="str">
        <f aca="false">IF(A304="","",COUNTIFS(Register!$A$9:$A$2008,A304,Register!$L$9:$L$2008,"?*"))</f>
        <v/>
      </c>
      <c r="H304" s="10" t="str">
        <f aca="false">IF(A304="","",INDEX(Register!$H$9:$H$2008,MATCH(A304,Register!$A$9:$A$2008,0)))</f>
        <v/>
      </c>
      <c r="I304" s="10" t="str">
        <f aca="false">IF(A304="","",INDEX(Register!$I$9:$I$2008,MATCH(A304,Register!$A$9:$A$2008,0))&amp;"")</f>
        <v/>
      </c>
      <c r="J304" s="8"/>
    </row>
    <row r="305" customFormat="false" ht="15" hidden="false" customHeight="false" outlineLevel="0" collapsed="false">
      <c r="A305" s="10" t="str">
        <f aca="false">IFERROR(INDEX(Register!$A$9:$A$2008,MATCH(297,Register!$M$9:$M$2008,0)),"")</f>
        <v/>
      </c>
      <c r="B305" s="22" t="str">
        <f aca="false">IF(A305="","",INDEX(Register!$B$9:$B$2008,MATCH(A305,Register!$A$9:$A$2008,0)))</f>
        <v/>
      </c>
      <c r="C305" s="23" t="str">
        <f aca="false">IF(A305="","",SUMIFS(Register!$E$9:$E$2008,Register!$A$9:$A$2008,A305))</f>
        <v/>
      </c>
      <c r="D305" s="23" t="str">
        <f aca="false">IF(A305="","",SUMIFS(Register!$F$9:$F$2008,Register!$A$9:$A$2008,A305))</f>
        <v/>
      </c>
      <c r="E305" s="10" t="str">
        <f aca="false">IF(A305="","",IF(ABS(C305-D305)&lt;0.5,"Yes","No"))</f>
        <v/>
      </c>
      <c r="F305" s="21" t="str">
        <f aca="false">IF(A305="","",COUNTIF(Register!$A$9:$A$2008,A305))</f>
        <v/>
      </c>
      <c r="G305" s="21" t="str">
        <f aca="false">IF(A305="","",COUNTIFS(Register!$A$9:$A$2008,A305,Register!$L$9:$L$2008,"?*"))</f>
        <v/>
      </c>
      <c r="H305" s="10" t="str">
        <f aca="false">IF(A305="","",INDEX(Register!$H$9:$H$2008,MATCH(A305,Register!$A$9:$A$2008,0)))</f>
        <v/>
      </c>
      <c r="I305" s="10" t="str">
        <f aca="false">IF(A305="","",INDEX(Register!$I$9:$I$2008,MATCH(A305,Register!$A$9:$A$2008,0))&amp;"")</f>
        <v/>
      </c>
      <c r="J305" s="8"/>
    </row>
    <row r="306" customFormat="false" ht="15" hidden="false" customHeight="false" outlineLevel="0" collapsed="false">
      <c r="A306" s="10" t="str">
        <f aca="false">IFERROR(INDEX(Register!$A$9:$A$2008,MATCH(298,Register!$M$9:$M$2008,0)),"")</f>
        <v/>
      </c>
      <c r="B306" s="22" t="str">
        <f aca="false">IF(A306="","",INDEX(Register!$B$9:$B$2008,MATCH(A306,Register!$A$9:$A$2008,0)))</f>
        <v/>
      </c>
      <c r="C306" s="23" t="str">
        <f aca="false">IF(A306="","",SUMIFS(Register!$E$9:$E$2008,Register!$A$9:$A$2008,A306))</f>
        <v/>
      </c>
      <c r="D306" s="23" t="str">
        <f aca="false">IF(A306="","",SUMIFS(Register!$F$9:$F$2008,Register!$A$9:$A$2008,A306))</f>
        <v/>
      </c>
      <c r="E306" s="10" t="str">
        <f aca="false">IF(A306="","",IF(ABS(C306-D306)&lt;0.5,"Yes","No"))</f>
        <v/>
      </c>
      <c r="F306" s="21" t="str">
        <f aca="false">IF(A306="","",COUNTIF(Register!$A$9:$A$2008,A306))</f>
        <v/>
      </c>
      <c r="G306" s="21" t="str">
        <f aca="false">IF(A306="","",COUNTIFS(Register!$A$9:$A$2008,A306,Register!$L$9:$L$2008,"?*"))</f>
        <v/>
      </c>
      <c r="H306" s="10" t="str">
        <f aca="false">IF(A306="","",INDEX(Register!$H$9:$H$2008,MATCH(A306,Register!$A$9:$A$2008,0)))</f>
        <v/>
      </c>
      <c r="I306" s="10" t="str">
        <f aca="false">IF(A306="","",INDEX(Register!$I$9:$I$2008,MATCH(A306,Register!$A$9:$A$2008,0))&amp;"")</f>
        <v/>
      </c>
      <c r="J306" s="8"/>
    </row>
    <row r="307" customFormat="false" ht="15" hidden="false" customHeight="false" outlineLevel="0" collapsed="false">
      <c r="A307" s="10" t="str">
        <f aca="false">IFERROR(INDEX(Register!$A$9:$A$2008,MATCH(299,Register!$M$9:$M$2008,0)),"")</f>
        <v/>
      </c>
      <c r="B307" s="22" t="str">
        <f aca="false">IF(A307="","",INDEX(Register!$B$9:$B$2008,MATCH(A307,Register!$A$9:$A$2008,0)))</f>
        <v/>
      </c>
      <c r="C307" s="23" t="str">
        <f aca="false">IF(A307="","",SUMIFS(Register!$E$9:$E$2008,Register!$A$9:$A$2008,A307))</f>
        <v/>
      </c>
      <c r="D307" s="23" t="str">
        <f aca="false">IF(A307="","",SUMIFS(Register!$F$9:$F$2008,Register!$A$9:$A$2008,A307))</f>
        <v/>
      </c>
      <c r="E307" s="10" t="str">
        <f aca="false">IF(A307="","",IF(ABS(C307-D307)&lt;0.5,"Yes","No"))</f>
        <v/>
      </c>
      <c r="F307" s="21" t="str">
        <f aca="false">IF(A307="","",COUNTIF(Register!$A$9:$A$2008,A307))</f>
        <v/>
      </c>
      <c r="G307" s="21" t="str">
        <f aca="false">IF(A307="","",COUNTIFS(Register!$A$9:$A$2008,A307,Register!$L$9:$L$2008,"?*"))</f>
        <v/>
      </c>
      <c r="H307" s="10" t="str">
        <f aca="false">IF(A307="","",INDEX(Register!$H$9:$H$2008,MATCH(A307,Register!$A$9:$A$2008,0)))</f>
        <v/>
      </c>
      <c r="I307" s="10" t="str">
        <f aca="false">IF(A307="","",INDEX(Register!$I$9:$I$2008,MATCH(A307,Register!$A$9:$A$2008,0))&amp;"")</f>
        <v/>
      </c>
      <c r="J307" s="8"/>
    </row>
    <row r="308" customFormat="false" ht="15" hidden="false" customHeight="false" outlineLevel="0" collapsed="false">
      <c r="A308" s="10" t="str">
        <f aca="false">IFERROR(INDEX(Register!$A$9:$A$2008,MATCH(300,Register!$M$9:$M$2008,0)),"")</f>
        <v/>
      </c>
      <c r="B308" s="22" t="str">
        <f aca="false">IF(A308="","",INDEX(Register!$B$9:$B$2008,MATCH(A308,Register!$A$9:$A$2008,0)))</f>
        <v/>
      </c>
      <c r="C308" s="23" t="str">
        <f aca="false">IF(A308="","",SUMIFS(Register!$E$9:$E$2008,Register!$A$9:$A$2008,A308))</f>
        <v/>
      </c>
      <c r="D308" s="23" t="str">
        <f aca="false">IF(A308="","",SUMIFS(Register!$F$9:$F$2008,Register!$A$9:$A$2008,A308))</f>
        <v/>
      </c>
      <c r="E308" s="10" t="str">
        <f aca="false">IF(A308="","",IF(ABS(C308-D308)&lt;0.5,"Yes","No"))</f>
        <v/>
      </c>
      <c r="F308" s="21" t="str">
        <f aca="false">IF(A308="","",COUNTIF(Register!$A$9:$A$2008,A308))</f>
        <v/>
      </c>
      <c r="G308" s="21" t="str">
        <f aca="false">IF(A308="","",COUNTIFS(Register!$A$9:$A$2008,A308,Register!$L$9:$L$2008,"?*"))</f>
        <v/>
      </c>
      <c r="H308" s="10" t="str">
        <f aca="false">IF(A308="","",INDEX(Register!$H$9:$H$2008,MATCH(A308,Register!$A$9:$A$2008,0)))</f>
        <v/>
      </c>
      <c r="I308" s="10" t="str">
        <f aca="false">IF(A308="","",INDEX(Register!$I$9:$I$2008,MATCH(A308,Register!$A$9:$A$2008,0))&amp;"")</f>
        <v/>
      </c>
      <c r="J308" s="8"/>
    </row>
  </sheetData>
  <conditionalFormatting sqref="E9:E308">
    <cfRule type="expression" priority="2" aboveAverage="0" equalAverage="0" bottom="0" percent="0" rank="0" text="" dxfId="1">
      <formula>E9="No"</formula>
    </cfRule>
  </conditionalFormatting>
  <conditionalFormatting sqref="M9:M13">
    <cfRule type="cellIs" priority="3" operator="equal" aboveAverage="0" equalAverage="0" bottom="0" percent="0" rank="0" text="" dxfId="2">
      <formula>"CHECK"</formula>
    </cfRule>
  </conditionalFormatting>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2026-10-25T22:48:20Z</dcterms:created>
  <dc:creator>sachinnagpal.in</dc:creator>
  <dc:description/>
  <dc:language>en-US</dc:language>
  <cp:lastModifiedBy/>
  <dcterms:modified xsi:type="dcterms:W3CDTF">2026-10-25T22:48:21Z</dcterms:modified>
  <cp:revision>0</cp:revision>
  <dc:subject/>
  <dc:title>W-Journal-Entry-Register.xlsx</dc:title>
</cp:coreProperties>
</file>

<file path=docProps/custom.xml><?xml version="1.0" encoding="utf-8"?>
<Properties xmlns="http://schemas.openxmlformats.org/officeDocument/2006/custom-properties" xmlns:vt="http://schemas.openxmlformats.org/officeDocument/2006/docPropsVTypes"/>
</file>