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Inputs" sheetId="2" state="visible" r:id="rId4"/>
    <sheet name="Model" sheetId="3" state="visible" r:id="rId5"/>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<sst xmlns="http://schemas.openxmlformats.org/spreadsheetml/2006/main" count="118" uniqueCount="110">
  <si>
    <t xml:space="preserve">Template N: TOT (Toll-Operate-Transfer) Concession Valuation</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</si>
  <si>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</si>
  <si>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</si>
  <si>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</si>
  <si>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Values an operating toll road offered under a Toll-Operate-Transfer concession, where the bidder pays a lump-sum upfront concession fee to the authority in return for the right to collect tolls and maintain the road for a fixed period. The template forecasts toll revenue, O&amp;M and major maintenance, tax (including the tax benefit of amortising the upfront fee), and gives the maximum upfront fee you can pay for your target return, the IRR at the fee you plan to bid, and a table of values at different discount rates.</t>
  </si>
  <si>
    <t xml:space="preserve">How to use it (step by step)</t>
  </si>
  <si>
    <t xml:space="preserve">Step 1</t>
  </si>
  <si>
    <t xml:space="preserve">Go to 'Inputs'. Type the concession years, first financial year, current traffic (ADT) by vehicle class, traffic growth, current toll rates and the toll escalation formula.</t>
  </si>
  <si>
    <t xml:space="preserve">Step 2</t>
  </si>
  <si>
    <t xml:space="preserve">Type operating costs: O&amp;M per year, major maintenance cost and cycle, cost inflation, leakage and tax rate.</t>
  </si>
  <si>
    <t xml:space="preserve">Step 3</t>
  </si>
  <si>
    <t xml:space="preserve">Type your target return (discount rate) and the upfront fee you are thinking of bidding.</t>
  </si>
  <si>
    <t xml:space="preserve">Step 4</t>
  </si>
  <si>
    <t xml:space="preserve">Read the results box: value of the cash flows, maximum bid at your target return, IRR at your proposed bid, and the headroom.</t>
  </si>
  <si>
    <t xml:space="preserve">Step 5</t>
  </si>
  <si>
    <t xml:space="preserve">Use the scenario cell to switch traffic growth to Low or High and see how the value changes. The 'Model' tab shows every year.</t>
  </si>
  <si>
    <t xml:space="preserve">Tabs in this file</t>
  </si>
  <si>
    <t xml:space="preserve">Inputs</t>
  </si>
  <si>
    <t xml:space="preserve">Assumptions, scenario, bid and results.</t>
  </si>
  <si>
    <t xml:space="preserve">Model</t>
  </si>
  <si>
    <t xml:space="preserve">Year-by-year forecast with checks.</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</si>
  <si>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</si>
  <si>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</si>
  <si>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</si>
  <si>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</si>
  <si>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</si>
  <si>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</si>
  <si>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</si>
  <si>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</si>
  <si>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</si>
  <si>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Maximum bid = the upfront fee at which the project IRR equals your target return. Because the fee is amortised for tax, a higher fee also gives a bigger tax saving, so maximum bid = present value of after-tax operating cash flow / (1 - tax rate x annuity factor / concession years). This holds when the road makes a taxable profit every year; a check tells you if it does not.</t>
  </si>
  <si>
    <t xml:space="preserve">IRR at your bid uses the year-0 payment of the fee and the yearly after-tax cash flows.</t>
  </si>
  <si>
    <t xml:space="preserve">Scenarios change traffic growth for every class by the amount you set (for example -2% in Low).</t>
  </si>
  <si>
    <t xml:space="preserve">Unlevered (no debt) valuation, annual, up to 30 years. Not covered: financing, GST, MAT, working capital, handback costs and change-in-law events.</t>
  </si>
  <si>
    <t xml:space="preserve">Tax treatment of the upfront fee (amortisation period and method) must be confirmed with your tax adviser.</t>
  </si>
  <si>
    <t xml:space="preserve">All sample figures are illustrative and do not describe any real TOT bundle.</t>
  </si>
  <si>
    <t xml:space="preserve">Version</t>
  </si>
  <si>
    <t xml:space="preserve">v1.0, October 2026. Works in Excel 2010 or later, Excel for Microsoft 365, LibreOffice and Google Sheets. Amounts in Indian Rupees (₹).</t>
  </si>
  <si>
    <t xml:space="preserve">Inputs and Results (₹ crore)</t>
  </si>
  <si>
    <t xml:space="preserve">For computation and reconciliation assistance only; not a substitute for formal statutory audit or legal tax advice.</t>
  </si>
  <si>
    <t xml:space="preserve">Sample is illustrative only.</t>
  </si>
  <si>
    <t xml:space="preserve">Concession</t>
  </si>
  <si>
    <t xml:space="preserve">RESULTS</t>
  </si>
  <si>
    <t xml:space="preserve">Concession period (years, max 30)</t>
  </si>
  <si>
    <t xml:space="preserve">Value of operating cash flow at target return, at your bid's tax shield (₹ crore)</t>
  </si>
  <si>
    <t xml:space="preserve">First financial year (April start)</t>
  </si>
  <si>
    <t xml:space="preserve">NPV at your bid (₹ crore)</t>
  </si>
  <si>
    <t xml:space="preserve">Upfront concession fee you plan to bid (₹ crore)</t>
  </si>
  <si>
    <t xml:space="preserve">IRR at your bid</t>
  </si>
  <si>
    <t xml:space="preserve">Target return / discount rate</t>
  </si>
  <si>
    <t xml:space="preserve">Annuity factor at target return</t>
  </si>
  <si>
    <t xml:space="preserve">Tax rate</t>
  </si>
  <si>
    <t xml:space="preserve">Value ignoring fee tax shield (₹ crore)</t>
  </si>
  <si>
    <t xml:space="preserve">Maximum bid at target return (₹ crore)</t>
  </si>
  <si>
    <t xml:space="preserve">Traffic and tolls (first year)</t>
  </si>
  <si>
    <t xml:space="preserve">Headroom: maximum bid - your bid (₹ crore)</t>
  </si>
  <si>
    <t xml:space="preserve">Vehicle class</t>
  </si>
  <si>
    <t xml:space="preserve">ADT (vehicles/day)</t>
  </si>
  <si>
    <t xml:space="preserve">Base growth % a year</t>
  </si>
  <si>
    <t xml:space="preserve">Toll rate (₹/vehicle)</t>
  </si>
  <si>
    <t xml:space="preserve">Is there taxable profit every year at the maximum bid?</t>
  </si>
  <si>
    <t xml:space="preserve">Car / Jeep / Van</t>
  </si>
  <si>
    <t xml:space="preserve">LCV / Bus</t>
  </si>
  <si>
    <t xml:space="preserve">Truck / multi-axle</t>
  </si>
  <si>
    <t xml:space="preserve">Value at different discount rates (at your bid's tax shield)</t>
  </si>
  <si>
    <t xml:space="preserve">Discount rate</t>
  </si>
  <si>
    <t xml:space="preserve">Value (₹ crore)</t>
  </si>
  <si>
    <t xml:space="preserve">Scenario</t>
  </si>
  <si>
    <t xml:space="preserve">Traffic scenario (Base / Low / High)</t>
  </si>
  <si>
    <t xml:space="preserve">Base</t>
  </si>
  <si>
    <t xml:space="preserve">Change to growth in Low case</t>
  </si>
  <si>
    <t xml:space="preserve">Change to growth in High case</t>
  </si>
  <si>
    <t xml:space="preserve">Growth change used</t>
  </si>
  <si>
    <t xml:space="preserve">Escalation and costs</t>
  </si>
  <si>
    <t xml:space="preserve">Toll escalation: fixed % a year</t>
  </si>
  <si>
    <t xml:space="preserve">WPI inflation (annual)</t>
  </si>
  <si>
    <t xml:space="preserve">Share of WPI passed into tolls</t>
  </si>
  <si>
    <t xml:space="preserve">Leakage / exemptions (% of revenue)</t>
  </si>
  <si>
    <t xml:space="preserve">O&amp;M cost in first year (₹ crore)</t>
  </si>
  <si>
    <t xml:space="preserve">Cost inflation</t>
  </si>
  <si>
    <t xml:space="preserve">Major maintenance cost (₹ crore, first-year prices)</t>
  </si>
  <si>
    <t xml:space="preserve">Major maintenance every (years)</t>
  </si>
  <si>
    <t xml:space="preserve">Annual toll escalation (derived)</t>
  </si>
  <si>
    <t xml:space="preserve">Annual Forecast (₹ crore)</t>
  </si>
  <si>
    <t xml:space="preserve">Line</t>
  </si>
  <si>
    <t xml:space="preserve">Total</t>
  </si>
  <si>
    <t xml:space="preserve">Year no.</t>
  </si>
  <si>
    <t xml:space="preserve">Financial year</t>
  </si>
  <si>
    <t xml:space="preserve">In concession?</t>
  </si>
  <si>
    <t xml:space="preserve">ADT - Car / Jeep / Van</t>
  </si>
  <si>
    <t xml:space="preserve">ADT - LCV / Bus</t>
  </si>
  <si>
    <t xml:space="preserve">ADT - Truck / multi-axle</t>
  </si>
  <si>
    <t xml:space="preserve">Toll - Car / Jeep / Van</t>
  </si>
  <si>
    <t xml:space="preserve">Toll - LCV / Bus</t>
  </si>
  <si>
    <t xml:space="preserve">Toll - Truck / multi-axle</t>
  </si>
  <si>
    <t xml:space="preserve">Toll revenue (net of leakage)</t>
  </si>
  <si>
    <t xml:space="preserve">O&amp;M cost</t>
  </si>
  <si>
    <t xml:space="preserve">Major maintenance</t>
  </si>
  <si>
    <t xml:space="preserve">EBITDA</t>
  </si>
  <si>
    <t xml:space="preserve">Amortisation of upfront fee</t>
  </si>
  <si>
    <t xml:space="preserve">Tax</t>
  </si>
  <si>
    <t xml:space="preserve">After-tax operating cash flow</t>
  </si>
  <si>
    <t xml:space="preserve">Upfront fee paid</t>
  </si>
  <si>
    <t xml:space="preserve">Net cash flow at your bid</t>
  </si>
  <si>
    <t xml:space="preserve">After-tax cash flow ignoring fee tax shield</t>
  </si>
  <si>
    <t xml:space="preserve">EBITDA - fee amortisation (taxable profit check)</t>
  </si>
  <si>
    <t xml:space="preserve">Checks</t>
  </si>
  <si>
    <t xml:space="preserve">Concession period between 1 and 30 years</t>
  </si>
  <si>
    <t xml:space="preserve">Fee amortisation adds back to the upfront fee</t>
  </si>
  <si>
    <t xml:space="preserve">At the maximum bid, NPV at target return is zero (tax shield formula holds)</t>
  </si>
</sst>
</file>

<file path=xl/styles.xml><?xml version="1.0" encoding="utf-8"?>
<styleSheet xmlns="http://schemas.openxmlformats.org/spreadsheetml/2006/main">
  <numFmts count="7">
    <numFmt numFmtId="164" formatCode="General"/>
    <numFmt numFmtId="165" formatCode="0"/>
    <numFmt numFmtId="166" formatCode="#,##0.00;\(#,##0.00\);\-"/>
    <numFmt numFmtId="167" formatCode="0.00%;\(0.00%\);\-"/>
    <numFmt numFmtId="168" formatCode="0.0000"/>
    <numFmt numFmtId="169" formatCode="#,##0;\(#,##0\);\-"/>
    <numFmt numFmtId="170" formatCode="0.0%;\(0.0%\);\-"/>
  </numFmts>
  <fonts count="16">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2"/>
      <color rgb="FF1F3864"/>
      <name val="Arial"/>
      <family val="0"/>
      <charset val="1"/>
    </font>
    <font>
      <b val="true"/>
      <sz val="10"/>
      <color rgb="FFFFFFFF"/>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D9E1F2"/>
        <bgColor rgb="FFE2EFDA"/>
      </patternFill>
    </fill>
    <fill>
      <patternFill patternType="solid">
        <fgColor rgb="FF1F3864"/>
        <bgColor rgb="FF333333"/>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6" fontId="9" fillId="5" borderId="1" xfId="0" applyFont="true" applyBorder="true" applyAlignment="false" applyProtection="false">
      <alignment horizontal="general" vertical="bottom" textRotation="0" wrapText="fals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7" fontId="9" fillId="5" borderId="1" xfId="0" applyFont="true" applyBorder="true" applyAlignment="false" applyProtection="false">
      <alignment horizontal="general" vertical="bottom" textRotation="0" wrapText="false" indent="0" shrinkToFit="false"/>
      <protection locked="true" hidden="false"/>
    </xf>
    <xf numFmtId="167" fontId="10" fillId="3" borderId="1" xfId="0" applyFont="true" applyBorder="true" applyAlignment="false" applyProtection="false">
      <alignment horizontal="general" vertical="bottom" textRotation="0" wrapText="false" indent="0" shrinkToFit="false"/>
      <protection locked="true" hidden="false"/>
    </xf>
    <xf numFmtId="168" fontId="9" fillId="5" borderId="1" xfId="0" applyFont="true" applyBorder="true" applyAlignment="false" applyProtection="false">
      <alignment horizontal="general" vertical="bottom" textRotation="0" wrapText="false" indent="0" shrinkToFit="false"/>
      <protection locked="true" hidden="false"/>
    </xf>
    <xf numFmtId="164" fontId="15" fillId="6" borderId="1" xfId="0" applyFont="true" applyBorder="true" applyAlignment="true" applyProtection="false">
      <alignment horizontal="center" vertical="center" textRotation="0" wrapText="true" indent="0" shrinkToFit="false"/>
      <protection locked="true" hidden="false"/>
    </xf>
    <xf numFmtId="164" fontId="9" fillId="5" borderId="1" xfId="0" applyFont="true" applyBorder="true" applyAlignment="false" applyProtection="false">
      <alignment horizontal="general" vertical="bottom" textRotation="0" wrapText="false" indent="0" shrinkToFit="false"/>
      <protection locked="true" hidden="false"/>
    </xf>
    <xf numFmtId="169" fontId="10" fillId="3" borderId="1" xfId="0" applyFont="true" applyBorder="true" applyAlignment="false" applyProtection="false">
      <alignment horizontal="general" vertical="bottom" textRotation="0" wrapText="false" indent="0" shrinkToFit="false"/>
      <protection locked="true" hidden="false"/>
    </xf>
    <xf numFmtId="170" fontId="10" fillId="3" borderId="1" xfId="0" applyFont="true" applyBorder="tru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70" fontId="8" fillId="0" borderId="1" xfId="0" applyFont="true" applyBorder="true" applyAlignment="false" applyProtection="false">
      <alignment horizontal="general" vertical="bottom" textRotation="0" wrapText="false" indent="0" shrinkToFit="false"/>
      <protection locked="true" hidden="false"/>
    </xf>
    <xf numFmtId="167" fontId="8" fillId="0" borderId="1" xfId="0" applyFont="true" applyBorder="true" applyAlignment="false" applyProtection="false">
      <alignment horizontal="general" vertical="bottom" textRotation="0" wrapText="false" indent="0" shrinkToFit="false"/>
      <protection locked="true" hidden="false"/>
    </xf>
    <xf numFmtId="165" fontId="8" fillId="0" borderId="1" xfId="0" applyFont="true" applyBorder="true" applyAlignment="false" applyProtection="false">
      <alignment horizontal="general" vertical="bottom" textRotation="0" wrapText="false" indent="0" shrinkToFit="false"/>
      <protection locked="true" hidden="false"/>
    </xf>
    <xf numFmtId="169" fontId="8" fillId="0" borderId="1" xfId="0" applyFont="true" applyBorder="true" applyAlignment="false" applyProtection="false">
      <alignment horizontal="general" vertical="bottom" textRotation="0" wrapText="false" indent="0" shrinkToFit="false"/>
      <protection locked="true" hidden="false"/>
    </xf>
    <xf numFmtId="166" fontId="9"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1">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CE4D6"/>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4"/>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75" hidden="false" customHeight="true" outlineLevel="0" collapsed="false">
      <c r="B7" s="5" t="s">
        <v>4</v>
      </c>
      <c r="C7" s="5"/>
    </row>
    <row r="9" customFormat="false" ht="15" hidden="false" customHeight="false" outlineLevel="0" collapsed="false">
      <c r="B9" s="4" t="s">
        <v>5</v>
      </c>
    </row>
    <row r="10" customFormat="false" ht="30" hidden="false" customHeight="true" outlineLevel="0" collapsed="false">
      <c r="B10" s="6" t="s">
        <v>6</v>
      </c>
      <c r="C10" s="7" t="s">
        <v>7</v>
      </c>
    </row>
    <row r="11" customFormat="false" ht="30" hidden="false" customHeight="true" outlineLevel="0" collapsed="false">
      <c r="B11" s="6" t="s">
        <v>8</v>
      </c>
      <c r="C11" s="7" t="s">
        <v>9</v>
      </c>
    </row>
    <row r="12" customFormat="false" ht="15" hidden="false" customHeight="true" outlineLevel="0" collapsed="false">
      <c r="B12" s="6" t="s">
        <v>10</v>
      </c>
      <c r="C12" s="7" t="s">
        <v>11</v>
      </c>
    </row>
    <row r="13" customFormat="false" ht="30" hidden="false" customHeight="true" outlineLevel="0" collapsed="false">
      <c r="B13" s="6" t="s">
        <v>12</v>
      </c>
      <c r="C13" s="7" t="s">
        <v>13</v>
      </c>
    </row>
    <row r="14" customFormat="false" ht="30" hidden="false" customHeight="true" outlineLevel="0" collapsed="false">
      <c r="B14" s="6" t="s">
        <v>14</v>
      </c>
      <c r="C14" s="7" t="s">
        <v>15</v>
      </c>
    </row>
    <row r="16" customFormat="false" ht="15" hidden="false" customHeight="false" outlineLevel="0" collapsed="false">
      <c r="B16" s="4" t="s">
        <v>16</v>
      </c>
    </row>
    <row r="17" customFormat="false" ht="15" hidden="false" customHeight="true" outlineLevel="0" collapsed="false">
      <c r="B17" s="6" t="s">
        <v>17</v>
      </c>
      <c r="C17" s="7" t="s">
        <v>18</v>
      </c>
    </row>
    <row r="18" customFormat="false" ht="15" hidden="false" customHeight="true" outlineLevel="0" collapsed="false">
      <c r="B18" s="6" t="s">
        <v>19</v>
      </c>
      <c r="C18" s="7" t="s">
        <v>20</v>
      </c>
    </row>
    <row r="20" customFormat="false" ht="15" hidden="false" customHeight="false" outlineLevel="0" collapsed="false">
      <c r="B20" s="4" t="s">
        <v>21</v>
      </c>
    </row>
    <row r="21" customFormat="false" ht="15" hidden="false" customHeight="false" outlineLevel="0" collapsed="false">
      <c r="B21" s="8" t="s">
        <v>22</v>
      </c>
      <c r="C21" s="9" t="s">
        <v>23</v>
      </c>
    </row>
    <row r="22" customFormat="false" ht="15" hidden="false" customHeight="false" outlineLevel="0" collapsed="false">
      <c r="B22" s="10" t="s">
        <v>22</v>
      </c>
      <c r="C22" s="9" t="s">
        <v>24</v>
      </c>
    </row>
    <row r="23" customFormat="false" ht="15" hidden="false" customHeight="false" outlineLevel="0" collapsed="false">
      <c r="B23" s="11" t="s">
        <v>22</v>
      </c>
      <c r="C23" s="9" t="s">
        <v>25</v>
      </c>
    </row>
    <row r="24" customFormat="false" ht="15" hidden="false" customHeight="false" outlineLevel="0" collapsed="false">
      <c r="B24" s="12" t="s">
        <v>26</v>
      </c>
      <c r="C24" s="9" t="s">
        <v>27</v>
      </c>
    </row>
    <row r="26" customFormat="false" ht="15" hidden="false" customHeight="false" outlineLevel="0" collapsed="false">
      <c r="B26" s="4" t="s">
        <v>28</v>
      </c>
    </row>
    <row r="27" customFormat="false" ht="60" hidden="false" customHeight="true" outlineLevel="0" collapsed="false">
      <c r="B27" s="13" t="s">
        <v>29</v>
      </c>
      <c r="C27" s="7" t="s">
        <v>30</v>
      </c>
    </row>
    <row r="28" customFormat="false" ht="15" hidden="false" customHeight="true" outlineLevel="0" collapsed="false">
      <c r="B28" s="13" t="s">
        <v>29</v>
      </c>
      <c r="C28" s="7" t="s">
        <v>31</v>
      </c>
    </row>
    <row r="29" customFormat="false" ht="30" hidden="false" customHeight="true" outlineLevel="0" collapsed="false">
      <c r="B29" s="13" t="s">
        <v>29</v>
      </c>
      <c r="C29" s="7" t="s">
        <v>32</v>
      </c>
    </row>
    <row r="30" customFormat="false" ht="30" hidden="false" customHeight="true" outlineLevel="0" collapsed="false">
      <c r="B30" s="13" t="s">
        <v>29</v>
      </c>
      <c r="C30" s="7" t="s">
        <v>33</v>
      </c>
    </row>
    <row r="31" customFormat="false" ht="30" hidden="false" customHeight="true" outlineLevel="0" collapsed="false">
      <c r="B31" s="13" t="s">
        <v>29</v>
      </c>
      <c r="C31" s="7" t="s">
        <v>34</v>
      </c>
    </row>
    <row r="32" customFormat="false" ht="15" hidden="false" customHeight="true" outlineLevel="0" collapsed="false">
      <c r="B32" s="13" t="s">
        <v>29</v>
      </c>
      <c r="C32" s="7" t="s">
        <v>35</v>
      </c>
    </row>
    <row r="34" customFormat="false" ht="15" hidden="false" customHeight="false" outlineLevel="0" collapsed="false">
      <c r="B34" s="14" t="s">
        <v>36</v>
      </c>
      <c r="C34" s="9" t="s">
        <v>37</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3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6"/>
    <col collapsed="false" customWidth="true" hidden="false" outlineLevel="0" max="2" min="2" style="0" width="18"/>
    <col collapsed="false" customWidth="true" hidden="false" outlineLevel="0" max="3" min="3" style="0" width="16"/>
    <col collapsed="false" customWidth="true" hidden="false" outlineLevel="0" max="4" min="4" style="0" width="18"/>
    <col collapsed="false" customWidth="true" hidden="false" outlineLevel="0" max="5" min="5" style="0" width="70"/>
    <col collapsed="false" customWidth="true" hidden="false" outlineLevel="0" max="6" min="6" style="0" width="18"/>
  </cols>
  <sheetData>
    <row r="1" customFormat="false" ht="17.35" hidden="false" customHeight="false" outlineLevel="0" collapsed="false">
      <c r="A1" s="15" t="s">
        <v>38</v>
      </c>
    </row>
    <row r="2" customFormat="false" ht="15" hidden="false" customHeight="false" outlineLevel="0" collapsed="false">
      <c r="A2" s="16" t="s">
        <v>39</v>
      </c>
    </row>
    <row r="3" customFormat="false" ht="15" hidden="false" customHeight="false" outlineLevel="0" collapsed="false">
      <c r="A3" s="2" t="s">
        <v>40</v>
      </c>
    </row>
    <row r="5" customFormat="false" ht="15" hidden="false" customHeight="false" outlineLevel="0" collapsed="false">
      <c r="A5" s="4" t="s">
        <v>41</v>
      </c>
      <c r="E5" s="17" t="s">
        <v>42</v>
      </c>
    </row>
    <row r="6" customFormat="false" ht="15" hidden="false" customHeight="false" outlineLevel="0" collapsed="false">
      <c r="A6" s="9" t="s">
        <v>43</v>
      </c>
      <c r="C6" s="18" t="n">
        <v>20</v>
      </c>
      <c r="E6" s="14" t="s">
        <v>44</v>
      </c>
      <c r="F6" s="19" t="n">
        <f aca="false">NPV(C9,Model!E23:AH23)</f>
        <v>3439.62677309353</v>
      </c>
    </row>
    <row r="7" customFormat="false" ht="15" hidden="false" customHeight="false" outlineLevel="0" collapsed="false">
      <c r="A7" s="9" t="s">
        <v>45</v>
      </c>
      <c r="C7" s="18" t="n">
        <v>2026</v>
      </c>
      <c r="E7" s="14" t="s">
        <v>46</v>
      </c>
      <c r="F7" s="19" t="n">
        <f aca="false">F6-C8</f>
        <v>239.626773093526</v>
      </c>
    </row>
    <row r="8" customFormat="false" ht="15" hidden="false" customHeight="false" outlineLevel="0" collapsed="false">
      <c r="A8" s="9" t="s">
        <v>47</v>
      </c>
      <c r="C8" s="20" t="n">
        <v>3200</v>
      </c>
      <c r="E8" s="14" t="s">
        <v>48</v>
      </c>
      <c r="F8" s="21" t="n">
        <f aca="false">IFERROR(IRR(Model!D25:AH25,0.1),0)</f>
        <v>0.128637919186554</v>
      </c>
    </row>
    <row r="9" customFormat="false" ht="15" hidden="false" customHeight="false" outlineLevel="0" collapsed="false">
      <c r="A9" s="9" t="s">
        <v>49</v>
      </c>
      <c r="C9" s="22" t="n">
        <v>0.12</v>
      </c>
      <c r="E9" s="14" t="s">
        <v>50</v>
      </c>
      <c r="F9" s="23" t="n">
        <f aca="false">(1-(1+C9)^-C6)/C9</f>
        <v>7.4694436243276</v>
      </c>
    </row>
    <row r="10" customFormat="false" ht="15" hidden="false" customHeight="false" outlineLevel="0" collapsed="false">
      <c r="A10" s="9" t="s">
        <v>51</v>
      </c>
      <c r="C10" s="22" t="n">
        <v>0.25168</v>
      </c>
      <c r="E10" s="14" t="s">
        <v>52</v>
      </c>
      <c r="F10" s="19" t="n">
        <f aca="false">NPV(C9,Model!E27:AH27)</f>
        <v>3138.8412416742</v>
      </c>
    </row>
    <row r="11" customFormat="false" ht="15" hidden="false" customHeight="false" outlineLevel="0" collapsed="false">
      <c r="E11" s="14" t="s">
        <v>53</v>
      </c>
      <c r="F11" s="19" t="n">
        <f aca="false">F10/(1-C10*F9/C6)</f>
        <v>3464.4873920882</v>
      </c>
    </row>
    <row r="12" customFormat="false" ht="15" hidden="false" customHeight="false" outlineLevel="0" collapsed="false">
      <c r="A12" s="4" t="s">
        <v>54</v>
      </c>
      <c r="E12" s="14" t="s">
        <v>55</v>
      </c>
      <c r="F12" s="19" t="n">
        <f aca="false">F11-C8</f>
        <v>264.487392088201</v>
      </c>
    </row>
    <row r="13" customFormat="false" ht="30" hidden="false" customHeight="true" outlineLevel="0" collapsed="false">
      <c r="A13" s="24" t="s">
        <v>56</v>
      </c>
      <c r="B13" s="24" t="s">
        <v>57</v>
      </c>
      <c r="C13" s="24" t="s">
        <v>58</v>
      </c>
      <c r="D13" s="24" t="s">
        <v>59</v>
      </c>
      <c r="E13" s="14" t="s">
        <v>60</v>
      </c>
      <c r="F13" s="25" t="str">
        <f aca="false">IF(COUNTIF(Model!E28:AH28,"&lt;0")=0,"Yes","No - maximum bid is approximate")</f>
        <v>Yes</v>
      </c>
    </row>
    <row r="14" customFormat="false" ht="15" hidden="false" customHeight="false" outlineLevel="0" collapsed="false">
      <c r="A14" s="8" t="s">
        <v>61</v>
      </c>
      <c r="B14" s="26" t="n">
        <v>22000</v>
      </c>
      <c r="C14" s="27" t="n">
        <v>0.05</v>
      </c>
      <c r="D14" s="26" t="n">
        <v>110</v>
      </c>
    </row>
    <row r="15" customFormat="false" ht="15" hidden="false" customHeight="false" outlineLevel="0" collapsed="false">
      <c r="A15" s="8" t="s">
        <v>62</v>
      </c>
      <c r="B15" s="26" t="n">
        <v>5000</v>
      </c>
      <c r="C15" s="27" t="n">
        <v>0.04</v>
      </c>
      <c r="D15" s="26" t="n">
        <v>280</v>
      </c>
    </row>
    <row r="16" customFormat="false" ht="15" hidden="false" customHeight="false" outlineLevel="0" collapsed="false">
      <c r="A16" s="8" t="s">
        <v>63</v>
      </c>
      <c r="B16" s="26" t="n">
        <v>9000</v>
      </c>
      <c r="C16" s="27" t="n">
        <v>0.045</v>
      </c>
      <c r="D16" s="26" t="n">
        <v>600</v>
      </c>
      <c r="E16" s="4" t="s">
        <v>64</v>
      </c>
    </row>
    <row r="17" customFormat="false" ht="30" hidden="false" customHeight="true" outlineLevel="0" collapsed="false">
      <c r="E17" s="24" t="s">
        <v>65</v>
      </c>
      <c r="F17" s="24" t="s">
        <v>66</v>
      </c>
    </row>
    <row r="18" customFormat="false" ht="15" hidden="false" customHeight="false" outlineLevel="0" collapsed="false">
      <c r="A18" s="4" t="s">
        <v>67</v>
      </c>
      <c r="E18" s="27" t="n">
        <v>0.1</v>
      </c>
      <c r="F18" s="28" t="n">
        <f aca="false">NPV(E18,Model!E23:AH23)</f>
        <v>4105.77311168947</v>
      </c>
    </row>
    <row r="19" customFormat="false" ht="15" hidden="false" customHeight="false" outlineLevel="0" collapsed="false">
      <c r="A19" s="9" t="s">
        <v>68</v>
      </c>
      <c r="C19" s="8" t="s">
        <v>69</v>
      </c>
      <c r="E19" s="27" t="n">
        <v>0.11</v>
      </c>
      <c r="F19" s="28" t="n">
        <f aca="false">NPV(E19,Model!E23:AH23)</f>
        <v>3751.39684648037</v>
      </c>
    </row>
    <row r="20" customFormat="false" ht="15" hidden="false" customHeight="false" outlineLevel="0" collapsed="false">
      <c r="A20" s="9" t="s">
        <v>70</v>
      </c>
      <c r="C20" s="27" t="n">
        <v>-0.02</v>
      </c>
      <c r="E20" s="27" t="n">
        <v>0.12</v>
      </c>
      <c r="F20" s="28" t="n">
        <f aca="false">NPV(E20,Model!E23:AH23)</f>
        <v>3439.62677309353</v>
      </c>
    </row>
    <row r="21" customFormat="false" ht="15" hidden="false" customHeight="false" outlineLevel="0" collapsed="false">
      <c r="A21" s="9" t="s">
        <v>71</v>
      </c>
      <c r="C21" s="27" t="n">
        <v>0.01</v>
      </c>
      <c r="E21" s="27" t="n">
        <v>0.13</v>
      </c>
      <c r="F21" s="28" t="n">
        <f aca="false">NPV(E21,Model!E23:AH23)</f>
        <v>3164.48494128079</v>
      </c>
    </row>
    <row r="22" customFormat="false" ht="15" hidden="false" customHeight="false" outlineLevel="0" collapsed="false">
      <c r="A22" s="9" t="s">
        <v>72</v>
      </c>
      <c r="C22" s="29" t="n">
        <f aca="false">IF(C19="Low",C20,IF(C19="High",C21,0))</f>
        <v>0</v>
      </c>
      <c r="E22" s="27" t="n">
        <v>0.14</v>
      </c>
      <c r="F22" s="28" t="n">
        <f aca="false">NPV(E22,Model!E23:AH23)</f>
        <v>2920.91922200605</v>
      </c>
    </row>
    <row r="23" customFormat="false" ht="15" hidden="false" customHeight="false" outlineLevel="0" collapsed="false">
      <c r="E23" s="27" t="n">
        <v>0.15</v>
      </c>
      <c r="F23" s="28" t="n">
        <f aca="false">NPV(E23,Model!E23:AH23)</f>
        <v>2704.64900980079</v>
      </c>
    </row>
    <row r="24" customFormat="false" ht="15" hidden="false" customHeight="false" outlineLevel="0" collapsed="false">
      <c r="A24" s="4" t="s">
        <v>73</v>
      </c>
    </row>
    <row r="25" customFormat="false" ht="15" hidden="false" customHeight="false" outlineLevel="0" collapsed="false">
      <c r="A25" s="9" t="s">
        <v>74</v>
      </c>
      <c r="C25" s="22" t="n">
        <v>0.03</v>
      </c>
    </row>
    <row r="26" customFormat="false" ht="15" hidden="false" customHeight="false" outlineLevel="0" collapsed="false">
      <c r="A26" s="9" t="s">
        <v>75</v>
      </c>
      <c r="C26" s="22" t="n">
        <v>0.04</v>
      </c>
    </row>
    <row r="27" customFormat="false" ht="15" hidden="false" customHeight="false" outlineLevel="0" collapsed="false">
      <c r="A27" s="9" t="s">
        <v>76</v>
      </c>
      <c r="C27" s="27" t="n">
        <v>0.4</v>
      </c>
    </row>
    <row r="28" customFormat="false" ht="15" hidden="false" customHeight="false" outlineLevel="0" collapsed="false">
      <c r="A28" s="9" t="s">
        <v>77</v>
      </c>
      <c r="C28" s="27" t="n">
        <v>0.05</v>
      </c>
    </row>
    <row r="29" customFormat="false" ht="15" hidden="false" customHeight="false" outlineLevel="0" collapsed="false">
      <c r="A29" s="9" t="s">
        <v>78</v>
      </c>
      <c r="C29" s="20" t="n">
        <v>25</v>
      </c>
    </row>
    <row r="30" customFormat="false" ht="15" hidden="false" customHeight="false" outlineLevel="0" collapsed="false">
      <c r="A30" s="9" t="s">
        <v>79</v>
      </c>
      <c r="C30" s="22" t="n">
        <v>0.05</v>
      </c>
    </row>
    <row r="31" customFormat="false" ht="15" hidden="false" customHeight="false" outlineLevel="0" collapsed="false">
      <c r="A31" s="9" t="s">
        <v>80</v>
      </c>
      <c r="C31" s="20" t="n">
        <v>80</v>
      </c>
    </row>
    <row r="32" customFormat="false" ht="15" hidden="false" customHeight="false" outlineLevel="0" collapsed="false">
      <c r="A32" s="9" t="s">
        <v>81</v>
      </c>
      <c r="C32" s="18" t="n">
        <v>5</v>
      </c>
    </row>
    <row r="34" customFormat="false" ht="15" hidden="false" customHeight="false" outlineLevel="0" collapsed="false">
      <c r="A34" s="9" t="s">
        <v>82</v>
      </c>
      <c r="C34" s="30" t="n">
        <f aca="false">C25+C27*C26</f>
        <v>0.046</v>
      </c>
    </row>
  </sheetData>
  <dataValidations count="1">
    <dataValidation allowBlank="true" error="Pick a value from the list" errorStyle="stop" errorTitle="Invalid entry" operator="between" showDropDown="false" showErrorMessage="false" showInputMessage="false" sqref="C19" type="list">
      <formula1>"Base,Low,High"</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AH3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3" ySplit="5" topLeftCell="D6" activePane="bottomRight" state="frozen"/>
      <selection pane="topLeft" activeCell="A1" activeCellId="0" sqref="A1"/>
      <selection pane="topRight" activeCell="D1" activeCellId="0" sqref="D1"/>
      <selection pane="bottomLeft" activeCell="A6" activeCellId="0" sqref="A6"/>
      <selection pane="bottomRight" activeCell="A1" activeCellId="0" sqref="A1"/>
    </sheetView>
  </sheetViews>
  <sheetFormatPr defaultColWidth="8.6796875" defaultRowHeight="15" zeroHeight="false" outlineLevelRow="0" outlineLevelCol="0"/>
  <cols>
    <col collapsed="false" customWidth="true" hidden="false" outlineLevel="0" max="1" min="1" style="0" width="46"/>
    <col collapsed="false" customWidth="true" hidden="false" outlineLevel="0" max="2" min="2" style="0" width="3"/>
    <col collapsed="false" customWidth="true" hidden="false" outlineLevel="0" max="3" min="3" style="0" width="12"/>
    <col collapsed="false" customWidth="true" hidden="false" outlineLevel="0" max="34" min="4" style="0" width="10"/>
  </cols>
  <sheetData>
    <row r="1" customFormat="false" ht="17.35" hidden="false" customHeight="false" outlineLevel="0" collapsed="false">
      <c r="A1" s="15" t="s">
        <v>83</v>
      </c>
    </row>
    <row r="2" customFormat="false" ht="15" hidden="false" customHeight="false" outlineLevel="0" collapsed="false">
      <c r="A2" s="16" t="s">
        <v>39</v>
      </c>
    </row>
    <row r="5" customFormat="false" ht="19.5" hidden="false" customHeight="true" outlineLevel="0" collapsed="false">
      <c r="A5" s="24" t="s">
        <v>84</v>
      </c>
      <c r="B5" s="24"/>
      <c r="C5" s="24" t="s">
        <v>85</v>
      </c>
      <c r="D5" s="24" t="str">
        <f aca="false">D7</f>
        <v>Year 0 (bid)</v>
      </c>
      <c r="E5" s="24" t="str">
        <f aca="false">E7</f>
        <v>FY 2026-27</v>
      </c>
      <c r="F5" s="24" t="str">
        <f aca="false">F7</f>
        <v>FY 2027-28</v>
      </c>
      <c r="G5" s="24" t="str">
        <f aca="false">G7</f>
        <v>FY 2028-29</v>
      </c>
      <c r="H5" s="24" t="str">
        <f aca="false">H7</f>
        <v>FY 2029-30</v>
      </c>
      <c r="I5" s="24" t="str">
        <f aca="false">I7</f>
        <v>FY 2030-31</v>
      </c>
      <c r="J5" s="24" t="str">
        <f aca="false">J7</f>
        <v>FY 2031-32</v>
      </c>
      <c r="K5" s="24" t="str">
        <f aca="false">K7</f>
        <v>FY 2032-33</v>
      </c>
      <c r="L5" s="24" t="str">
        <f aca="false">L7</f>
        <v>FY 2033-34</v>
      </c>
      <c r="M5" s="24" t="str">
        <f aca="false">M7</f>
        <v>FY 2034-35</v>
      </c>
      <c r="N5" s="24" t="str">
        <f aca="false">N7</f>
        <v>FY 2035-36</v>
      </c>
      <c r="O5" s="24" t="str">
        <f aca="false">O7</f>
        <v>FY 2036-37</v>
      </c>
      <c r="P5" s="24" t="str">
        <f aca="false">P7</f>
        <v>FY 2037-38</v>
      </c>
      <c r="Q5" s="24" t="str">
        <f aca="false">Q7</f>
        <v>FY 2038-39</v>
      </c>
      <c r="R5" s="24" t="str">
        <f aca="false">R7</f>
        <v>FY 2039-40</v>
      </c>
      <c r="S5" s="24" t="str">
        <f aca="false">S7</f>
        <v>FY 2040-41</v>
      </c>
      <c r="T5" s="24" t="str">
        <f aca="false">T7</f>
        <v>FY 2041-42</v>
      </c>
      <c r="U5" s="24" t="str">
        <f aca="false">U7</f>
        <v>FY 2042-43</v>
      </c>
      <c r="V5" s="24" t="str">
        <f aca="false">V7</f>
        <v>FY 2043-44</v>
      </c>
      <c r="W5" s="24" t="str">
        <f aca="false">W7</f>
        <v>FY 2044-45</v>
      </c>
      <c r="X5" s="24" t="str">
        <f aca="false">X7</f>
        <v>FY 2045-46</v>
      </c>
      <c r="Y5" s="24" t="str">
        <f aca="false">Y7</f>
        <v>FY 2046-47</v>
      </c>
      <c r="Z5" s="24" t="str">
        <f aca="false">Z7</f>
        <v>FY 2047-48</v>
      </c>
      <c r="AA5" s="24" t="str">
        <f aca="false">AA7</f>
        <v>FY 2048-49</v>
      </c>
      <c r="AB5" s="24" t="str">
        <f aca="false">AB7</f>
        <v>FY 2049-50</v>
      </c>
      <c r="AC5" s="24" t="str">
        <f aca="false">AC7</f>
        <v>FY 2050-51</v>
      </c>
      <c r="AD5" s="24" t="str">
        <f aca="false">AD7</f>
        <v>FY 2051-52</v>
      </c>
      <c r="AE5" s="24" t="str">
        <f aca="false">AE7</f>
        <v>FY 2052-53</v>
      </c>
      <c r="AF5" s="24" t="str">
        <f aca="false">AF7</f>
        <v>FY 2053-54</v>
      </c>
      <c r="AG5" s="24" t="str">
        <f aca="false">AG7</f>
        <v>FY 2054-55</v>
      </c>
      <c r="AH5" s="24" t="str">
        <f aca="false">AH7</f>
        <v>FY 2055-56</v>
      </c>
    </row>
    <row r="6" customFormat="false" ht="15" hidden="false" customHeight="false" outlineLevel="0" collapsed="false">
      <c r="A6" s="9" t="s">
        <v>86</v>
      </c>
      <c r="D6" s="31" t="n">
        <v>0</v>
      </c>
      <c r="E6" s="31" t="n">
        <v>1</v>
      </c>
      <c r="F6" s="31" t="n">
        <v>2</v>
      </c>
      <c r="G6" s="31" t="n">
        <v>3</v>
      </c>
      <c r="H6" s="31" t="n">
        <v>4</v>
      </c>
      <c r="I6" s="31" t="n">
        <v>5</v>
      </c>
      <c r="J6" s="31" t="n">
        <v>6</v>
      </c>
      <c r="K6" s="31" t="n">
        <v>7</v>
      </c>
      <c r="L6" s="31" t="n">
        <v>8</v>
      </c>
      <c r="M6" s="31" t="n">
        <v>9</v>
      </c>
      <c r="N6" s="31" t="n">
        <v>10</v>
      </c>
      <c r="O6" s="31" t="n">
        <v>11</v>
      </c>
      <c r="P6" s="31" t="n">
        <v>12</v>
      </c>
      <c r="Q6" s="31" t="n">
        <v>13</v>
      </c>
      <c r="R6" s="31" t="n">
        <v>14</v>
      </c>
      <c r="S6" s="31" t="n">
        <v>15</v>
      </c>
      <c r="T6" s="31" t="n">
        <v>16</v>
      </c>
      <c r="U6" s="31" t="n">
        <v>17</v>
      </c>
      <c r="V6" s="31" t="n">
        <v>18</v>
      </c>
      <c r="W6" s="31" t="n">
        <v>19</v>
      </c>
      <c r="X6" s="31" t="n">
        <v>20</v>
      </c>
      <c r="Y6" s="31" t="n">
        <v>21</v>
      </c>
      <c r="Z6" s="31" t="n">
        <v>22</v>
      </c>
      <c r="AA6" s="31" t="n">
        <v>23</v>
      </c>
      <c r="AB6" s="31" t="n">
        <v>24</v>
      </c>
      <c r="AC6" s="31" t="n">
        <v>25</v>
      </c>
      <c r="AD6" s="31" t="n">
        <v>26</v>
      </c>
      <c r="AE6" s="31" t="n">
        <v>27</v>
      </c>
      <c r="AF6" s="31" t="n">
        <v>28</v>
      </c>
      <c r="AG6" s="31" t="n">
        <v>29</v>
      </c>
      <c r="AH6" s="31" t="n">
        <v>30</v>
      </c>
    </row>
    <row r="7" customFormat="false" ht="15" hidden="false" customHeight="false" outlineLevel="0" collapsed="false">
      <c r="A7" s="9" t="s">
        <v>87</v>
      </c>
      <c r="D7" s="10" t="str">
        <f aca="false">"Year 0 (bid)"</f>
        <v>Year 0 (bid)</v>
      </c>
      <c r="E7" s="10" t="str">
        <f aca="false">"FY "&amp;(Inputs!$C$7+E6-1)&amp;"-"&amp;RIGHT(Inputs!$C$7+E6,2)</f>
        <v>FY 2026-27</v>
      </c>
      <c r="F7" s="10" t="str">
        <f aca="false">"FY "&amp;(Inputs!$C$7+F6-1)&amp;"-"&amp;RIGHT(Inputs!$C$7+F6,2)</f>
        <v>FY 2027-28</v>
      </c>
      <c r="G7" s="10" t="str">
        <f aca="false">"FY "&amp;(Inputs!$C$7+G6-1)&amp;"-"&amp;RIGHT(Inputs!$C$7+G6,2)</f>
        <v>FY 2028-29</v>
      </c>
      <c r="H7" s="10" t="str">
        <f aca="false">"FY "&amp;(Inputs!$C$7+H6-1)&amp;"-"&amp;RIGHT(Inputs!$C$7+H6,2)</f>
        <v>FY 2029-30</v>
      </c>
      <c r="I7" s="10" t="str">
        <f aca="false">"FY "&amp;(Inputs!$C$7+I6-1)&amp;"-"&amp;RIGHT(Inputs!$C$7+I6,2)</f>
        <v>FY 2030-31</v>
      </c>
      <c r="J7" s="10" t="str">
        <f aca="false">"FY "&amp;(Inputs!$C$7+J6-1)&amp;"-"&amp;RIGHT(Inputs!$C$7+J6,2)</f>
        <v>FY 2031-32</v>
      </c>
      <c r="K7" s="10" t="str">
        <f aca="false">"FY "&amp;(Inputs!$C$7+K6-1)&amp;"-"&amp;RIGHT(Inputs!$C$7+K6,2)</f>
        <v>FY 2032-33</v>
      </c>
      <c r="L7" s="10" t="str">
        <f aca="false">"FY "&amp;(Inputs!$C$7+L6-1)&amp;"-"&amp;RIGHT(Inputs!$C$7+L6,2)</f>
        <v>FY 2033-34</v>
      </c>
      <c r="M7" s="10" t="str">
        <f aca="false">"FY "&amp;(Inputs!$C$7+M6-1)&amp;"-"&amp;RIGHT(Inputs!$C$7+M6,2)</f>
        <v>FY 2034-35</v>
      </c>
      <c r="N7" s="10" t="str">
        <f aca="false">"FY "&amp;(Inputs!$C$7+N6-1)&amp;"-"&amp;RIGHT(Inputs!$C$7+N6,2)</f>
        <v>FY 2035-36</v>
      </c>
      <c r="O7" s="10" t="str">
        <f aca="false">"FY "&amp;(Inputs!$C$7+O6-1)&amp;"-"&amp;RIGHT(Inputs!$C$7+O6,2)</f>
        <v>FY 2036-37</v>
      </c>
      <c r="P7" s="10" t="str">
        <f aca="false">"FY "&amp;(Inputs!$C$7+P6-1)&amp;"-"&amp;RIGHT(Inputs!$C$7+P6,2)</f>
        <v>FY 2037-38</v>
      </c>
      <c r="Q7" s="10" t="str">
        <f aca="false">"FY "&amp;(Inputs!$C$7+Q6-1)&amp;"-"&amp;RIGHT(Inputs!$C$7+Q6,2)</f>
        <v>FY 2038-39</v>
      </c>
      <c r="R7" s="10" t="str">
        <f aca="false">"FY "&amp;(Inputs!$C$7+R6-1)&amp;"-"&amp;RIGHT(Inputs!$C$7+R6,2)</f>
        <v>FY 2039-40</v>
      </c>
      <c r="S7" s="10" t="str">
        <f aca="false">"FY "&amp;(Inputs!$C$7+S6-1)&amp;"-"&amp;RIGHT(Inputs!$C$7+S6,2)</f>
        <v>FY 2040-41</v>
      </c>
      <c r="T7" s="10" t="str">
        <f aca="false">"FY "&amp;(Inputs!$C$7+T6-1)&amp;"-"&amp;RIGHT(Inputs!$C$7+T6,2)</f>
        <v>FY 2041-42</v>
      </c>
      <c r="U7" s="10" t="str">
        <f aca="false">"FY "&amp;(Inputs!$C$7+U6-1)&amp;"-"&amp;RIGHT(Inputs!$C$7+U6,2)</f>
        <v>FY 2042-43</v>
      </c>
      <c r="V7" s="10" t="str">
        <f aca="false">"FY "&amp;(Inputs!$C$7+V6-1)&amp;"-"&amp;RIGHT(Inputs!$C$7+V6,2)</f>
        <v>FY 2043-44</v>
      </c>
      <c r="W7" s="10" t="str">
        <f aca="false">"FY "&amp;(Inputs!$C$7+W6-1)&amp;"-"&amp;RIGHT(Inputs!$C$7+W6,2)</f>
        <v>FY 2044-45</v>
      </c>
      <c r="X7" s="10" t="str">
        <f aca="false">"FY "&amp;(Inputs!$C$7+X6-1)&amp;"-"&amp;RIGHT(Inputs!$C$7+X6,2)</f>
        <v>FY 2045-46</v>
      </c>
      <c r="Y7" s="10" t="str">
        <f aca="false">"FY "&amp;(Inputs!$C$7+Y6-1)&amp;"-"&amp;RIGHT(Inputs!$C$7+Y6,2)</f>
        <v>FY 2046-47</v>
      </c>
      <c r="Z7" s="10" t="str">
        <f aca="false">"FY "&amp;(Inputs!$C$7+Z6-1)&amp;"-"&amp;RIGHT(Inputs!$C$7+Z6,2)</f>
        <v>FY 2047-48</v>
      </c>
      <c r="AA7" s="10" t="str">
        <f aca="false">"FY "&amp;(Inputs!$C$7+AA6-1)&amp;"-"&amp;RIGHT(Inputs!$C$7+AA6,2)</f>
        <v>FY 2048-49</v>
      </c>
      <c r="AB7" s="10" t="str">
        <f aca="false">"FY "&amp;(Inputs!$C$7+AB6-1)&amp;"-"&amp;RIGHT(Inputs!$C$7+AB6,2)</f>
        <v>FY 2049-50</v>
      </c>
      <c r="AC7" s="10" t="str">
        <f aca="false">"FY "&amp;(Inputs!$C$7+AC6-1)&amp;"-"&amp;RIGHT(Inputs!$C$7+AC6,2)</f>
        <v>FY 2050-51</v>
      </c>
      <c r="AD7" s="10" t="str">
        <f aca="false">"FY "&amp;(Inputs!$C$7+AD6-1)&amp;"-"&amp;RIGHT(Inputs!$C$7+AD6,2)</f>
        <v>FY 2051-52</v>
      </c>
      <c r="AE7" s="10" t="str">
        <f aca="false">"FY "&amp;(Inputs!$C$7+AE6-1)&amp;"-"&amp;RIGHT(Inputs!$C$7+AE6,2)</f>
        <v>FY 2052-53</v>
      </c>
      <c r="AF7" s="10" t="str">
        <f aca="false">"FY "&amp;(Inputs!$C$7+AF6-1)&amp;"-"&amp;RIGHT(Inputs!$C$7+AF6,2)</f>
        <v>FY 2053-54</v>
      </c>
      <c r="AG7" s="10" t="str">
        <f aca="false">"FY "&amp;(Inputs!$C$7+AG6-1)&amp;"-"&amp;RIGHT(Inputs!$C$7+AG6,2)</f>
        <v>FY 2054-55</v>
      </c>
      <c r="AH7" s="10" t="str">
        <f aca="false">"FY "&amp;(Inputs!$C$7+AH6-1)&amp;"-"&amp;RIGHT(Inputs!$C$7+AH6,2)</f>
        <v>FY 2055-56</v>
      </c>
    </row>
    <row r="8" customFormat="false" ht="15" hidden="false" customHeight="false" outlineLevel="0" collapsed="false">
      <c r="A8" s="9" t="s">
        <v>88</v>
      </c>
      <c r="D8" s="31" t="n">
        <f aca="false">IF(AND(D6&gt;=1,D6&lt;=Inputs!$C$6),1,0)</f>
        <v>0</v>
      </c>
      <c r="E8" s="31" t="n">
        <f aca="false">IF(AND(E6&gt;=1,E6&lt;=Inputs!$C$6),1,0)</f>
        <v>1</v>
      </c>
      <c r="F8" s="31" t="n">
        <f aca="false">IF(AND(F6&gt;=1,F6&lt;=Inputs!$C$6),1,0)</f>
        <v>1</v>
      </c>
      <c r="G8" s="31" t="n">
        <f aca="false">IF(AND(G6&gt;=1,G6&lt;=Inputs!$C$6),1,0)</f>
        <v>1</v>
      </c>
      <c r="H8" s="31" t="n">
        <f aca="false">IF(AND(H6&gt;=1,H6&lt;=Inputs!$C$6),1,0)</f>
        <v>1</v>
      </c>
      <c r="I8" s="31" t="n">
        <f aca="false">IF(AND(I6&gt;=1,I6&lt;=Inputs!$C$6),1,0)</f>
        <v>1</v>
      </c>
      <c r="J8" s="31" t="n">
        <f aca="false">IF(AND(J6&gt;=1,J6&lt;=Inputs!$C$6),1,0)</f>
        <v>1</v>
      </c>
      <c r="K8" s="31" t="n">
        <f aca="false">IF(AND(K6&gt;=1,K6&lt;=Inputs!$C$6),1,0)</f>
        <v>1</v>
      </c>
      <c r="L8" s="31" t="n">
        <f aca="false">IF(AND(L6&gt;=1,L6&lt;=Inputs!$C$6),1,0)</f>
        <v>1</v>
      </c>
      <c r="M8" s="31" t="n">
        <f aca="false">IF(AND(M6&gt;=1,M6&lt;=Inputs!$C$6),1,0)</f>
        <v>1</v>
      </c>
      <c r="N8" s="31" t="n">
        <f aca="false">IF(AND(N6&gt;=1,N6&lt;=Inputs!$C$6),1,0)</f>
        <v>1</v>
      </c>
      <c r="O8" s="31" t="n">
        <f aca="false">IF(AND(O6&gt;=1,O6&lt;=Inputs!$C$6),1,0)</f>
        <v>1</v>
      </c>
      <c r="P8" s="31" t="n">
        <f aca="false">IF(AND(P6&gt;=1,P6&lt;=Inputs!$C$6),1,0)</f>
        <v>1</v>
      </c>
      <c r="Q8" s="31" t="n">
        <f aca="false">IF(AND(Q6&gt;=1,Q6&lt;=Inputs!$C$6),1,0)</f>
        <v>1</v>
      </c>
      <c r="R8" s="31" t="n">
        <f aca="false">IF(AND(R6&gt;=1,R6&lt;=Inputs!$C$6),1,0)</f>
        <v>1</v>
      </c>
      <c r="S8" s="31" t="n">
        <f aca="false">IF(AND(S6&gt;=1,S6&lt;=Inputs!$C$6),1,0)</f>
        <v>1</v>
      </c>
      <c r="T8" s="31" t="n">
        <f aca="false">IF(AND(T6&gt;=1,T6&lt;=Inputs!$C$6),1,0)</f>
        <v>1</v>
      </c>
      <c r="U8" s="31" t="n">
        <f aca="false">IF(AND(U6&gt;=1,U6&lt;=Inputs!$C$6),1,0)</f>
        <v>1</v>
      </c>
      <c r="V8" s="31" t="n">
        <f aca="false">IF(AND(V6&gt;=1,V6&lt;=Inputs!$C$6),1,0)</f>
        <v>1</v>
      </c>
      <c r="W8" s="31" t="n">
        <f aca="false">IF(AND(W6&gt;=1,W6&lt;=Inputs!$C$6),1,0)</f>
        <v>1</v>
      </c>
      <c r="X8" s="31" t="n">
        <f aca="false">IF(AND(X6&gt;=1,X6&lt;=Inputs!$C$6),1,0)</f>
        <v>1</v>
      </c>
      <c r="Y8" s="31" t="n">
        <f aca="false">IF(AND(Y6&gt;=1,Y6&lt;=Inputs!$C$6),1,0)</f>
        <v>0</v>
      </c>
      <c r="Z8" s="31" t="n">
        <f aca="false">IF(AND(Z6&gt;=1,Z6&lt;=Inputs!$C$6),1,0)</f>
        <v>0</v>
      </c>
      <c r="AA8" s="31" t="n">
        <f aca="false">IF(AND(AA6&gt;=1,AA6&lt;=Inputs!$C$6),1,0)</f>
        <v>0</v>
      </c>
      <c r="AB8" s="31" t="n">
        <f aca="false">IF(AND(AB6&gt;=1,AB6&lt;=Inputs!$C$6),1,0)</f>
        <v>0</v>
      </c>
      <c r="AC8" s="31" t="n">
        <f aca="false">IF(AND(AC6&gt;=1,AC6&lt;=Inputs!$C$6),1,0)</f>
        <v>0</v>
      </c>
      <c r="AD8" s="31" t="n">
        <f aca="false">IF(AND(AD6&gt;=1,AD6&lt;=Inputs!$C$6),1,0)</f>
        <v>0</v>
      </c>
      <c r="AE8" s="31" t="n">
        <f aca="false">IF(AND(AE6&gt;=1,AE6&lt;=Inputs!$C$6),1,0)</f>
        <v>0</v>
      </c>
      <c r="AF8" s="31" t="n">
        <f aca="false">IF(AND(AF6&gt;=1,AF6&lt;=Inputs!$C$6),1,0)</f>
        <v>0</v>
      </c>
      <c r="AG8" s="31" t="n">
        <f aca="false">IF(AND(AG6&gt;=1,AG6&lt;=Inputs!$C$6),1,0)</f>
        <v>0</v>
      </c>
      <c r="AH8" s="31" t="n">
        <f aca="false">IF(AND(AH6&gt;=1,AH6&lt;=Inputs!$C$6),1,0)</f>
        <v>0</v>
      </c>
    </row>
    <row r="10" customFormat="false" ht="15" hidden="false" customHeight="false" outlineLevel="0" collapsed="false">
      <c r="A10" s="9" t="s">
        <v>89</v>
      </c>
      <c r="D10" s="32" t="n">
        <f aca="false">D8*Inputs!$B$14*(1+Inputs!$C$14+Inputs!$C$22)^(D6-1)</f>
        <v>0</v>
      </c>
      <c r="E10" s="32" t="n">
        <f aca="false">E8*Inputs!$B$14*(1+Inputs!$C$14+Inputs!$C$22)^(E6-1)</f>
        <v>22000</v>
      </c>
      <c r="F10" s="32" t="n">
        <f aca="false">F8*Inputs!$B$14*(1+Inputs!$C$14+Inputs!$C$22)^(F6-1)</f>
        <v>23100</v>
      </c>
      <c r="G10" s="32" t="n">
        <f aca="false">G8*Inputs!$B$14*(1+Inputs!$C$14+Inputs!$C$22)^(G6-1)</f>
        <v>24255</v>
      </c>
      <c r="H10" s="32" t="n">
        <f aca="false">H8*Inputs!$B$14*(1+Inputs!$C$14+Inputs!$C$22)^(H6-1)</f>
        <v>25467.75</v>
      </c>
      <c r="I10" s="32" t="n">
        <f aca="false">I8*Inputs!$B$14*(1+Inputs!$C$14+Inputs!$C$22)^(I6-1)</f>
        <v>26741.1375</v>
      </c>
      <c r="J10" s="32" t="n">
        <f aca="false">J8*Inputs!$B$14*(1+Inputs!$C$14+Inputs!$C$22)^(J6-1)</f>
        <v>28078.194375</v>
      </c>
      <c r="K10" s="32" t="n">
        <f aca="false">K8*Inputs!$B$14*(1+Inputs!$C$14+Inputs!$C$22)^(K6-1)</f>
        <v>29482.10409375</v>
      </c>
      <c r="L10" s="32" t="n">
        <f aca="false">L8*Inputs!$B$14*(1+Inputs!$C$14+Inputs!$C$22)^(L6-1)</f>
        <v>30956.2092984375</v>
      </c>
      <c r="M10" s="32" t="n">
        <f aca="false">M8*Inputs!$B$14*(1+Inputs!$C$14+Inputs!$C$22)^(M6-1)</f>
        <v>32504.0197633594</v>
      </c>
      <c r="N10" s="32" t="n">
        <f aca="false">N8*Inputs!$B$14*(1+Inputs!$C$14+Inputs!$C$22)^(N6-1)</f>
        <v>34129.2207515274</v>
      </c>
      <c r="O10" s="32" t="n">
        <f aca="false">O8*Inputs!$B$14*(1+Inputs!$C$14+Inputs!$C$22)^(O6-1)</f>
        <v>35835.6817891037</v>
      </c>
      <c r="P10" s="32" t="n">
        <f aca="false">P8*Inputs!$B$14*(1+Inputs!$C$14+Inputs!$C$22)^(P6-1)</f>
        <v>37627.4658785589</v>
      </c>
      <c r="Q10" s="32" t="n">
        <f aca="false">Q8*Inputs!$B$14*(1+Inputs!$C$14+Inputs!$C$22)^(Q6-1)</f>
        <v>39508.8391724869</v>
      </c>
      <c r="R10" s="32" t="n">
        <f aca="false">R8*Inputs!$B$14*(1+Inputs!$C$14+Inputs!$C$22)^(R6-1)</f>
        <v>41484.2811311112</v>
      </c>
      <c r="S10" s="32" t="n">
        <f aca="false">S8*Inputs!$B$14*(1+Inputs!$C$14+Inputs!$C$22)^(S6-1)</f>
        <v>43558.4951876668</v>
      </c>
      <c r="T10" s="32" t="n">
        <f aca="false">T8*Inputs!$B$14*(1+Inputs!$C$14+Inputs!$C$22)^(T6-1)</f>
        <v>45736.4199470501</v>
      </c>
      <c r="U10" s="32" t="n">
        <f aca="false">U8*Inputs!$B$14*(1+Inputs!$C$14+Inputs!$C$22)^(U6-1)</f>
        <v>48023.2409444026</v>
      </c>
      <c r="V10" s="32" t="n">
        <f aca="false">V8*Inputs!$B$14*(1+Inputs!$C$14+Inputs!$C$22)^(V6-1)</f>
        <v>50424.4029916228</v>
      </c>
      <c r="W10" s="32" t="n">
        <f aca="false">W8*Inputs!$B$14*(1+Inputs!$C$14+Inputs!$C$22)^(W6-1)</f>
        <v>52945.6231412039</v>
      </c>
      <c r="X10" s="32" t="n">
        <f aca="false">X8*Inputs!$B$14*(1+Inputs!$C$14+Inputs!$C$22)^(X6-1)</f>
        <v>55592.9042982641</v>
      </c>
      <c r="Y10" s="32" t="n">
        <f aca="false">Y8*Inputs!$B$14*(1+Inputs!$C$14+Inputs!$C$22)^(Y6-1)</f>
        <v>0</v>
      </c>
      <c r="Z10" s="32" t="n">
        <f aca="false">Z8*Inputs!$B$14*(1+Inputs!$C$14+Inputs!$C$22)^(Z6-1)</f>
        <v>0</v>
      </c>
      <c r="AA10" s="32" t="n">
        <f aca="false">AA8*Inputs!$B$14*(1+Inputs!$C$14+Inputs!$C$22)^(AA6-1)</f>
        <v>0</v>
      </c>
      <c r="AB10" s="32" t="n">
        <f aca="false">AB8*Inputs!$B$14*(1+Inputs!$C$14+Inputs!$C$22)^(AB6-1)</f>
        <v>0</v>
      </c>
      <c r="AC10" s="32" t="n">
        <f aca="false">AC8*Inputs!$B$14*(1+Inputs!$C$14+Inputs!$C$22)^(AC6-1)</f>
        <v>0</v>
      </c>
      <c r="AD10" s="32" t="n">
        <f aca="false">AD8*Inputs!$B$14*(1+Inputs!$C$14+Inputs!$C$22)^(AD6-1)</f>
        <v>0</v>
      </c>
      <c r="AE10" s="32" t="n">
        <f aca="false">AE8*Inputs!$B$14*(1+Inputs!$C$14+Inputs!$C$22)^(AE6-1)</f>
        <v>0</v>
      </c>
      <c r="AF10" s="32" t="n">
        <f aca="false">AF8*Inputs!$B$14*(1+Inputs!$C$14+Inputs!$C$22)^(AF6-1)</f>
        <v>0</v>
      </c>
      <c r="AG10" s="32" t="n">
        <f aca="false">AG8*Inputs!$B$14*(1+Inputs!$C$14+Inputs!$C$22)^(AG6-1)</f>
        <v>0</v>
      </c>
      <c r="AH10" s="32" t="n">
        <f aca="false">AH8*Inputs!$B$14*(1+Inputs!$C$14+Inputs!$C$22)^(AH6-1)</f>
        <v>0</v>
      </c>
    </row>
    <row r="11" customFormat="false" ht="15" hidden="false" customHeight="false" outlineLevel="0" collapsed="false">
      <c r="A11" s="9" t="s">
        <v>90</v>
      </c>
      <c r="D11" s="32" t="n">
        <f aca="false">D8*Inputs!$B$15*(1+Inputs!$C$15+Inputs!$C$22)^(D6-1)</f>
        <v>0</v>
      </c>
      <c r="E11" s="32" t="n">
        <f aca="false">E8*Inputs!$B$15*(1+Inputs!$C$15+Inputs!$C$22)^(E6-1)</f>
        <v>5000</v>
      </c>
      <c r="F11" s="32" t="n">
        <f aca="false">F8*Inputs!$B$15*(1+Inputs!$C$15+Inputs!$C$22)^(F6-1)</f>
        <v>5200</v>
      </c>
      <c r="G11" s="32" t="n">
        <f aca="false">G8*Inputs!$B$15*(1+Inputs!$C$15+Inputs!$C$22)^(G6-1)</f>
        <v>5408</v>
      </c>
      <c r="H11" s="32" t="n">
        <f aca="false">H8*Inputs!$B$15*(1+Inputs!$C$15+Inputs!$C$22)^(H6-1)</f>
        <v>5624.32</v>
      </c>
      <c r="I11" s="32" t="n">
        <f aca="false">I8*Inputs!$B$15*(1+Inputs!$C$15+Inputs!$C$22)^(I6-1)</f>
        <v>5849.2928</v>
      </c>
      <c r="J11" s="32" t="n">
        <f aca="false">J8*Inputs!$B$15*(1+Inputs!$C$15+Inputs!$C$22)^(J6-1)</f>
        <v>6083.264512</v>
      </c>
      <c r="K11" s="32" t="n">
        <f aca="false">K8*Inputs!$B$15*(1+Inputs!$C$15+Inputs!$C$22)^(K6-1)</f>
        <v>6326.59509248</v>
      </c>
      <c r="L11" s="32" t="n">
        <f aca="false">L8*Inputs!$B$15*(1+Inputs!$C$15+Inputs!$C$22)^(L6-1)</f>
        <v>6579.6588961792</v>
      </c>
      <c r="M11" s="32" t="n">
        <f aca="false">M8*Inputs!$B$15*(1+Inputs!$C$15+Inputs!$C$22)^(M6-1)</f>
        <v>6842.84525202637</v>
      </c>
      <c r="N11" s="32" t="n">
        <f aca="false">N8*Inputs!$B$15*(1+Inputs!$C$15+Inputs!$C$22)^(N6-1)</f>
        <v>7116.55906210743</v>
      </c>
      <c r="O11" s="32" t="n">
        <f aca="false">O8*Inputs!$B$15*(1+Inputs!$C$15+Inputs!$C$22)^(O6-1)</f>
        <v>7401.22142459172</v>
      </c>
      <c r="P11" s="32" t="n">
        <f aca="false">P8*Inputs!$B$15*(1+Inputs!$C$15+Inputs!$C$22)^(P6-1)</f>
        <v>7697.27028157539</v>
      </c>
      <c r="Q11" s="32" t="n">
        <f aca="false">Q8*Inputs!$B$15*(1+Inputs!$C$15+Inputs!$C$22)^(Q6-1)</f>
        <v>8005.16109283841</v>
      </c>
      <c r="R11" s="32" t="n">
        <f aca="false">R8*Inputs!$B$15*(1+Inputs!$C$15+Inputs!$C$22)^(R6-1)</f>
        <v>8325.36753655195</v>
      </c>
      <c r="S11" s="32" t="n">
        <f aca="false">S8*Inputs!$B$15*(1+Inputs!$C$15+Inputs!$C$22)^(S6-1)</f>
        <v>8658.38223801402</v>
      </c>
      <c r="T11" s="32" t="n">
        <f aca="false">T8*Inputs!$B$15*(1+Inputs!$C$15+Inputs!$C$22)^(T6-1)</f>
        <v>9004.71752753458</v>
      </c>
      <c r="U11" s="32" t="n">
        <f aca="false">U8*Inputs!$B$15*(1+Inputs!$C$15+Inputs!$C$22)^(U6-1)</f>
        <v>9364.90622863597</v>
      </c>
      <c r="V11" s="32" t="n">
        <f aca="false">V8*Inputs!$B$15*(1+Inputs!$C$15+Inputs!$C$22)^(V6-1)</f>
        <v>9739.50247778141</v>
      </c>
      <c r="W11" s="32" t="n">
        <f aca="false">W8*Inputs!$B$15*(1+Inputs!$C$15+Inputs!$C$22)^(W6-1)</f>
        <v>10129.0825768927</v>
      </c>
      <c r="X11" s="32" t="n">
        <f aca="false">X8*Inputs!$B$15*(1+Inputs!$C$15+Inputs!$C$22)^(X6-1)</f>
        <v>10534.2458799684</v>
      </c>
      <c r="Y11" s="32" t="n">
        <f aca="false">Y8*Inputs!$B$15*(1+Inputs!$C$15+Inputs!$C$22)^(Y6-1)</f>
        <v>0</v>
      </c>
      <c r="Z11" s="32" t="n">
        <f aca="false">Z8*Inputs!$B$15*(1+Inputs!$C$15+Inputs!$C$22)^(Z6-1)</f>
        <v>0</v>
      </c>
      <c r="AA11" s="32" t="n">
        <f aca="false">AA8*Inputs!$B$15*(1+Inputs!$C$15+Inputs!$C$22)^(AA6-1)</f>
        <v>0</v>
      </c>
      <c r="AB11" s="32" t="n">
        <f aca="false">AB8*Inputs!$B$15*(1+Inputs!$C$15+Inputs!$C$22)^(AB6-1)</f>
        <v>0</v>
      </c>
      <c r="AC11" s="32" t="n">
        <f aca="false">AC8*Inputs!$B$15*(1+Inputs!$C$15+Inputs!$C$22)^(AC6-1)</f>
        <v>0</v>
      </c>
      <c r="AD11" s="32" t="n">
        <f aca="false">AD8*Inputs!$B$15*(1+Inputs!$C$15+Inputs!$C$22)^(AD6-1)</f>
        <v>0</v>
      </c>
      <c r="AE11" s="32" t="n">
        <f aca="false">AE8*Inputs!$B$15*(1+Inputs!$C$15+Inputs!$C$22)^(AE6-1)</f>
        <v>0</v>
      </c>
      <c r="AF11" s="32" t="n">
        <f aca="false">AF8*Inputs!$B$15*(1+Inputs!$C$15+Inputs!$C$22)^(AF6-1)</f>
        <v>0</v>
      </c>
      <c r="AG11" s="32" t="n">
        <f aca="false">AG8*Inputs!$B$15*(1+Inputs!$C$15+Inputs!$C$22)^(AG6-1)</f>
        <v>0</v>
      </c>
      <c r="AH11" s="32" t="n">
        <f aca="false">AH8*Inputs!$B$15*(1+Inputs!$C$15+Inputs!$C$22)^(AH6-1)</f>
        <v>0</v>
      </c>
    </row>
    <row r="12" customFormat="false" ht="15" hidden="false" customHeight="false" outlineLevel="0" collapsed="false">
      <c r="A12" s="9" t="s">
        <v>91</v>
      </c>
      <c r="D12" s="32" t="n">
        <f aca="false">D8*Inputs!$B$16*(1+Inputs!$C$16+Inputs!$C$22)^(D6-1)</f>
        <v>0</v>
      </c>
      <c r="E12" s="32" t="n">
        <f aca="false">E8*Inputs!$B$16*(1+Inputs!$C$16+Inputs!$C$22)^(E6-1)</f>
        <v>9000</v>
      </c>
      <c r="F12" s="32" t="n">
        <f aca="false">F8*Inputs!$B$16*(1+Inputs!$C$16+Inputs!$C$22)^(F6-1)</f>
        <v>9405</v>
      </c>
      <c r="G12" s="32" t="n">
        <f aca="false">G8*Inputs!$B$16*(1+Inputs!$C$16+Inputs!$C$22)^(G6-1)</f>
        <v>9828.225</v>
      </c>
      <c r="H12" s="32" t="n">
        <f aca="false">H8*Inputs!$B$16*(1+Inputs!$C$16+Inputs!$C$22)^(H6-1)</f>
        <v>10270.495125</v>
      </c>
      <c r="I12" s="32" t="n">
        <f aca="false">I8*Inputs!$B$16*(1+Inputs!$C$16+Inputs!$C$22)^(I6-1)</f>
        <v>10732.667405625</v>
      </c>
      <c r="J12" s="32" t="n">
        <f aca="false">J8*Inputs!$B$16*(1+Inputs!$C$16+Inputs!$C$22)^(J6-1)</f>
        <v>11215.6374388781</v>
      </c>
      <c r="K12" s="32" t="n">
        <f aca="false">K8*Inputs!$B$16*(1+Inputs!$C$16+Inputs!$C$22)^(K6-1)</f>
        <v>11720.3411236276</v>
      </c>
      <c r="L12" s="32" t="n">
        <f aca="false">L8*Inputs!$B$16*(1+Inputs!$C$16+Inputs!$C$22)^(L6-1)</f>
        <v>12247.7564741909</v>
      </c>
      <c r="M12" s="32" t="n">
        <f aca="false">M8*Inputs!$B$16*(1+Inputs!$C$16+Inputs!$C$22)^(M6-1)</f>
        <v>12798.9055155295</v>
      </c>
      <c r="N12" s="32" t="n">
        <f aca="false">N8*Inputs!$B$16*(1+Inputs!$C$16+Inputs!$C$22)^(N6-1)</f>
        <v>13374.8562637283</v>
      </c>
      <c r="O12" s="32" t="n">
        <f aca="false">O8*Inputs!$B$16*(1+Inputs!$C$16+Inputs!$C$22)^(O6-1)</f>
        <v>13976.7247955961</v>
      </c>
      <c r="P12" s="32" t="n">
        <f aca="false">P8*Inputs!$B$16*(1+Inputs!$C$16+Inputs!$C$22)^(P6-1)</f>
        <v>14605.6774113979</v>
      </c>
      <c r="Q12" s="32" t="n">
        <f aca="false">Q8*Inputs!$B$16*(1+Inputs!$C$16+Inputs!$C$22)^(Q6-1)</f>
        <v>15262.9328949108</v>
      </c>
      <c r="R12" s="32" t="n">
        <f aca="false">R8*Inputs!$B$16*(1+Inputs!$C$16+Inputs!$C$22)^(R6-1)</f>
        <v>15949.7648751818</v>
      </c>
      <c r="S12" s="32" t="n">
        <f aca="false">S8*Inputs!$B$16*(1+Inputs!$C$16+Inputs!$C$22)^(S6-1)</f>
        <v>16667.504294565</v>
      </c>
      <c r="T12" s="32" t="n">
        <f aca="false">T8*Inputs!$B$16*(1+Inputs!$C$16+Inputs!$C$22)^(T6-1)</f>
        <v>17417.5419878204</v>
      </c>
      <c r="U12" s="32" t="n">
        <f aca="false">U8*Inputs!$B$16*(1+Inputs!$C$16+Inputs!$C$22)^(U6-1)</f>
        <v>18201.3313772723</v>
      </c>
      <c r="V12" s="32" t="n">
        <f aca="false">V8*Inputs!$B$16*(1+Inputs!$C$16+Inputs!$C$22)^(V6-1)</f>
        <v>19020.3912892495</v>
      </c>
      <c r="W12" s="32" t="n">
        <f aca="false">W8*Inputs!$B$16*(1+Inputs!$C$16+Inputs!$C$22)^(W6-1)</f>
        <v>19876.3088972658</v>
      </c>
      <c r="X12" s="32" t="n">
        <f aca="false">X8*Inputs!$B$16*(1+Inputs!$C$16+Inputs!$C$22)^(X6-1)</f>
        <v>20770.7427976427</v>
      </c>
      <c r="Y12" s="32" t="n">
        <f aca="false">Y8*Inputs!$B$16*(1+Inputs!$C$16+Inputs!$C$22)^(Y6-1)</f>
        <v>0</v>
      </c>
      <c r="Z12" s="32" t="n">
        <f aca="false">Z8*Inputs!$B$16*(1+Inputs!$C$16+Inputs!$C$22)^(Z6-1)</f>
        <v>0</v>
      </c>
      <c r="AA12" s="32" t="n">
        <f aca="false">AA8*Inputs!$B$16*(1+Inputs!$C$16+Inputs!$C$22)^(AA6-1)</f>
        <v>0</v>
      </c>
      <c r="AB12" s="32" t="n">
        <f aca="false">AB8*Inputs!$B$16*(1+Inputs!$C$16+Inputs!$C$22)^(AB6-1)</f>
        <v>0</v>
      </c>
      <c r="AC12" s="32" t="n">
        <f aca="false">AC8*Inputs!$B$16*(1+Inputs!$C$16+Inputs!$C$22)^(AC6-1)</f>
        <v>0</v>
      </c>
      <c r="AD12" s="32" t="n">
        <f aca="false">AD8*Inputs!$B$16*(1+Inputs!$C$16+Inputs!$C$22)^(AD6-1)</f>
        <v>0</v>
      </c>
      <c r="AE12" s="32" t="n">
        <f aca="false">AE8*Inputs!$B$16*(1+Inputs!$C$16+Inputs!$C$22)^(AE6-1)</f>
        <v>0</v>
      </c>
      <c r="AF12" s="32" t="n">
        <f aca="false">AF8*Inputs!$B$16*(1+Inputs!$C$16+Inputs!$C$22)^(AF6-1)</f>
        <v>0</v>
      </c>
      <c r="AG12" s="32" t="n">
        <f aca="false">AG8*Inputs!$B$16*(1+Inputs!$C$16+Inputs!$C$22)^(AG6-1)</f>
        <v>0</v>
      </c>
      <c r="AH12" s="32" t="n">
        <f aca="false">AH8*Inputs!$B$16*(1+Inputs!$C$16+Inputs!$C$22)^(AH6-1)</f>
        <v>0</v>
      </c>
    </row>
    <row r="13" customFormat="false" ht="15" hidden="false" customHeight="false" outlineLevel="0" collapsed="false">
      <c r="A13" s="9" t="s">
        <v>92</v>
      </c>
      <c r="D13" s="32" t="n">
        <f aca="false">D8*Inputs!$D$14*(1+Inputs!$C$34)^(D6-1)</f>
        <v>0</v>
      </c>
      <c r="E13" s="32" t="n">
        <f aca="false">E8*Inputs!$D$14*(1+Inputs!$C$34)^(E6-1)</f>
        <v>110</v>
      </c>
      <c r="F13" s="32" t="n">
        <f aca="false">F8*Inputs!$D$14*(1+Inputs!$C$34)^(F6-1)</f>
        <v>115.06</v>
      </c>
      <c r="G13" s="32" t="n">
        <f aca="false">G8*Inputs!$D$14*(1+Inputs!$C$34)^(G6-1)</f>
        <v>120.35276</v>
      </c>
      <c r="H13" s="32" t="n">
        <f aca="false">H8*Inputs!$D$14*(1+Inputs!$C$34)^(H6-1)</f>
        <v>125.88898696</v>
      </c>
      <c r="I13" s="32" t="n">
        <f aca="false">I8*Inputs!$D$14*(1+Inputs!$C$34)^(I6-1)</f>
        <v>131.67988036016</v>
      </c>
      <c r="J13" s="32" t="n">
        <f aca="false">J8*Inputs!$D$14*(1+Inputs!$C$34)^(J6-1)</f>
        <v>137.737154856727</v>
      </c>
      <c r="K13" s="32" t="n">
        <f aca="false">K8*Inputs!$D$14*(1+Inputs!$C$34)^(K6-1)</f>
        <v>144.073063980137</v>
      </c>
      <c r="L13" s="32" t="n">
        <f aca="false">L8*Inputs!$D$14*(1+Inputs!$C$34)^(L6-1)</f>
        <v>150.700424923223</v>
      </c>
      <c r="M13" s="32" t="n">
        <f aca="false">M8*Inputs!$D$14*(1+Inputs!$C$34)^(M6-1)</f>
        <v>157.632644469691</v>
      </c>
      <c r="N13" s="32" t="n">
        <f aca="false">N8*Inputs!$D$14*(1+Inputs!$C$34)^(N6-1)</f>
        <v>164.883746115297</v>
      </c>
      <c r="O13" s="32" t="n">
        <f aca="false">O8*Inputs!$D$14*(1+Inputs!$C$34)^(O6-1)</f>
        <v>172.468398436601</v>
      </c>
      <c r="P13" s="32" t="n">
        <f aca="false">P8*Inputs!$D$14*(1+Inputs!$C$34)^(P6-1)</f>
        <v>180.401944764685</v>
      </c>
      <c r="Q13" s="32" t="n">
        <f aca="false">Q8*Inputs!$D$14*(1+Inputs!$C$34)^(Q6-1)</f>
        <v>188.70043422386</v>
      </c>
      <c r="R13" s="32" t="n">
        <f aca="false">R8*Inputs!$D$14*(1+Inputs!$C$34)^(R6-1)</f>
        <v>197.380654198158</v>
      </c>
      <c r="S13" s="32" t="n">
        <f aca="false">S8*Inputs!$D$14*(1+Inputs!$C$34)^(S6-1)</f>
        <v>206.460164291273</v>
      </c>
      <c r="T13" s="32" t="n">
        <f aca="false">T8*Inputs!$D$14*(1+Inputs!$C$34)^(T6-1)</f>
        <v>215.957331848671</v>
      </c>
      <c r="U13" s="32" t="n">
        <f aca="false">U8*Inputs!$D$14*(1+Inputs!$C$34)^(U6-1)</f>
        <v>225.89136911371</v>
      </c>
      <c r="V13" s="32" t="n">
        <f aca="false">V8*Inputs!$D$14*(1+Inputs!$C$34)^(V6-1)</f>
        <v>236.282372092941</v>
      </c>
      <c r="W13" s="32" t="n">
        <f aca="false">W8*Inputs!$D$14*(1+Inputs!$C$34)^(W6-1)</f>
        <v>247.151361209216</v>
      </c>
      <c r="X13" s="32" t="n">
        <f aca="false">X8*Inputs!$D$14*(1+Inputs!$C$34)^(X6-1)</f>
        <v>258.52032382484</v>
      </c>
      <c r="Y13" s="32" t="n">
        <f aca="false">Y8*Inputs!$D$14*(1+Inputs!$C$34)^(Y6-1)</f>
        <v>0</v>
      </c>
      <c r="Z13" s="32" t="n">
        <f aca="false">Z8*Inputs!$D$14*(1+Inputs!$C$34)^(Z6-1)</f>
        <v>0</v>
      </c>
      <c r="AA13" s="32" t="n">
        <f aca="false">AA8*Inputs!$D$14*(1+Inputs!$C$34)^(AA6-1)</f>
        <v>0</v>
      </c>
      <c r="AB13" s="32" t="n">
        <f aca="false">AB8*Inputs!$D$14*(1+Inputs!$C$34)^(AB6-1)</f>
        <v>0</v>
      </c>
      <c r="AC13" s="32" t="n">
        <f aca="false">AC8*Inputs!$D$14*(1+Inputs!$C$34)^(AC6-1)</f>
        <v>0</v>
      </c>
      <c r="AD13" s="32" t="n">
        <f aca="false">AD8*Inputs!$D$14*(1+Inputs!$C$34)^(AD6-1)</f>
        <v>0</v>
      </c>
      <c r="AE13" s="32" t="n">
        <f aca="false">AE8*Inputs!$D$14*(1+Inputs!$C$34)^(AE6-1)</f>
        <v>0</v>
      </c>
      <c r="AF13" s="32" t="n">
        <f aca="false">AF8*Inputs!$D$14*(1+Inputs!$C$34)^(AF6-1)</f>
        <v>0</v>
      </c>
      <c r="AG13" s="32" t="n">
        <f aca="false">AG8*Inputs!$D$14*(1+Inputs!$C$34)^(AG6-1)</f>
        <v>0</v>
      </c>
      <c r="AH13" s="32" t="n">
        <f aca="false">AH8*Inputs!$D$14*(1+Inputs!$C$34)^(AH6-1)</f>
        <v>0</v>
      </c>
    </row>
    <row r="14" customFormat="false" ht="15" hidden="false" customHeight="false" outlineLevel="0" collapsed="false">
      <c r="A14" s="9" t="s">
        <v>93</v>
      </c>
      <c r="D14" s="32" t="n">
        <f aca="false">D8*Inputs!$D$15*(1+Inputs!$C$34)^(D6-1)</f>
        <v>0</v>
      </c>
      <c r="E14" s="32" t="n">
        <f aca="false">E8*Inputs!$D$15*(1+Inputs!$C$34)^(E6-1)</f>
        <v>280</v>
      </c>
      <c r="F14" s="32" t="n">
        <f aca="false">F8*Inputs!$D$15*(1+Inputs!$C$34)^(F6-1)</f>
        <v>292.88</v>
      </c>
      <c r="G14" s="32" t="n">
        <f aca="false">G8*Inputs!$D$15*(1+Inputs!$C$34)^(G6-1)</f>
        <v>306.35248</v>
      </c>
      <c r="H14" s="32" t="n">
        <f aca="false">H8*Inputs!$D$15*(1+Inputs!$C$34)^(H6-1)</f>
        <v>320.44469408</v>
      </c>
      <c r="I14" s="32" t="n">
        <f aca="false">I8*Inputs!$D$15*(1+Inputs!$C$34)^(I6-1)</f>
        <v>335.18515000768</v>
      </c>
      <c r="J14" s="32" t="n">
        <f aca="false">J8*Inputs!$D$15*(1+Inputs!$C$34)^(J6-1)</f>
        <v>350.603666908033</v>
      </c>
      <c r="K14" s="32" t="n">
        <f aca="false">K8*Inputs!$D$15*(1+Inputs!$C$34)^(K6-1)</f>
        <v>366.731435585803</v>
      </c>
      <c r="L14" s="32" t="n">
        <f aca="false">L8*Inputs!$D$15*(1+Inputs!$C$34)^(L6-1)</f>
        <v>383.60108162275</v>
      </c>
      <c r="M14" s="32" t="n">
        <f aca="false">M8*Inputs!$D$15*(1+Inputs!$C$34)^(M6-1)</f>
        <v>401.246731377396</v>
      </c>
      <c r="N14" s="32" t="n">
        <f aca="false">N8*Inputs!$D$15*(1+Inputs!$C$34)^(N6-1)</f>
        <v>419.704081020757</v>
      </c>
      <c r="O14" s="32" t="n">
        <f aca="false">O8*Inputs!$D$15*(1+Inputs!$C$34)^(O6-1)</f>
        <v>439.010468747711</v>
      </c>
      <c r="P14" s="32" t="n">
        <f aca="false">P8*Inputs!$D$15*(1+Inputs!$C$34)^(P6-1)</f>
        <v>459.204950310106</v>
      </c>
      <c r="Q14" s="32" t="n">
        <f aca="false">Q8*Inputs!$D$15*(1+Inputs!$C$34)^(Q6-1)</f>
        <v>480.328378024371</v>
      </c>
      <c r="R14" s="32" t="n">
        <f aca="false">R8*Inputs!$D$15*(1+Inputs!$C$34)^(R6-1)</f>
        <v>502.423483413492</v>
      </c>
      <c r="S14" s="32" t="n">
        <f aca="false">S8*Inputs!$D$15*(1+Inputs!$C$34)^(S6-1)</f>
        <v>525.534963650513</v>
      </c>
      <c r="T14" s="32" t="n">
        <f aca="false">T8*Inputs!$D$15*(1+Inputs!$C$34)^(T6-1)</f>
        <v>549.709571978436</v>
      </c>
      <c r="U14" s="32" t="n">
        <f aca="false">U8*Inputs!$D$15*(1+Inputs!$C$34)^(U6-1)</f>
        <v>574.996212289445</v>
      </c>
      <c r="V14" s="32" t="n">
        <f aca="false">V8*Inputs!$D$15*(1+Inputs!$C$34)^(V6-1)</f>
        <v>601.446038054759</v>
      </c>
      <c r="W14" s="32" t="n">
        <f aca="false">W8*Inputs!$D$15*(1+Inputs!$C$34)^(W6-1)</f>
        <v>629.112555805278</v>
      </c>
      <c r="X14" s="32" t="n">
        <f aca="false">X8*Inputs!$D$15*(1+Inputs!$C$34)^(X6-1)</f>
        <v>658.051733372321</v>
      </c>
      <c r="Y14" s="32" t="n">
        <f aca="false">Y8*Inputs!$D$15*(1+Inputs!$C$34)^(Y6-1)</f>
        <v>0</v>
      </c>
      <c r="Z14" s="32" t="n">
        <f aca="false">Z8*Inputs!$D$15*(1+Inputs!$C$34)^(Z6-1)</f>
        <v>0</v>
      </c>
      <c r="AA14" s="32" t="n">
        <f aca="false">AA8*Inputs!$D$15*(1+Inputs!$C$34)^(AA6-1)</f>
        <v>0</v>
      </c>
      <c r="AB14" s="32" t="n">
        <f aca="false">AB8*Inputs!$D$15*(1+Inputs!$C$34)^(AB6-1)</f>
        <v>0</v>
      </c>
      <c r="AC14" s="32" t="n">
        <f aca="false">AC8*Inputs!$D$15*(1+Inputs!$C$34)^(AC6-1)</f>
        <v>0</v>
      </c>
      <c r="AD14" s="32" t="n">
        <f aca="false">AD8*Inputs!$D$15*(1+Inputs!$C$34)^(AD6-1)</f>
        <v>0</v>
      </c>
      <c r="AE14" s="32" t="n">
        <f aca="false">AE8*Inputs!$D$15*(1+Inputs!$C$34)^(AE6-1)</f>
        <v>0</v>
      </c>
      <c r="AF14" s="32" t="n">
        <f aca="false">AF8*Inputs!$D$15*(1+Inputs!$C$34)^(AF6-1)</f>
        <v>0</v>
      </c>
      <c r="AG14" s="32" t="n">
        <f aca="false">AG8*Inputs!$D$15*(1+Inputs!$C$34)^(AG6-1)</f>
        <v>0</v>
      </c>
      <c r="AH14" s="32" t="n">
        <f aca="false">AH8*Inputs!$D$15*(1+Inputs!$C$34)^(AH6-1)</f>
        <v>0</v>
      </c>
    </row>
    <row r="15" customFormat="false" ht="15" hidden="false" customHeight="false" outlineLevel="0" collapsed="false">
      <c r="A15" s="9" t="s">
        <v>94</v>
      </c>
      <c r="D15" s="32" t="n">
        <f aca="false">D8*Inputs!$D$16*(1+Inputs!$C$34)^(D6-1)</f>
        <v>0</v>
      </c>
      <c r="E15" s="32" t="n">
        <f aca="false">E8*Inputs!$D$16*(1+Inputs!$C$34)^(E6-1)</f>
        <v>600</v>
      </c>
      <c r="F15" s="32" t="n">
        <f aca="false">F8*Inputs!$D$16*(1+Inputs!$C$34)^(F6-1)</f>
        <v>627.6</v>
      </c>
      <c r="G15" s="32" t="n">
        <f aca="false">G8*Inputs!$D$16*(1+Inputs!$C$34)^(G6-1)</f>
        <v>656.4696</v>
      </c>
      <c r="H15" s="32" t="n">
        <f aca="false">H8*Inputs!$D$16*(1+Inputs!$C$34)^(H6-1)</f>
        <v>686.6672016</v>
      </c>
      <c r="I15" s="32" t="n">
        <f aca="false">I8*Inputs!$D$16*(1+Inputs!$C$34)^(I6-1)</f>
        <v>718.2538928736</v>
      </c>
      <c r="J15" s="32" t="n">
        <f aca="false">J8*Inputs!$D$16*(1+Inputs!$C$34)^(J6-1)</f>
        <v>751.293571945786</v>
      </c>
      <c r="K15" s="32" t="n">
        <f aca="false">K8*Inputs!$D$16*(1+Inputs!$C$34)^(K6-1)</f>
        <v>785.853076255292</v>
      </c>
      <c r="L15" s="32" t="n">
        <f aca="false">L8*Inputs!$D$16*(1+Inputs!$C$34)^(L6-1)</f>
        <v>822.002317763035</v>
      </c>
      <c r="M15" s="32" t="n">
        <f aca="false">M8*Inputs!$D$16*(1+Inputs!$C$34)^(M6-1)</f>
        <v>859.814424380135</v>
      </c>
      <c r="N15" s="32" t="n">
        <f aca="false">N8*Inputs!$D$16*(1+Inputs!$C$34)^(N6-1)</f>
        <v>899.365887901621</v>
      </c>
      <c r="O15" s="32" t="n">
        <f aca="false">O8*Inputs!$D$16*(1+Inputs!$C$34)^(O6-1)</f>
        <v>940.736718745096</v>
      </c>
      <c r="P15" s="32" t="n">
        <f aca="false">P8*Inputs!$D$16*(1+Inputs!$C$34)^(P6-1)</f>
        <v>984.01060780737</v>
      </c>
      <c r="Q15" s="32" t="n">
        <f aca="false">Q8*Inputs!$D$16*(1+Inputs!$C$34)^(Q6-1)</f>
        <v>1029.27509576651</v>
      </c>
      <c r="R15" s="32" t="n">
        <f aca="false">R8*Inputs!$D$16*(1+Inputs!$C$34)^(R6-1)</f>
        <v>1076.62175017177</v>
      </c>
      <c r="S15" s="32" t="n">
        <f aca="false">S8*Inputs!$D$16*(1+Inputs!$C$34)^(S6-1)</f>
        <v>1126.14635067967</v>
      </c>
      <c r="T15" s="32" t="n">
        <f aca="false">T8*Inputs!$D$16*(1+Inputs!$C$34)^(T6-1)</f>
        <v>1177.94908281094</v>
      </c>
      <c r="U15" s="32" t="n">
        <f aca="false">U8*Inputs!$D$16*(1+Inputs!$C$34)^(U6-1)</f>
        <v>1232.13474062024</v>
      </c>
      <c r="V15" s="32" t="n">
        <f aca="false">V8*Inputs!$D$16*(1+Inputs!$C$34)^(V6-1)</f>
        <v>1288.81293868877</v>
      </c>
      <c r="W15" s="32" t="n">
        <f aca="false">W8*Inputs!$D$16*(1+Inputs!$C$34)^(W6-1)</f>
        <v>1348.09833386845</v>
      </c>
      <c r="X15" s="32" t="n">
        <f aca="false">X8*Inputs!$D$16*(1+Inputs!$C$34)^(X6-1)</f>
        <v>1410.1108572264</v>
      </c>
      <c r="Y15" s="32" t="n">
        <f aca="false">Y8*Inputs!$D$16*(1+Inputs!$C$34)^(Y6-1)</f>
        <v>0</v>
      </c>
      <c r="Z15" s="32" t="n">
        <f aca="false">Z8*Inputs!$D$16*(1+Inputs!$C$34)^(Z6-1)</f>
        <v>0</v>
      </c>
      <c r="AA15" s="32" t="n">
        <f aca="false">AA8*Inputs!$D$16*(1+Inputs!$C$34)^(AA6-1)</f>
        <v>0</v>
      </c>
      <c r="AB15" s="32" t="n">
        <f aca="false">AB8*Inputs!$D$16*(1+Inputs!$C$34)^(AB6-1)</f>
        <v>0</v>
      </c>
      <c r="AC15" s="32" t="n">
        <f aca="false">AC8*Inputs!$D$16*(1+Inputs!$C$34)^(AC6-1)</f>
        <v>0</v>
      </c>
      <c r="AD15" s="32" t="n">
        <f aca="false">AD8*Inputs!$D$16*(1+Inputs!$C$34)^(AD6-1)</f>
        <v>0</v>
      </c>
      <c r="AE15" s="32" t="n">
        <f aca="false">AE8*Inputs!$D$16*(1+Inputs!$C$34)^(AE6-1)</f>
        <v>0</v>
      </c>
      <c r="AF15" s="32" t="n">
        <f aca="false">AF8*Inputs!$D$16*(1+Inputs!$C$34)^(AF6-1)</f>
        <v>0</v>
      </c>
      <c r="AG15" s="32" t="n">
        <f aca="false">AG8*Inputs!$D$16*(1+Inputs!$C$34)^(AG6-1)</f>
        <v>0</v>
      </c>
      <c r="AH15" s="32" t="n">
        <f aca="false">AH8*Inputs!$D$16*(1+Inputs!$C$34)^(AH6-1)</f>
        <v>0</v>
      </c>
    </row>
    <row r="16" customFormat="false" ht="15" hidden="false" customHeight="false" outlineLevel="0" collapsed="false">
      <c r="A16" s="14" t="s">
        <v>95</v>
      </c>
      <c r="C16" s="19" t="n">
        <f aca="false">SUM(D16:AH16)</f>
        <v>17054.4232084008</v>
      </c>
      <c r="D16" s="33" t="n">
        <f aca="false">(D10*D13+D11*D14+D12*D15)*365*(1-Inputs!$C$28)/10000000</f>
        <v>0</v>
      </c>
      <c r="E16" s="33" t="n">
        <f aca="false">(E10*E13+E11*E14+E12*E15)*365*(1-Inputs!$C$28)/10000000</f>
        <v>319.7035</v>
      </c>
      <c r="F16" s="33" t="n">
        <f aca="false">(F10*F13+F11*F14+F12*F15)*365*(1-Inputs!$C$28)/10000000</f>
        <v>349.643282</v>
      </c>
      <c r="G16" s="33" t="n">
        <f aca="false">(G10*G13+G11*G14+G12*G15)*365*(1-Inputs!$C$28)/10000000</f>
        <v>382.390398467968</v>
      </c>
      <c r="H16" s="33" t="n">
        <f aca="false">(H10*H13+H11*H14+H12*H15)*365*(1-Inputs!$C$28)/10000000</f>
        <v>418.20840976841</v>
      </c>
      <c r="I16" s="33" t="n">
        <f aca="false">(I10*I13+I11*I14+I12*I15)*365*(1-Inputs!$C$28)/10000000</f>
        <v>457.385650615521</v>
      </c>
      <c r="J16" s="33" t="n">
        <f aca="false">(J10*J13+J11*J14+J12*J15)*365*(1-Inputs!$C$28)/10000000</f>
        <v>500.23756168435</v>
      </c>
      <c r="K16" s="33" t="n">
        <f aca="false">(K10*K13+K11*K14+K12*K15)*365*(1-Inputs!$C$28)/10000000</f>
        <v>547.109240925409</v>
      </c>
      <c r="L16" s="33" t="n">
        <f aca="false">(L10*L13+L11*L14+L12*L15)*365*(1-Inputs!$C$28)/10000000</f>
        <v>598.37823530985</v>
      </c>
      <c r="M16" s="33" t="n">
        <f aca="false">(M10*M13+M11*M14+M12*M15)*365*(1-Inputs!$C$28)/10000000</f>
        <v>654.457595690101</v>
      </c>
      <c r="N16" s="33" t="n">
        <f aca="false">(N10*N13+N11*N14+N12*N15)*365*(1-Inputs!$C$28)/10000000</f>
        <v>715.79921960373</v>
      </c>
      <c r="O16" s="33" t="n">
        <f aca="false">(O10*O13+O11*O14+O12*O15)*365*(1-Inputs!$C$28)/10000000</f>
        <v>782.897509193871</v>
      </c>
      <c r="P16" s="33" t="n">
        <f aca="false">(P10*P13+P11*P14+P12*P15)*365*(1-Inputs!$C$28)/10000000</f>
        <v>856.29337398693</v>
      </c>
      <c r="Q16" s="33" t="n">
        <f aca="false">(Q10*Q13+Q11*Q14+Q12*Q15)*365*(1-Inputs!$C$28)/10000000</f>
        <v>936.578611078549</v>
      </c>
      <c r="R16" s="33" t="n">
        <f aca="false">(R10*R13+R11*R14+R12*R15)*365*(1-Inputs!$C$28)/10000000</f>
        <v>1024.40069835494</v>
      </c>
      <c r="S16" s="33" t="n">
        <f aca="false">(S10*S13+S11*S14+S12*S15)*365*(1-Inputs!$C$28)/10000000</f>
        <v>1120.46803974383</v>
      </c>
      <c r="T16" s="33" t="n">
        <f aca="false">(T10*T13+T11*T14+T12*T15)*365*(1-Inputs!$C$28)/10000000</f>
        <v>1225.55570517502</v>
      </c>
      <c r="U16" s="33" t="n">
        <f aca="false">(U10*U13+U11*U14+U12*U15)*365*(1-Inputs!$C$28)/10000000</f>
        <v>1340.51171196518</v>
      </c>
      <c r="V16" s="33" t="n">
        <f aca="false">(V10*V13+V11*V14+V12*V15)*365*(1-Inputs!$C$28)/10000000</f>
        <v>1466.26389875768</v>
      </c>
      <c r="W16" s="33" t="n">
        <f aca="false">(W10*W13+W11*W14+W12*W15)*365*(1-Inputs!$C$28)/10000000</f>
        <v>1603.82744798293</v>
      </c>
      <c r="X16" s="33" t="n">
        <f aca="false">(X10*X13+X11*X14+X12*X15)*365*(1-Inputs!$C$28)/10000000</f>
        <v>1754.31311809652</v>
      </c>
      <c r="Y16" s="33" t="n">
        <f aca="false">(Y10*Y13+Y11*Y14+Y12*Y15)*365*(1-Inputs!$C$28)/10000000</f>
        <v>0</v>
      </c>
      <c r="Z16" s="33" t="n">
        <f aca="false">(Z10*Z13+Z11*Z14+Z12*Z15)*365*(1-Inputs!$C$28)/10000000</f>
        <v>0</v>
      </c>
      <c r="AA16" s="33" t="n">
        <f aca="false">(AA10*AA13+AA11*AA14+AA12*AA15)*365*(1-Inputs!$C$28)/10000000</f>
        <v>0</v>
      </c>
      <c r="AB16" s="33" t="n">
        <f aca="false">(AB10*AB13+AB11*AB14+AB12*AB15)*365*(1-Inputs!$C$28)/10000000</f>
        <v>0</v>
      </c>
      <c r="AC16" s="33" t="n">
        <f aca="false">(AC10*AC13+AC11*AC14+AC12*AC15)*365*(1-Inputs!$C$28)/10000000</f>
        <v>0</v>
      </c>
      <c r="AD16" s="33" t="n">
        <f aca="false">(AD10*AD13+AD11*AD14+AD12*AD15)*365*(1-Inputs!$C$28)/10000000</f>
        <v>0</v>
      </c>
      <c r="AE16" s="33" t="n">
        <f aca="false">(AE10*AE13+AE11*AE14+AE12*AE15)*365*(1-Inputs!$C$28)/10000000</f>
        <v>0</v>
      </c>
      <c r="AF16" s="33" t="n">
        <f aca="false">(AF10*AF13+AF11*AF14+AF12*AF15)*365*(1-Inputs!$C$28)/10000000</f>
        <v>0</v>
      </c>
      <c r="AG16" s="33" t="n">
        <f aca="false">(AG10*AG13+AG11*AG14+AG12*AG15)*365*(1-Inputs!$C$28)/10000000</f>
        <v>0</v>
      </c>
      <c r="AH16" s="33" t="n">
        <f aca="false">(AH10*AH13+AH11*AH14+AH12*AH15)*365*(1-Inputs!$C$28)/10000000</f>
        <v>0</v>
      </c>
    </row>
    <row r="17" customFormat="false" ht="15" hidden="false" customHeight="false" outlineLevel="0" collapsed="false">
      <c r="A17" s="9" t="s">
        <v>96</v>
      </c>
      <c r="C17" s="19" t="n">
        <f aca="false">SUM(D17:AH17)</f>
        <v>826.64885257221</v>
      </c>
      <c r="D17" s="28" t="n">
        <f aca="false">D8*Inputs!$C$29*(1+Inputs!$C$30)^(D6-1)</f>
        <v>0</v>
      </c>
      <c r="E17" s="28" t="n">
        <f aca="false">E8*Inputs!$C$29*(1+Inputs!$C$30)^(E6-1)</f>
        <v>25</v>
      </c>
      <c r="F17" s="28" t="n">
        <f aca="false">F8*Inputs!$C$29*(1+Inputs!$C$30)^(F6-1)</f>
        <v>26.25</v>
      </c>
      <c r="G17" s="28" t="n">
        <f aca="false">G8*Inputs!$C$29*(1+Inputs!$C$30)^(G6-1)</f>
        <v>27.5625</v>
      </c>
      <c r="H17" s="28" t="n">
        <f aca="false">H8*Inputs!$C$29*(1+Inputs!$C$30)^(H6-1)</f>
        <v>28.940625</v>
      </c>
      <c r="I17" s="28" t="n">
        <f aca="false">I8*Inputs!$C$29*(1+Inputs!$C$30)^(I6-1)</f>
        <v>30.38765625</v>
      </c>
      <c r="J17" s="28" t="n">
        <f aca="false">J8*Inputs!$C$29*(1+Inputs!$C$30)^(J6-1)</f>
        <v>31.9070390625</v>
      </c>
      <c r="K17" s="28" t="n">
        <f aca="false">K8*Inputs!$C$29*(1+Inputs!$C$30)^(K6-1)</f>
        <v>33.502391015625</v>
      </c>
      <c r="L17" s="28" t="n">
        <f aca="false">L8*Inputs!$C$29*(1+Inputs!$C$30)^(L6-1)</f>
        <v>35.1775105664063</v>
      </c>
      <c r="M17" s="28" t="n">
        <f aca="false">M8*Inputs!$C$29*(1+Inputs!$C$30)^(M6-1)</f>
        <v>36.9363860947266</v>
      </c>
      <c r="N17" s="28" t="n">
        <f aca="false">N8*Inputs!$C$29*(1+Inputs!$C$30)^(N6-1)</f>
        <v>38.7832053994629</v>
      </c>
      <c r="O17" s="28" t="n">
        <f aca="false">O8*Inputs!$C$29*(1+Inputs!$C$30)^(O6-1)</f>
        <v>40.7223656694361</v>
      </c>
      <c r="P17" s="28" t="n">
        <f aca="false">P8*Inputs!$C$29*(1+Inputs!$C$30)^(P6-1)</f>
        <v>42.7584839529079</v>
      </c>
      <c r="Q17" s="28" t="n">
        <f aca="false">Q8*Inputs!$C$29*(1+Inputs!$C$30)^(Q6-1)</f>
        <v>44.8964081505533</v>
      </c>
      <c r="R17" s="28" t="n">
        <f aca="false">R8*Inputs!$C$29*(1+Inputs!$C$30)^(R6-1)</f>
        <v>47.1412285580809</v>
      </c>
      <c r="S17" s="28" t="n">
        <f aca="false">S8*Inputs!$C$29*(1+Inputs!$C$30)^(S6-1)</f>
        <v>49.498289985985</v>
      </c>
      <c r="T17" s="28" t="n">
        <f aca="false">T8*Inputs!$C$29*(1+Inputs!$C$30)^(T6-1)</f>
        <v>51.9732044852842</v>
      </c>
      <c r="U17" s="28" t="n">
        <f aca="false">U8*Inputs!$C$29*(1+Inputs!$C$30)^(U6-1)</f>
        <v>54.5718647095484</v>
      </c>
      <c r="V17" s="28" t="n">
        <f aca="false">V8*Inputs!$C$29*(1+Inputs!$C$30)^(V6-1)</f>
        <v>57.3004579450259</v>
      </c>
      <c r="W17" s="28" t="n">
        <f aca="false">W8*Inputs!$C$29*(1+Inputs!$C$30)^(W6-1)</f>
        <v>60.1654808422771</v>
      </c>
      <c r="X17" s="28" t="n">
        <f aca="false">X8*Inputs!$C$29*(1+Inputs!$C$30)^(X6-1)</f>
        <v>63.173754884391</v>
      </c>
      <c r="Y17" s="28" t="n">
        <f aca="false">Y8*Inputs!$C$29*(1+Inputs!$C$30)^(Y6-1)</f>
        <v>0</v>
      </c>
      <c r="Z17" s="28" t="n">
        <f aca="false">Z8*Inputs!$C$29*(1+Inputs!$C$30)^(Z6-1)</f>
        <v>0</v>
      </c>
      <c r="AA17" s="28" t="n">
        <f aca="false">AA8*Inputs!$C$29*(1+Inputs!$C$30)^(AA6-1)</f>
        <v>0</v>
      </c>
      <c r="AB17" s="28" t="n">
        <f aca="false">AB8*Inputs!$C$29*(1+Inputs!$C$30)^(AB6-1)</f>
        <v>0</v>
      </c>
      <c r="AC17" s="28" t="n">
        <f aca="false">AC8*Inputs!$C$29*(1+Inputs!$C$30)^(AC6-1)</f>
        <v>0</v>
      </c>
      <c r="AD17" s="28" t="n">
        <f aca="false">AD8*Inputs!$C$29*(1+Inputs!$C$30)^(AD6-1)</f>
        <v>0</v>
      </c>
      <c r="AE17" s="28" t="n">
        <f aca="false">AE8*Inputs!$C$29*(1+Inputs!$C$30)^(AE6-1)</f>
        <v>0</v>
      </c>
      <c r="AF17" s="28" t="n">
        <f aca="false">AF8*Inputs!$C$29*(1+Inputs!$C$30)^(AF6-1)</f>
        <v>0</v>
      </c>
      <c r="AG17" s="28" t="n">
        <f aca="false">AG8*Inputs!$C$29*(1+Inputs!$C$30)^(AG6-1)</f>
        <v>0</v>
      </c>
      <c r="AH17" s="28" t="n">
        <f aca="false">AH8*Inputs!$C$29*(1+Inputs!$C$30)^(AH6-1)</f>
        <v>0</v>
      </c>
    </row>
    <row r="18" customFormat="false" ht="15" hidden="false" customHeight="false" outlineLevel="0" collapsed="false">
      <c r="A18" s="9" t="s">
        <v>97</v>
      </c>
      <c r="C18" s="19" t="n">
        <f aca="false">SUM(D18:AH18)</f>
        <v>581.897300863485</v>
      </c>
      <c r="D18" s="28" t="n">
        <f aca="false">IF(AND(D8=1,Inputs!$C$32&gt;0),IF(MOD(D6,Inputs!$C$32)=0,Inputs!$C$31*(1+Inputs!$C$30)^(D6-1),0),0)</f>
        <v>0</v>
      </c>
      <c r="E18" s="28" t="n">
        <f aca="false">IF(AND(E8=1,Inputs!$C$32&gt;0),IF(MOD(E6,Inputs!$C$32)=0,Inputs!$C$31*(1+Inputs!$C$30)^(E6-1),0),0)</f>
        <v>0</v>
      </c>
      <c r="F18" s="28" t="n">
        <f aca="false">IF(AND(F8=1,Inputs!$C$32&gt;0),IF(MOD(F6,Inputs!$C$32)=0,Inputs!$C$31*(1+Inputs!$C$30)^(F6-1),0),0)</f>
        <v>0</v>
      </c>
      <c r="G18" s="28" t="n">
        <f aca="false">IF(AND(G8=1,Inputs!$C$32&gt;0),IF(MOD(G6,Inputs!$C$32)=0,Inputs!$C$31*(1+Inputs!$C$30)^(G6-1),0),0)</f>
        <v>0</v>
      </c>
      <c r="H18" s="28" t="n">
        <f aca="false">IF(AND(H8=1,Inputs!$C$32&gt;0),IF(MOD(H6,Inputs!$C$32)=0,Inputs!$C$31*(1+Inputs!$C$30)^(H6-1),0),0)</f>
        <v>0</v>
      </c>
      <c r="I18" s="28" t="n">
        <f aca="false">IF(AND(I8=1,Inputs!$C$32&gt;0),IF(MOD(I6,Inputs!$C$32)=0,Inputs!$C$31*(1+Inputs!$C$30)^(I6-1),0),0)</f>
        <v>97.2405</v>
      </c>
      <c r="J18" s="28" t="n">
        <f aca="false">IF(AND(J8=1,Inputs!$C$32&gt;0),IF(MOD(J6,Inputs!$C$32)=0,Inputs!$C$31*(1+Inputs!$C$30)^(J6-1),0),0)</f>
        <v>0</v>
      </c>
      <c r="K18" s="28" t="n">
        <f aca="false">IF(AND(K8=1,Inputs!$C$32&gt;0),IF(MOD(K6,Inputs!$C$32)=0,Inputs!$C$31*(1+Inputs!$C$30)^(K6-1),0),0)</f>
        <v>0</v>
      </c>
      <c r="L18" s="28" t="n">
        <f aca="false">IF(AND(L8=1,Inputs!$C$32&gt;0),IF(MOD(L6,Inputs!$C$32)=0,Inputs!$C$31*(1+Inputs!$C$30)^(L6-1),0),0)</f>
        <v>0</v>
      </c>
      <c r="M18" s="28" t="n">
        <f aca="false">IF(AND(M8=1,Inputs!$C$32&gt;0),IF(MOD(M6,Inputs!$C$32)=0,Inputs!$C$31*(1+Inputs!$C$30)^(M6-1),0),0)</f>
        <v>0</v>
      </c>
      <c r="N18" s="28" t="n">
        <f aca="false">IF(AND(N8=1,Inputs!$C$32&gt;0),IF(MOD(N6,Inputs!$C$32)=0,Inputs!$C$31*(1+Inputs!$C$30)^(N6-1),0),0)</f>
        <v>124.106257278281</v>
      </c>
      <c r="O18" s="28" t="n">
        <f aca="false">IF(AND(O8=1,Inputs!$C$32&gt;0),IF(MOD(O6,Inputs!$C$32)=0,Inputs!$C$31*(1+Inputs!$C$30)^(O6-1),0),0)</f>
        <v>0</v>
      </c>
      <c r="P18" s="28" t="n">
        <f aca="false">IF(AND(P8=1,Inputs!$C$32&gt;0),IF(MOD(P6,Inputs!$C$32)=0,Inputs!$C$31*(1+Inputs!$C$30)^(P6-1),0),0)</f>
        <v>0</v>
      </c>
      <c r="Q18" s="28" t="n">
        <f aca="false">IF(AND(Q8=1,Inputs!$C$32&gt;0),IF(MOD(Q6,Inputs!$C$32)=0,Inputs!$C$31*(1+Inputs!$C$30)^(Q6-1),0),0)</f>
        <v>0</v>
      </c>
      <c r="R18" s="28" t="n">
        <f aca="false">IF(AND(R8=1,Inputs!$C$32&gt;0),IF(MOD(R6,Inputs!$C$32)=0,Inputs!$C$31*(1+Inputs!$C$30)^(R6-1),0),0)</f>
        <v>0</v>
      </c>
      <c r="S18" s="28" t="n">
        <f aca="false">IF(AND(S8=1,Inputs!$C$32&gt;0),IF(MOD(S6,Inputs!$C$32)=0,Inputs!$C$31*(1+Inputs!$C$30)^(S6-1),0),0)</f>
        <v>158.394527955152</v>
      </c>
      <c r="T18" s="28" t="n">
        <f aca="false">IF(AND(T8=1,Inputs!$C$32&gt;0),IF(MOD(T6,Inputs!$C$32)=0,Inputs!$C$31*(1+Inputs!$C$30)^(T6-1),0),0)</f>
        <v>0</v>
      </c>
      <c r="U18" s="28" t="n">
        <f aca="false">IF(AND(U8=1,Inputs!$C$32&gt;0),IF(MOD(U6,Inputs!$C$32)=0,Inputs!$C$31*(1+Inputs!$C$30)^(U6-1),0),0)</f>
        <v>0</v>
      </c>
      <c r="V18" s="28" t="n">
        <f aca="false">IF(AND(V8=1,Inputs!$C$32&gt;0),IF(MOD(V6,Inputs!$C$32)=0,Inputs!$C$31*(1+Inputs!$C$30)^(V6-1),0),0)</f>
        <v>0</v>
      </c>
      <c r="W18" s="28" t="n">
        <f aca="false">IF(AND(W8=1,Inputs!$C$32&gt;0),IF(MOD(W6,Inputs!$C$32)=0,Inputs!$C$31*(1+Inputs!$C$30)^(W6-1),0),0)</f>
        <v>0</v>
      </c>
      <c r="X18" s="28" t="n">
        <f aca="false">IF(AND(X8=1,Inputs!$C$32&gt;0),IF(MOD(X6,Inputs!$C$32)=0,Inputs!$C$31*(1+Inputs!$C$30)^(X6-1),0),0)</f>
        <v>202.156015630051</v>
      </c>
      <c r="Y18" s="28" t="n">
        <f aca="false">IF(AND(Y8=1,Inputs!$C$32&gt;0),IF(MOD(Y6,Inputs!$C$32)=0,Inputs!$C$31*(1+Inputs!$C$30)^(Y6-1),0),0)</f>
        <v>0</v>
      </c>
      <c r="Z18" s="28" t="n">
        <f aca="false">IF(AND(Z8=1,Inputs!$C$32&gt;0),IF(MOD(Z6,Inputs!$C$32)=0,Inputs!$C$31*(1+Inputs!$C$30)^(Z6-1),0),0)</f>
        <v>0</v>
      </c>
      <c r="AA18" s="28" t="n">
        <f aca="false">IF(AND(AA8=1,Inputs!$C$32&gt;0),IF(MOD(AA6,Inputs!$C$32)=0,Inputs!$C$31*(1+Inputs!$C$30)^(AA6-1),0),0)</f>
        <v>0</v>
      </c>
      <c r="AB18" s="28" t="n">
        <f aca="false">IF(AND(AB8=1,Inputs!$C$32&gt;0),IF(MOD(AB6,Inputs!$C$32)=0,Inputs!$C$31*(1+Inputs!$C$30)^(AB6-1),0),0)</f>
        <v>0</v>
      </c>
      <c r="AC18" s="28" t="n">
        <f aca="false">IF(AND(AC8=1,Inputs!$C$32&gt;0),IF(MOD(AC6,Inputs!$C$32)=0,Inputs!$C$31*(1+Inputs!$C$30)^(AC6-1),0),0)</f>
        <v>0</v>
      </c>
      <c r="AD18" s="28" t="n">
        <f aca="false">IF(AND(AD8=1,Inputs!$C$32&gt;0),IF(MOD(AD6,Inputs!$C$32)=0,Inputs!$C$31*(1+Inputs!$C$30)^(AD6-1),0),0)</f>
        <v>0</v>
      </c>
      <c r="AE18" s="28" t="n">
        <f aca="false">IF(AND(AE8=1,Inputs!$C$32&gt;0),IF(MOD(AE6,Inputs!$C$32)=0,Inputs!$C$31*(1+Inputs!$C$30)^(AE6-1),0),0)</f>
        <v>0</v>
      </c>
      <c r="AF18" s="28" t="n">
        <f aca="false">IF(AND(AF8=1,Inputs!$C$32&gt;0),IF(MOD(AF6,Inputs!$C$32)=0,Inputs!$C$31*(1+Inputs!$C$30)^(AF6-1),0),0)</f>
        <v>0</v>
      </c>
      <c r="AG18" s="28" t="n">
        <f aca="false">IF(AND(AG8=1,Inputs!$C$32&gt;0),IF(MOD(AG6,Inputs!$C$32)=0,Inputs!$C$31*(1+Inputs!$C$30)^(AG6-1),0),0)</f>
        <v>0</v>
      </c>
      <c r="AH18" s="28" t="n">
        <f aca="false">IF(AND(AH8=1,Inputs!$C$32&gt;0),IF(MOD(AH6,Inputs!$C$32)=0,Inputs!$C$31*(1+Inputs!$C$30)^(AH6-1),0),0)</f>
        <v>0</v>
      </c>
    </row>
    <row r="19" customFormat="false" ht="15" hidden="false" customHeight="false" outlineLevel="0" collapsed="false">
      <c r="A19" s="14" t="s">
        <v>98</v>
      </c>
      <c r="C19" s="19" t="n">
        <f aca="false">SUM(D19:AH19)</f>
        <v>15645.8770549651</v>
      </c>
      <c r="D19" s="33" t="n">
        <f aca="false">D16-D17-D18</f>
        <v>0</v>
      </c>
      <c r="E19" s="33" t="n">
        <f aca="false">E16-E17-E18</f>
        <v>294.7035</v>
      </c>
      <c r="F19" s="33" t="n">
        <f aca="false">F16-F17-F18</f>
        <v>323.393282</v>
      </c>
      <c r="G19" s="33" t="n">
        <f aca="false">G16-G17-G18</f>
        <v>354.827898467968</v>
      </c>
      <c r="H19" s="33" t="n">
        <f aca="false">H16-H17-H18</f>
        <v>389.26778476841</v>
      </c>
      <c r="I19" s="33" t="n">
        <f aca="false">I16-I17-I18</f>
        <v>329.757494365521</v>
      </c>
      <c r="J19" s="33" t="n">
        <f aca="false">J16-J17-J18</f>
        <v>468.33052262185</v>
      </c>
      <c r="K19" s="33" t="n">
        <f aca="false">K16-K17-K18</f>
        <v>513.606849909784</v>
      </c>
      <c r="L19" s="33" t="n">
        <f aca="false">L16-L17-L18</f>
        <v>563.200724743444</v>
      </c>
      <c r="M19" s="33" t="n">
        <f aca="false">M16-M17-M18</f>
        <v>617.521209595374</v>
      </c>
      <c r="N19" s="33" t="n">
        <f aca="false">N16-N17-N18</f>
        <v>552.909756925986</v>
      </c>
      <c r="O19" s="33" t="n">
        <f aca="false">O16-O17-O18</f>
        <v>742.175143524435</v>
      </c>
      <c r="P19" s="33" t="n">
        <f aca="false">P16-P17-P18</f>
        <v>813.534890034022</v>
      </c>
      <c r="Q19" s="33" t="n">
        <f aca="false">Q16-Q17-Q18</f>
        <v>891.682202927995</v>
      </c>
      <c r="R19" s="33" t="n">
        <f aca="false">R16-R17-R18</f>
        <v>977.259469796859</v>
      </c>
      <c r="S19" s="33" t="n">
        <f aca="false">S16-S17-S18</f>
        <v>912.575221802691</v>
      </c>
      <c r="T19" s="33" t="n">
        <f aca="false">T16-T17-T18</f>
        <v>1173.58250068974</v>
      </c>
      <c r="U19" s="33" t="n">
        <f aca="false">U16-U17-U18</f>
        <v>1285.93984725563</v>
      </c>
      <c r="V19" s="33" t="n">
        <f aca="false">V16-V17-V18</f>
        <v>1408.96344081265</v>
      </c>
      <c r="W19" s="33" t="n">
        <f aca="false">W16-W17-W18</f>
        <v>1543.66196714065</v>
      </c>
      <c r="X19" s="33" t="n">
        <f aca="false">X16-X17-X18</f>
        <v>1488.98334758208</v>
      </c>
      <c r="Y19" s="33" t="n">
        <f aca="false">Y16-Y17-Y18</f>
        <v>0</v>
      </c>
      <c r="Z19" s="33" t="n">
        <f aca="false">Z16-Z17-Z18</f>
        <v>0</v>
      </c>
      <c r="AA19" s="33" t="n">
        <f aca="false">AA16-AA17-AA18</f>
        <v>0</v>
      </c>
      <c r="AB19" s="33" t="n">
        <f aca="false">AB16-AB17-AB18</f>
        <v>0</v>
      </c>
      <c r="AC19" s="33" t="n">
        <f aca="false">AC16-AC17-AC18</f>
        <v>0</v>
      </c>
      <c r="AD19" s="33" t="n">
        <f aca="false">AD16-AD17-AD18</f>
        <v>0</v>
      </c>
      <c r="AE19" s="33" t="n">
        <f aca="false">AE16-AE17-AE18</f>
        <v>0</v>
      </c>
      <c r="AF19" s="33" t="n">
        <f aca="false">AF16-AF17-AF18</f>
        <v>0</v>
      </c>
      <c r="AG19" s="33" t="n">
        <f aca="false">AG16-AG17-AG18</f>
        <v>0</v>
      </c>
      <c r="AH19" s="33" t="n">
        <f aca="false">AH16-AH17-AH18</f>
        <v>0</v>
      </c>
    </row>
    <row r="21" customFormat="false" ht="15" hidden="false" customHeight="false" outlineLevel="0" collapsed="false">
      <c r="A21" s="9" t="s">
        <v>99</v>
      </c>
      <c r="C21" s="19" t="n">
        <f aca="false">SUM(D21:AH21)</f>
        <v>3200</v>
      </c>
      <c r="D21" s="28" t="n">
        <f aca="false">D8*Inputs!$C$8/Inputs!$C$6</f>
        <v>0</v>
      </c>
      <c r="E21" s="28" t="n">
        <f aca="false">E8*Inputs!$C$8/Inputs!$C$6</f>
        <v>160</v>
      </c>
      <c r="F21" s="28" t="n">
        <f aca="false">F8*Inputs!$C$8/Inputs!$C$6</f>
        <v>160</v>
      </c>
      <c r="G21" s="28" t="n">
        <f aca="false">G8*Inputs!$C$8/Inputs!$C$6</f>
        <v>160</v>
      </c>
      <c r="H21" s="28" t="n">
        <f aca="false">H8*Inputs!$C$8/Inputs!$C$6</f>
        <v>160</v>
      </c>
      <c r="I21" s="28" t="n">
        <f aca="false">I8*Inputs!$C$8/Inputs!$C$6</f>
        <v>160</v>
      </c>
      <c r="J21" s="28" t="n">
        <f aca="false">J8*Inputs!$C$8/Inputs!$C$6</f>
        <v>160</v>
      </c>
      <c r="K21" s="28" t="n">
        <f aca="false">K8*Inputs!$C$8/Inputs!$C$6</f>
        <v>160</v>
      </c>
      <c r="L21" s="28" t="n">
        <f aca="false">L8*Inputs!$C$8/Inputs!$C$6</f>
        <v>160</v>
      </c>
      <c r="M21" s="28" t="n">
        <f aca="false">M8*Inputs!$C$8/Inputs!$C$6</f>
        <v>160</v>
      </c>
      <c r="N21" s="28" t="n">
        <f aca="false">N8*Inputs!$C$8/Inputs!$C$6</f>
        <v>160</v>
      </c>
      <c r="O21" s="28" t="n">
        <f aca="false">O8*Inputs!$C$8/Inputs!$C$6</f>
        <v>160</v>
      </c>
      <c r="P21" s="28" t="n">
        <f aca="false">P8*Inputs!$C$8/Inputs!$C$6</f>
        <v>160</v>
      </c>
      <c r="Q21" s="28" t="n">
        <f aca="false">Q8*Inputs!$C$8/Inputs!$C$6</f>
        <v>160</v>
      </c>
      <c r="R21" s="28" t="n">
        <f aca="false">R8*Inputs!$C$8/Inputs!$C$6</f>
        <v>160</v>
      </c>
      <c r="S21" s="28" t="n">
        <f aca="false">S8*Inputs!$C$8/Inputs!$C$6</f>
        <v>160</v>
      </c>
      <c r="T21" s="28" t="n">
        <f aca="false">T8*Inputs!$C$8/Inputs!$C$6</f>
        <v>160</v>
      </c>
      <c r="U21" s="28" t="n">
        <f aca="false">U8*Inputs!$C$8/Inputs!$C$6</f>
        <v>160</v>
      </c>
      <c r="V21" s="28" t="n">
        <f aca="false">V8*Inputs!$C$8/Inputs!$C$6</f>
        <v>160</v>
      </c>
      <c r="W21" s="28" t="n">
        <f aca="false">W8*Inputs!$C$8/Inputs!$C$6</f>
        <v>160</v>
      </c>
      <c r="X21" s="28" t="n">
        <f aca="false">X8*Inputs!$C$8/Inputs!$C$6</f>
        <v>160</v>
      </c>
      <c r="Y21" s="28" t="n">
        <f aca="false">Y8*Inputs!$C$8/Inputs!$C$6</f>
        <v>0</v>
      </c>
      <c r="Z21" s="28" t="n">
        <f aca="false">Z8*Inputs!$C$8/Inputs!$C$6</f>
        <v>0</v>
      </c>
      <c r="AA21" s="28" t="n">
        <f aca="false">AA8*Inputs!$C$8/Inputs!$C$6</f>
        <v>0</v>
      </c>
      <c r="AB21" s="28" t="n">
        <f aca="false">AB8*Inputs!$C$8/Inputs!$C$6</f>
        <v>0</v>
      </c>
      <c r="AC21" s="28" t="n">
        <f aca="false">AC8*Inputs!$C$8/Inputs!$C$6</f>
        <v>0</v>
      </c>
      <c r="AD21" s="28" t="n">
        <f aca="false">AD8*Inputs!$C$8/Inputs!$C$6</f>
        <v>0</v>
      </c>
      <c r="AE21" s="28" t="n">
        <f aca="false">AE8*Inputs!$C$8/Inputs!$C$6</f>
        <v>0</v>
      </c>
      <c r="AF21" s="28" t="n">
        <f aca="false">AF8*Inputs!$C$8/Inputs!$C$6</f>
        <v>0</v>
      </c>
      <c r="AG21" s="28" t="n">
        <f aca="false">AG8*Inputs!$C$8/Inputs!$C$6</f>
        <v>0</v>
      </c>
      <c r="AH21" s="28" t="n">
        <f aca="false">AH8*Inputs!$C$8/Inputs!$C$6</f>
        <v>0</v>
      </c>
    </row>
    <row r="22" customFormat="false" ht="15" hidden="false" customHeight="false" outlineLevel="0" collapsed="false">
      <c r="A22" s="9" t="s">
        <v>100</v>
      </c>
      <c r="C22" s="19" t="n">
        <f aca="false">SUM(D22:AH22)</f>
        <v>3132.37833719361</v>
      </c>
      <c r="D22" s="28" t="n">
        <f aca="false">MAX(0,D19-D21)*Inputs!$C$10</f>
        <v>0</v>
      </c>
      <c r="E22" s="28" t="n">
        <f aca="false">MAX(0,E19-E21)*Inputs!$C$10</f>
        <v>33.90217688</v>
      </c>
      <c r="F22" s="28" t="n">
        <f aca="false">MAX(0,F19-F21)*Inputs!$C$10</f>
        <v>41.12282121376</v>
      </c>
      <c r="G22" s="28" t="n">
        <f aca="false">MAX(0,G19-G21)*Inputs!$C$10</f>
        <v>49.0342854864181</v>
      </c>
      <c r="H22" s="28" t="n">
        <f aca="false">MAX(0,H19-H21)*Inputs!$C$10</f>
        <v>57.7021160705135</v>
      </c>
      <c r="I22" s="28" t="n">
        <f aca="false">MAX(0,I19-I21)*Inputs!$C$10</f>
        <v>42.7245661819144</v>
      </c>
      <c r="J22" s="28" t="n">
        <f aca="false">MAX(0,J19-J21)*Inputs!$C$10</f>
        <v>77.6006259334671</v>
      </c>
      <c r="K22" s="28" t="n">
        <f aca="false">MAX(0,K19-K21)*Inputs!$C$10</f>
        <v>88.9957719852943</v>
      </c>
      <c r="L22" s="28" t="n">
        <f aca="false">MAX(0,L19-L21)*Inputs!$C$10</f>
        <v>101.47755840343</v>
      </c>
      <c r="M22" s="28" t="n">
        <f aca="false">MAX(0,M19-M21)*Inputs!$C$10</f>
        <v>115.148938030964</v>
      </c>
      <c r="N22" s="28" t="n">
        <f aca="false">MAX(0,N19-N21)*Inputs!$C$10</f>
        <v>98.8875276231321</v>
      </c>
      <c r="O22" s="28" t="n">
        <f aca="false">MAX(0,O19-O21)*Inputs!$C$10</f>
        <v>146.52184012223</v>
      </c>
      <c r="P22" s="28" t="n">
        <f aca="false">MAX(0,P19-P21)*Inputs!$C$10</f>
        <v>164.481661123763</v>
      </c>
      <c r="Q22" s="28" t="n">
        <f aca="false">MAX(0,Q19-Q21)*Inputs!$C$10</f>
        <v>184.149776832918</v>
      </c>
      <c r="R22" s="28" t="n">
        <f aca="false">MAX(0,R19-R21)*Inputs!$C$10</f>
        <v>205.687863358473</v>
      </c>
      <c r="S22" s="28" t="n">
        <f aca="false">MAX(0,S19-S21)*Inputs!$C$10</f>
        <v>189.408131823301</v>
      </c>
      <c r="T22" s="28" t="n">
        <f aca="false">MAX(0,T19-T21)*Inputs!$C$10</f>
        <v>255.098443773594</v>
      </c>
      <c r="U22" s="28" t="n">
        <f aca="false">MAX(0,U19-U21)*Inputs!$C$10</f>
        <v>283.376540757298</v>
      </c>
      <c r="V22" s="28" t="n">
        <f aca="false">MAX(0,V19-V21)*Inputs!$C$10</f>
        <v>314.339118783728</v>
      </c>
      <c r="W22" s="28" t="n">
        <f aca="false">MAX(0,W19-W21)*Inputs!$C$10</f>
        <v>348.24004388996</v>
      </c>
      <c r="X22" s="28" t="n">
        <f aca="false">MAX(0,X19-X21)*Inputs!$C$10</f>
        <v>334.478528919457</v>
      </c>
      <c r="Y22" s="28" t="n">
        <f aca="false">MAX(0,Y19-Y21)*Inputs!$C$10</f>
        <v>0</v>
      </c>
      <c r="Z22" s="28" t="n">
        <f aca="false">MAX(0,Z19-Z21)*Inputs!$C$10</f>
        <v>0</v>
      </c>
      <c r="AA22" s="28" t="n">
        <f aca="false">MAX(0,AA19-AA21)*Inputs!$C$10</f>
        <v>0</v>
      </c>
      <c r="AB22" s="28" t="n">
        <f aca="false">MAX(0,AB19-AB21)*Inputs!$C$10</f>
        <v>0</v>
      </c>
      <c r="AC22" s="28" t="n">
        <f aca="false">MAX(0,AC19-AC21)*Inputs!$C$10</f>
        <v>0</v>
      </c>
      <c r="AD22" s="28" t="n">
        <f aca="false">MAX(0,AD19-AD21)*Inputs!$C$10</f>
        <v>0</v>
      </c>
      <c r="AE22" s="28" t="n">
        <f aca="false">MAX(0,AE19-AE21)*Inputs!$C$10</f>
        <v>0</v>
      </c>
      <c r="AF22" s="28" t="n">
        <f aca="false">MAX(0,AF19-AF21)*Inputs!$C$10</f>
        <v>0</v>
      </c>
      <c r="AG22" s="28" t="n">
        <f aca="false">MAX(0,AG19-AG21)*Inputs!$C$10</f>
        <v>0</v>
      </c>
      <c r="AH22" s="28" t="n">
        <f aca="false">MAX(0,AH19-AH21)*Inputs!$C$10</f>
        <v>0</v>
      </c>
    </row>
    <row r="23" customFormat="false" ht="15" hidden="false" customHeight="false" outlineLevel="0" collapsed="false">
      <c r="A23" s="9" t="s">
        <v>101</v>
      </c>
      <c r="C23" s="19" t="n">
        <f aca="false">SUM(D23:AH23)</f>
        <v>12513.4987177715</v>
      </c>
      <c r="D23" s="28" t="n">
        <f aca="false">D19-D22</f>
        <v>0</v>
      </c>
      <c r="E23" s="28" t="n">
        <f aca="false">E19-E22</f>
        <v>260.80132312</v>
      </c>
      <c r="F23" s="28" t="n">
        <f aca="false">F19-F22</f>
        <v>282.27046078624</v>
      </c>
      <c r="G23" s="28" t="n">
        <f aca="false">G19-G22</f>
        <v>305.793612981549</v>
      </c>
      <c r="H23" s="28" t="n">
        <f aca="false">H19-H22</f>
        <v>331.565668697897</v>
      </c>
      <c r="I23" s="28" t="n">
        <f aca="false">I19-I22</f>
        <v>287.032928183607</v>
      </c>
      <c r="J23" s="28" t="n">
        <f aca="false">J19-J22</f>
        <v>390.729896688383</v>
      </c>
      <c r="K23" s="28" t="n">
        <f aca="false">K19-K22</f>
        <v>424.611077924489</v>
      </c>
      <c r="L23" s="28" t="n">
        <f aca="false">L19-L22</f>
        <v>461.723166340014</v>
      </c>
      <c r="M23" s="28" t="n">
        <f aca="false">M19-M22</f>
        <v>502.37227156441</v>
      </c>
      <c r="N23" s="28" t="n">
        <f aca="false">N19-N22</f>
        <v>454.022229302854</v>
      </c>
      <c r="O23" s="28" t="n">
        <f aca="false">O19-O22</f>
        <v>595.653303402205</v>
      </c>
      <c r="P23" s="28" t="n">
        <f aca="false">P19-P22</f>
        <v>649.053228910259</v>
      </c>
      <c r="Q23" s="28" t="n">
        <f aca="false">Q19-Q22</f>
        <v>707.532426095077</v>
      </c>
      <c r="R23" s="28" t="n">
        <f aca="false">R19-R22</f>
        <v>771.571606438385</v>
      </c>
      <c r="S23" s="28" t="n">
        <f aca="false">S19-S22</f>
        <v>723.16708997939</v>
      </c>
      <c r="T23" s="28" t="n">
        <f aca="false">T19-T22</f>
        <v>918.484056916146</v>
      </c>
      <c r="U23" s="28" t="n">
        <f aca="false">U19-U22</f>
        <v>1002.56330649834</v>
      </c>
      <c r="V23" s="28" t="n">
        <f aca="false">V19-V22</f>
        <v>1094.62432202892</v>
      </c>
      <c r="W23" s="28" t="n">
        <f aca="false">W19-W22</f>
        <v>1195.42192325069</v>
      </c>
      <c r="X23" s="28" t="n">
        <f aca="false">X19-X22</f>
        <v>1154.50481866262</v>
      </c>
      <c r="Y23" s="28" t="n">
        <f aca="false">Y19-Y22</f>
        <v>0</v>
      </c>
      <c r="Z23" s="28" t="n">
        <f aca="false">Z19-Z22</f>
        <v>0</v>
      </c>
      <c r="AA23" s="28" t="n">
        <f aca="false">AA19-AA22</f>
        <v>0</v>
      </c>
      <c r="AB23" s="28" t="n">
        <f aca="false">AB19-AB22</f>
        <v>0</v>
      </c>
      <c r="AC23" s="28" t="n">
        <f aca="false">AC19-AC22</f>
        <v>0</v>
      </c>
      <c r="AD23" s="28" t="n">
        <f aca="false">AD19-AD22</f>
        <v>0</v>
      </c>
      <c r="AE23" s="28" t="n">
        <f aca="false">AE19-AE22</f>
        <v>0</v>
      </c>
      <c r="AF23" s="28" t="n">
        <f aca="false">AF19-AF22</f>
        <v>0</v>
      </c>
      <c r="AG23" s="28" t="n">
        <f aca="false">AG19-AG22</f>
        <v>0</v>
      </c>
      <c r="AH23" s="28" t="n">
        <f aca="false">AH19-AH22</f>
        <v>0</v>
      </c>
    </row>
    <row r="24" customFormat="false" ht="15" hidden="false" customHeight="false" outlineLevel="0" collapsed="false">
      <c r="A24" s="9" t="s">
        <v>102</v>
      </c>
      <c r="C24" s="19" t="n">
        <f aca="false">SUM(D24:AH24)</f>
        <v>-3200</v>
      </c>
      <c r="D24" s="28" t="n">
        <f aca="false">IF(D6=0,-Inputs!$C$8,0)</f>
        <v>-3200</v>
      </c>
      <c r="E24" s="28" t="n">
        <f aca="false">IF(E6=0,-Inputs!$C$8,0)</f>
        <v>0</v>
      </c>
      <c r="F24" s="28" t="n">
        <f aca="false">IF(F6=0,-Inputs!$C$8,0)</f>
        <v>0</v>
      </c>
      <c r="G24" s="28" t="n">
        <f aca="false">IF(G6=0,-Inputs!$C$8,0)</f>
        <v>0</v>
      </c>
      <c r="H24" s="28" t="n">
        <f aca="false">IF(H6=0,-Inputs!$C$8,0)</f>
        <v>0</v>
      </c>
      <c r="I24" s="28" t="n">
        <f aca="false">IF(I6=0,-Inputs!$C$8,0)</f>
        <v>0</v>
      </c>
      <c r="J24" s="28" t="n">
        <f aca="false">IF(J6=0,-Inputs!$C$8,0)</f>
        <v>0</v>
      </c>
      <c r="K24" s="28" t="n">
        <f aca="false">IF(K6=0,-Inputs!$C$8,0)</f>
        <v>0</v>
      </c>
      <c r="L24" s="28" t="n">
        <f aca="false">IF(L6=0,-Inputs!$C$8,0)</f>
        <v>0</v>
      </c>
      <c r="M24" s="28" t="n">
        <f aca="false">IF(M6=0,-Inputs!$C$8,0)</f>
        <v>0</v>
      </c>
      <c r="N24" s="28" t="n">
        <f aca="false">IF(N6=0,-Inputs!$C$8,0)</f>
        <v>0</v>
      </c>
      <c r="O24" s="28" t="n">
        <f aca="false">IF(O6=0,-Inputs!$C$8,0)</f>
        <v>0</v>
      </c>
      <c r="P24" s="28" t="n">
        <f aca="false">IF(P6=0,-Inputs!$C$8,0)</f>
        <v>0</v>
      </c>
      <c r="Q24" s="28" t="n">
        <f aca="false">IF(Q6=0,-Inputs!$C$8,0)</f>
        <v>0</v>
      </c>
      <c r="R24" s="28" t="n">
        <f aca="false">IF(R6=0,-Inputs!$C$8,0)</f>
        <v>0</v>
      </c>
      <c r="S24" s="28" t="n">
        <f aca="false">IF(S6=0,-Inputs!$C$8,0)</f>
        <v>0</v>
      </c>
      <c r="T24" s="28" t="n">
        <f aca="false">IF(T6=0,-Inputs!$C$8,0)</f>
        <v>0</v>
      </c>
      <c r="U24" s="28" t="n">
        <f aca="false">IF(U6=0,-Inputs!$C$8,0)</f>
        <v>0</v>
      </c>
      <c r="V24" s="28" t="n">
        <f aca="false">IF(V6=0,-Inputs!$C$8,0)</f>
        <v>0</v>
      </c>
      <c r="W24" s="28" t="n">
        <f aca="false">IF(W6=0,-Inputs!$C$8,0)</f>
        <v>0</v>
      </c>
      <c r="X24" s="28" t="n">
        <f aca="false">IF(X6=0,-Inputs!$C$8,0)</f>
        <v>0</v>
      </c>
      <c r="Y24" s="28" t="n">
        <f aca="false">IF(Y6=0,-Inputs!$C$8,0)</f>
        <v>0</v>
      </c>
      <c r="Z24" s="28" t="n">
        <f aca="false">IF(Z6=0,-Inputs!$C$8,0)</f>
        <v>0</v>
      </c>
      <c r="AA24" s="28" t="n">
        <f aca="false">IF(AA6=0,-Inputs!$C$8,0)</f>
        <v>0</v>
      </c>
      <c r="AB24" s="28" t="n">
        <f aca="false">IF(AB6=0,-Inputs!$C$8,0)</f>
        <v>0</v>
      </c>
      <c r="AC24" s="28" t="n">
        <f aca="false">IF(AC6=0,-Inputs!$C$8,0)</f>
        <v>0</v>
      </c>
      <c r="AD24" s="28" t="n">
        <f aca="false">IF(AD6=0,-Inputs!$C$8,0)</f>
        <v>0</v>
      </c>
      <c r="AE24" s="28" t="n">
        <f aca="false">IF(AE6=0,-Inputs!$C$8,0)</f>
        <v>0</v>
      </c>
      <c r="AF24" s="28" t="n">
        <f aca="false">IF(AF6=0,-Inputs!$C$8,0)</f>
        <v>0</v>
      </c>
      <c r="AG24" s="28" t="n">
        <f aca="false">IF(AG6=0,-Inputs!$C$8,0)</f>
        <v>0</v>
      </c>
      <c r="AH24" s="28" t="n">
        <f aca="false">IF(AH6=0,-Inputs!$C$8,0)</f>
        <v>0</v>
      </c>
    </row>
    <row r="25" customFormat="false" ht="15" hidden="false" customHeight="false" outlineLevel="0" collapsed="false">
      <c r="A25" s="14" t="s">
        <v>103</v>
      </c>
      <c r="C25" s="19" t="n">
        <f aca="false">SUM(D25:AH25)</f>
        <v>9313.49871777148</v>
      </c>
      <c r="D25" s="33" t="n">
        <f aca="false">D23+D24</f>
        <v>-3200</v>
      </c>
      <c r="E25" s="33" t="n">
        <f aca="false">E23+E24</f>
        <v>260.80132312</v>
      </c>
      <c r="F25" s="33" t="n">
        <f aca="false">F23+F24</f>
        <v>282.27046078624</v>
      </c>
      <c r="G25" s="33" t="n">
        <f aca="false">G23+G24</f>
        <v>305.793612981549</v>
      </c>
      <c r="H25" s="33" t="n">
        <f aca="false">H23+H24</f>
        <v>331.565668697897</v>
      </c>
      <c r="I25" s="33" t="n">
        <f aca="false">I23+I24</f>
        <v>287.032928183607</v>
      </c>
      <c r="J25" s="33" t="n">
        <f aca="false">J23+J24</f>
        <v>390.729896688383</v>
      </c>
      <c r="K25" s="33" t="n">
        <f aca="false">K23+K24</f>
        <v>424.611077924489</v>
      </c>
      <c r="L25" s="33" t="n">
        <f aca="false">L23+L24</f>
        <v>461.723166340014</v>
      </c>
      <c r="M25" s="33" t="n">
        <f aca="false">M23+M24</f>
        <v>502.37227156441</v>
      </c>
      <c r="N25" s="33" t="n">
        <f aca="false">N23+N24</f>
        <v>454.022229302854</v>
      </c>
      <c r="O25" s="33" t="n">
        <f aca="false">O23+O24</f>
        <v>595.653303402205</v>
      </c>
      <c r="P25" s="33" t="n">
        <f aca="false">P23+P24</f>
        <v>649.053228910259</v>
      </c>
      <c r="Q25" s="33" t="n">
        <f aca="false">Q23+Q24</f>
        <v>707.532426095077</v>
      </c>
      <c r="R25" s="33" t="n">
        <f aca="false">R23+R24</f>
        <v>771.571606438385</v>
      </c>
      <c r="S25" s="33" t="n">
        <f aca="false">S23+S24</f>
        <v>723.16708997939</v>
      </c>
      <c r="T25" s="33" t="n">
        <f aca="false">T23+T24</f>
        <v>918.484056916146</v>
      </c>
      <c r="U25" s="33" t="n">
        <f aca="false">U23+U24</f>
        <v>1002.56330649834</v>
      </c>
      <c r="V25" s="33" t="n">
        <f aca="false">V23+V24</f>
        <v>1094.62432202892</v>
      </c>
      <c r="W25" s="33" t="n">
        <f aca="false">W23+W24</f>
        <v>1195.42192325069</v>
      </c>
      <c r="X25" s="33" t="n">
        <f aca="false">X23+X24</f>
        <v>1154.50481866262</v>
      </c>
      <c r="Y25" s="33" t="n">
        <f aca="false">Y23+Y24</f>
        <v>0</v>
      </c>
      <c r="Z25" s="33" t="n">
        <f aca="false">Z23+Z24</f>
        <v>0</v>
      </c>
      <c r="AA25" s="33" t="n">
        <f aca="false">AA23+AA24</f>
        <v>0</v>
      </c>
      <c r="AB25" s="33" t="n">
        <f aca="false">AB23+AB24</f>
        <v>0</v>
      </c>
      <c r="AC25" s="33" t="n">
        <f aca="false">AC23+AC24</f>
        <v>0</v>
      </c>
      <c r="AD25" s="33" t="n">
        <f aca="false">AD23+AD24</f>
        <v>0</v>
      </c>
      <c r="AE25" s="33" t="n">
        <f aca="false">AE23+AE24</f>
        <v>0</v>
      </c>
      <c r="AF25" s="33" t="n">
        <f aca="false">AF23+AF24</f>
        <v>0</v>
      </c>
      <c r="AG25" s="33" t="n">
        <f aca="false">AG23+AG24</f>
        <v>0</v>
      </c>
      <c r="AH25" s="33" t="n">
        <f aca="false">AH23+AH24</f>
        <v>0</v>
      </c>
    </row>
    <row r="27" customFormat="false" ht="15" hidden="false" customHeight="false" outlineLevel="0" collapsed="false">
      <c r="A27" s="9" t="s">
        <v>104</v>
      </c>
      <c r="D27" s="28" t="n">
        <f aca="false">D19*(1-Inputs!$C$10)</f>
        <v>0</v>
      </c>
      <c r="E27" s="28" t="n">
        <f aca="false">E19*(1-Inputs!$C$10)</f>
        <v>220.53252312</v>
      </c>
      <c r="F27" s="28" t="n">
        <f aca="false">F19*(1-Inputs!$C$10)</f>
        <v>242.00166078624</v>
      </c>
      <c r="G27" s="28" t="n">
        <f aca="false">G19*(1-Inputs!$C$10)</f>
        <v>265.524812981549</v>
      </c>
      <c r="H27" s="28" t="n">
        <f aca="false">H19*(1-Inputs!$C$10)</f>
        <v>291.296868697897</v>
      </c>
      <c r="I27" s="28" t="n">
        <f aca="false">I19*(1-Inputs!$C$10)</f>
        <v>246.764128183607</v>
      </c>
      <c r="J27" s="28" t="n">
        <f aca="false">J19*(1-Inputs!$C$10)</f>
        <v>350.461096688383</v>
      </c>
      <c r="K27" s="28" t="n">
        <f aca="false">K19*(1-Inputs!$C$10)</f>
        <v>384.342277924489</v>
      </c>
      <c r="L27" s="28" t="n">
        <f aca="false">L19*(1-Inputs!$C$10)</f>
        <v>421.454366340014</v>
      </c>
      <c r="M27" s="28" t="n">
        <f aca="false">M19*(1-Inputs!$C$10)</f>
        <v>462.10347156441</v>
      </c>
      <c r="N27" s="28" t="n">
        <f aca="false">N19*(1-Inputs!$C$10)</f>
        <v>413.753429302854</v>
      </c>
      <c r="O27" s="28" t="n">
        <f aca="false">O19*(1-Inputs!$C$10)</f>
        <v>555.384503402205</v>
      </c>
      <c r="P27" s="28" t="n">
        <f aca="false">P19*(1-Inputs!$C$10)</f>
        <v>608.784428910259</v>
      </c>
      <c r="Q27" s="28" t="n">
        <f aca="false">Q19*(1-Inputs!$C$10)</f>
        <v>667.263626095078</v>
      </c>
      <c r="R27" s="28" t="n">
        <f aca="false">R19*(1-Inputs!$C$10)</f>
        <v>731.302806438385</v>
      </c>
      <c r="S27" s="28" t="n">
        <f aca="false">S19*(1-Inputs!$C$10)</f>
        <v>682.89828997939</v>
      </c>
      <c r="T27" s="28" t="n">
        <f aca="false">T19*(1-Inputs!$C$10)</f>
        <v>878.215256916146</v>
      </c>
      <c r="U27" s="28" t="n">
        <f aca="false">U19*(1-Inputs!$C$10)</f>
        <v>962.294506498335</v>
      </c>
      <c r="V27" s="28" t="n">
        <f aca="false">V19*(1-Inputs!$C$10)</f>
        <v>1054.35552202892</v>
      </c>
      <c r="W27" s="28" t="n">
        <f aca="false">W19*(1-Inputs!$C$10)</f>
        <v>1155.15312325069</v>
      </c>
      <c r="X27" s="28" t="n">
        <f aca="false">X19*(1-Inputs!$C$10)</f>
        <v>1114.23601866262</v>
      </c>
      <c r="Y27" s="28" t="n">
        <f aca="false">Y19*(1-Inputs!$C$10)</f>
        <v>0</v>
      </c>
      <c r="Z27" s="28" t="n">
        <f aca="false">Z19*(1-Inputs!$C$10)</f>
        <v>0</v>
      </c>
      <c r="AA27" s="28" t="n">
        <f aca="false">AA19*(1-Inputs!$C$10)</f>
        <v>0</v>
      </c>
      <c r="AB27" s="28" t="n">
        <f aca="false">AB19*(1-Inputs!$C$10)</f>
        <v>0</v>
      </c>
      <c r="AC27" s="28" t="n">
        <f aca="false">AC19*(1-Inputs!$C$10)</f>
        <v>0</v>
      </c>
      <c r="AD27" s="28" t="n">
        <f aca="false">AD19*(1-Inputs!$C$10)</f>
        <v>0</v>
      </c>
      <c r="AE27" s="28" t="n">
        <f aca="false">AE19*(1-Inputs!$C$10)</f>
        <v>0</v>
      </c>
      <c r="AF27" s="28" t="n">
        <f aca="false">AF19*(1-Inputs!$C$10)</f>
        <v>0</v>
      </c>
      <c r="AG27" s="28" t="n">
        <f aca="false">AG19*(1-Inputs!$C$10)</f>
        <v>0</v>
      </c>
      <c r="AH27" s="28" t="n">
        <f aca="false">AH19*(1-Inputs!$C$10)</f>
        <v>0</v>
      </c>
    </row>
    <row r="28" customFormat="false" ht="15" hidden="false" customHeight="false" outlineLevel="0" collapsed="false">
      <c r="A28" s="9" t="s">
        <v>105</v>
      </c>
      <c r="D28" s="28" t="n">
        <f aca="false">IF(D8=1,D19-Inputs!$F$12/Inputs!$C$6,0)</f>
        <v>0</v>
      </c>
      <c r="E28" s="28" t="n">
        <f aca="false">IF(E8=1,E19-Inputs!$F$12/Inputs!$C$6,0)</f>
        <v>281.47913039559</v>
      </c>
      <c r="F28" s="28" t="n">
        <f aca="false">IF(F8=1,F19-Inputs!$F$12/Inputs!$C$6,0)</f>
        <v>310.16891239559</v>
      </c>
      <c r="G28" s="28" t="n">
        <f aca="false">IF(G8=1,G19-Inputs!$F$12/Inputs!$C$6,0)</f>
        <v>341.603528863557</v>
      </c>
      <c r="H28" s="28" t="n">
        <f aca="false">IF(H8=1,H19-Inputs!$F$12/Inputs!$C$6,0)</f>
        <v>376.043415164</v>
      </c>
      <c r="I28" s="28" t="n">
        <f aca="false">IF(I8=1,I19-Inputs!$F$12/Inputs!$C$6,0)</f>
        <v>316.533124761111</v>
      </c>
      <c r="J28" s="28" t="n">
        <f aca="false">IF(J8=1,J19-Inputs!$F$12/Inputs!$C$6,0)</f>
        <v>455.10615301744</v>
      </c>
      <c r="K28" s="28" t="n">
        <f aca="false">IF(K8=1,K19-Inputs!$F$12/Inputs!$C$6,0)</f>
        <v>500.382480305374</v>
      </c>
      <c r="L28" s="28" t="n">
        <f aca="false">IF(L8=1,L19-Inputs!$F$12/Inputs!$C$6,0)</f>
        <v>549.976355139034</v>
      </c>
      <c r="M28" s="28" t="n">
        <f aca="false">IF(M8=1,M19-Inputs!$F$12/Inputs!$C$6,0)</f>
        <v>604.296839990964</v>
      </c>
      <c r="N28" s="28" t="n">
        <f aca="false">IF(N8=1,N19-Inputs!$F$12/Inputs!$C$6,0)</f>
        <v>539.685387321576</v>
      </c>
      <c r="O28" s="28" t="n">
        <f aca="false">IF(O8=1,O19-Inputs!$F$12/Inputs!$C$6,0)</f>
        <v>728.950773920025</v>
      </c>
      <c r="P28" s="28" t="n">
        <f aca="false">IF(P8=1,P19-Inputs!$F$12/Inputs!$C$6,0)</f>
        <v>800.310520429612</v>
      </c>
      <c r="Q28" s="28" t="n">
        <f aca="false">IF(Q8=1,Q19-Inputs!$F$12/Inputs!$C$6,0)</f>
        <v>878.457833323585</v>
      </c>
      <c r="R28" s="28" t="n">
        <f aca="false">IF(R8=1,R19-Inputs!$F$12/Inputs!$C$6,0)</f>
        <v>964.035100192449</v>
      </c>
      <c r="S28" s="28" t="n">
        <f aca="false">IF(S8=1,S19-Inputs!$F$12/Inputs!$C$6,0)</f>
        <v>899.350852198281</v>
      </c>
      <c r="T28" s="28" t="n">
        <f aca="false">IF(T8=1,T19-Inputs!$F$12/Inputs!$C$6,0)</f>
        <v>1160.35813108533</v>
      </c>
      <c r="U28" s="28" t="n">
        <f aca="false">IF(U8=1,U19-Inputs!$F$12/Inputs!$C$6,0)</f>
        <v>1272.71547765122</v>
      </c>
      <c r="V28" s="28" t="n">
        <f aca="false">IF(V8=1,V19-Inputs!$F$12/Inputs!$C$6,0)</f>
        <v>1395.73907120824</v>
      </c>
      <c r="W28" s="28" t="n">
        <f aca="false">IF(W8=1,W19-Inputs!$F$12/Inputs!$C$6,0)</f>
        <v>1530.43759753624</v>
      </c>
      <c r="X28" s="28" t="n">
        <f aca="false">IF(X8=1,X19-Inputs!$F$12/Inputs!$C$6,0)</f>
        <v>1475.75897797767</v>
      </c>
      <c r="Y28" s="28" t="n">
        <f aca="false">IF(Y8=1,Y19-Inputs!$F$12/Inputs!$C$6,0)</f>
        <v>0</v>
      </c>
      <c r="Z28" s="28" t="n">
        <f aca="false">IF(Z8=1,Z19-Inputs!$F$12/Inputs!$C$6,0)</f>
        <v>0</v>
      </c>
      <c r="AA28" s="28" t="n">
        <f aca="false">IF(AA8=1,AA19-Inputs!$F$12/Inputs!$C$6,0)</f>
        <v>0</v>
      </c>
      <c r="AB28" s="28" t="n">
        <f aca="false">IF(AB8=1,AB19-Inputs!$F$12/Inputs!$C$6,0)</f>
        <v>0</v>
      </c>
      <c r="AC28" s="28" t="n">
        <f aca="false">IF(AC8=1,AC19-Inputs!$F$12/Inputs!$C$6,0)</f>
        <v>0</v>
      </c>
      <c r="AD28" s="28" t="n">
        <f aca="false">IF(AD8=1,AD19-Inputs!$F$12/Inputs!$C$6,0)</f>
        <v>0</v>
      </c>
      <c r="AE28" s="28" t="n">
        <f aca="false">IF(AE8=1,AE19-Inputs!$F$12/Inputs!$C$6,0)</f>
        <v>0</v>
      </c>
      <c r="AF28" s="28" t="n">
        <f aca="false">IF(AF8=1,AF19-Inputs!$F$12/Inputs!$C$6,0)</f>
        <v>0</v>
      </c>
      <c r="AG28" s="28" t="n">
        <f aca="false">IF(AG8=1,AG19-Inputs!$F$12/Inputs!$C$6,0)</f>
        <v>0</v>
      </c>
      <c r="AH28" s="28" t="n">
        <f aca="false">IF(AH8=1,AH19-Inputs!$F$12/Inputs!$C$6,0)</f>
        <v>0</v>
      </c>
    </row>
    <row r="30" customFormat="false" ht="15" hidden="false" customHeight="false" outlineLevel="0" collapsed="false">
      <c r="A30" s="4" t="s">
        <v>106</v>
      </c>
    </row>
    <row r="31" customFormat="false" ht="15" hidden="false" customHeight="false" outlineLevel="0" collapsed="false">
      <c r="A31" s="10" t="s">
        <v>107</v>
      </c>
      <c r="C31" s="34" t="str">
        <f aca="false">IF(AND(Inputs!C6&gt;=1,Inputs!C6&lt;=30),"OK","CHECK")</f>
        <v>OK</v>
      </c>
    </row>
    <row r="32" customFormat="false" ht="15" hidden="false" customHeight="false" outlineLevel="0" collapsed="false">
      <c r="A32" s="10" t="s">
        <v>108</v>
      </c>
      <c r="C32" s="34" t="str">
        <f aca="false">IF(ABS(C21-Inputs!C8)&lt;0.01,"OK","CHECK")</f>
        <v>OK</v>
      </c>
    </row>
    <row r="33" customFormat="false" ht="15" hidden="false" customHeight="false" outlineLevel="0" collapsed="false">
      <c r="A33" s="10" t="s">
        <v>109</v>
      </c>
      <c r="C33" s="34" t="str">
        <f aca="false">IF(OR(Inputs!F13&lt;&gt;"Yes",ABS(NPV(Inputs!C9,Model!E27:AH27)+Inputs!C10*Inputs!F11/Inputs!C6*Inputs!F9-Inputs!F11)&lt;0.01),"OK","CHECK")</f>
        <v>OK</v>
      </c>
    </row>
  </sheetData>
  <conditionalFormatting sqref="C31:C33">
    <cfRule type="cellIs" priority="2" operator="equal" aboveAverage="0" equalAverage="0" bottom="0" percent="0" rank="0" text="" dxfId="0">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2026-10-25T20:15:12Z</dcterms:created>
  <dc:creator>sachinnagpal.in</dc:creator>
  <dc:description/>
  <dc:language>en-US</dc:language>
  <cp:lastModifiedBy/>
  <dcterms:modified xsi:type="dcterms:W3CDTF">2026-10-25T20:15:12Z</dcterms:modified>
  <cp:revision>0</cp:revision>
  <dc:subject/>
  <dc:title>N-TOT-Concession-Valuation.xlsx</dc:title>
</cp:coreProperties>
</file>

<file path=docProps/custom.xml><?xml version="1.0" encoding="utf-8"?>
<Properties xmlns="http://schemas.openxmlformats.org/officeDocument/2006/custom-properties" xmlns:vt="http://schemas.openxmlformats.org/officeDocument/2006/docPropsVTypes"/>
</file>