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Inputs" sheetId="2" state="visible" r:id="rId4"/>
    <sheet name="Model"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<sst xmlns="http://schemas.openxmlformats.org/spreadsheetml/2006/main" count="193" uniqueCount="178">
  <si>
    <t xml:space="preserve">Template M: Toll Road SPV Financial Model (BOT-Toll)</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</si>
  <si>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</si>
  <si>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</si>
  <si>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</si>
  <si>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An annual financial model for a toll road project company (SPV) under a Build-Operate-Transfer (toll) concession. Traffic by vehicle class x toll rate (escalated each year by a fixed % plus part of WPI inflation) gives revenue; O&amp;M and periodic major maintenance give EBITDA; debt is repaid in a 'sculpted' profile that follows cash flow; and the model reports project IRR and NPV, equity IRR and NPV, DSCR, LLCR, the debt capacity at your target DSCR and equity payback. There are no circular references and no macros.</t>
  </si>
  <si>
    <t xml:space="preserve">How to use it (step by step)</t>
  </si>
  <si>
    <t xml:space="preserve">Step 1</t>
  </si>
  <si>
    <t xml:space="preserve">Go to 'Inputs'. Fill the yellow cells: start year, construction years and phasing, total concession years, project cost (including interest during construction and pre-operative costs), debt % (gearing), interest rate, moratorium and repayment years, target DSCR, tax rate and discount rates.</t>
  </si>
  <si>
    <t xml:space="preserve">Step 2</t>
  </si>
  <si>
    <t xml:space="preserve">Fill the traffic block: for each vehicle class, average daily traffic (ADT) in the first operation year, traffic growth %, and toll rate per vehicle in the first operation year. Then the toll escalation formula (fixed % + share of WPI), leakage / exemptions, O&amp;M cost, major maintenance cost and cycle, and any revenue share payable to the authority.</t>
  </si>
  <si>
    <t xml:space="preserve">Step 3</t>
  </si>
  <si>
    <t xml:space="preserve">Read the results box on 'Inputs': project IRR, equity IRR, NPVs, minimum and average DSCR, LLCR, and whether the debt is within the capacity at your target DSCR.</t>
  </si>
  <si>
    <t xml:space="preserve">Step 4</t>
  </si>
  <si>
    <t xml:space="preserve">Open 'Model' to see every year: traffic, revenue, costs, EBITDA, tax, debt schedule, DSCR and cash flows to equity.</t>
  </si>
  <si>
    <t xml:space="preserve">Step 5</t>
  </si>
  <si>
    <t xml:space="preserve">Change one input at a time (for example traffic growth -2%) to see how sensitive the results are. Keep a copy of each case.</t>
  </si>
  <si>
    <t xml:space="preserve">Step 6</t>
  </si>
  <si>
    <t xml:space="preserve">Check the checks at the bottom of 'Model'. All should read OK.</t>
  </si>
  <si>
    <t xml:space="preserve">Tabs in this file</t>
  </si>
  <si>
    <t xml:space="preserve">Inputs</t>
  </si>
  <si>
    <t xml:space="preserve">All assumptions and the results summary.</t>
  </si>
  <si>
    <t xml:space="preserve">Model</t>
  </si>
  <si>
    <t xml:space="preserve">Annual model for up to 30 years with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</si>
  <si>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</si>
  <si>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</si>
  <si>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</si>
  <si>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</si>
  <si>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</si>
  <si>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</si>
  <si>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</si>
  <si>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</si>
  <si>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</si>
  <si>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Concession years include construction years. Operation years = concession years - construction years.</t>
  </si>
  <si>
    <t xml:space="preserve">Toll escalation = fixed % + WPI share x WPI inflation, applied every year (the sample uses 3% + 40% of WPI, a commonly used structure; check your concession agreement and fee rules).</t>
  </si>
  <si>
    <t xml:space="preserve">Revenue = ADT x 365 x toll rate x (1 - leakage %) / 1 crore. Amounts are in ₹ crore.</t>
  </si>
  <si>
    <t xml:space="preserve">Repayment: choose 'Schedule' (your % per repayment year, the default) or 'Sculpted'. Sculpting without circular references: each year's debt service = sculpting cash flow x (debt / present value of sculpting cash flow over the repayment years). The sculpting cash flow uses tax without the interest shield, so actual DSCRs come out a little higher than the sculpted level. If cash flow grows about as fast as the interest rate, pure sculpting cannot cover early interest; the checks will tell you, and then use Schedule. Interest during construction is assumed to be inside the project cost.</t>
  </si>
  <si>
    <t xml:space="preserve">Tax: business losses are carried forward and set off without a time limit (simplified). Amortisation of the toll right is straight-line over the operation period. Real models may use the revenue-based method allowed for toll roads under Schedule II.</t>
  </si>
  <si>
    <t xml:space="preserve">Not covered: DSRA / MMRA cash funding (see Template H), working capital, GST, MAT, refinancing, termination payments and cash sweeps. Results are only as good as the traffic forecast.</t>
  </si>
  <si>
    <t xml:space="preserve">All sample figures are illustrative and do not describe any real project.</t>
  </si>
  <si>
    <t xml:space="preserve">Version</t>
  </si>
  <si>
    <t xml:space="preserve">v1.0, October 2026. Works in Excel 2010 or later, Excel for Microsoft 365, LibreOffice and Google Sheets. Amounts in Indian Rupees (₹).</t>
  </si>
  <si>
    <t xml:space="preserve">Inputs and Results (₹ crore)</t>
  </si>
  <si>
    <t xml:space="preserve">For computation and reconciliation assistance only; not a substitute for formal statutory audit or legal tax advice.</t>
  </si>
  <si>
    <t xml:space="preserve">Sample project is illustrative only.</t>
  </si>
  <si>
    <t xml:space="preserve">Project and timeline</t>
  </si>
  <si>
    <t xml:space="preserve">Capex phasing</t>
  </si>
  <si>
    <t xml:space="preserve">Repayment method</t>
  </si>
  <si>
    <t xml:space="preserve">First year of construction (financial year starting April)</t>
  </si>
  <si>
    <t xml:space="preserve">Construction year 1</t>
  </si>
  <si>
    <t xml:space="preserve">Method (Schedule or Sculpted)</t>
  </si>
  <si>
    <t xml:space="preserve">Schedule</t>
  </si>
  <si>
    <t xml:space="preserve">Construction years</t>
  </si>
  <si>
    <t xml:space="preserve">Construction year 2</t>
  </si>
  <si>
    <t xml:space="preserve">Total concession years (including construction)</t>
  </si>
  <si>
    <t xml:space="preserve">Construction year 3</t>
  </si>
  <si>
    <t xml:space="preserve">Repayment schedule (% of debt)</t>
  </si>
  <si>
    <t xml:space="preserve">Project cost incl. IDC and pre-operative (₹ crore)</t>
  </si>
  <si>
    <t xml:space="preserve">Construction year 4</t>
  </si>
  <si>
    <t xml:space="preserve">Repayment year</t>
  </si>
  <si>
    <t xml:space="preserve">% of debt</t>
  </si>
  <si>
    <t xml:space="preserve">Total</t>
  </si>
  <si>
    <t xml:space="preserve">Financing</t>
  </si>
  <si>
    <t xml:space="preserve">Debt % of project cost (gearing)</t>
  </si>
  <si>
    <t xml:space="preserve">RESULTS</t>
  </si>
  <si>
    <t xml:space="preserve">Interest rate on debt (annual)</t>
  </si>
  <si>
    <t xml:space="preserve">Project IRR (pre-financing, post-tax)</t>
  </si>
  <si>
    <t xml:space="preserve">Moratorium after COD (years of interest only)</t>
  </si>
  <si>
    <t xml:space="preserve">Project NPV at discount rate (₹ crore)</t>
  </si>
  <si>
    <t xml:space="preserve">Repayment years after moratorium (max 25)</t>
  </si>
  <si>
    <t xml:space="preserve">Equity IRR</t>
  </si>
  <si>
    <t xml:space="preserve">Target DSCR (lender requirement)</t>
  </si>
  <si>
    <t xml:space="preserve">Equity NPV at cost of equity (₹ crore)</t>
  </si>
  <si>
    <t xml:space="preserve">Minimum DSCR (repayment years)</t>
  </si>
  <si>
    <t xml:space="preserve">Tax and valuation</t>
  </si>
  <si>
    <t xml:space="preserve">Average DSCR (repayment years)</t>
  </si>
  <si>
    <t xml:space="preserve">Tax rate</t>
  </si>
  <si>
    <t xml:space="preserve">LLCR at start of repayment</t>
  </si>
  <si>
    <t xml:space="preserve">Discount rate for project NPV</t>
  </si>
  <si>
    <t xml:space="preserve">Sculpted DSCR (if method = Sculpted)</t>
  </si>
  <si>
    <t xml:space="preserve">Cost of equity (for equity NPV)</t>
  </si>
  <si>
    <t xml:space="preserve">Debt capacity at target DSCR (₹ crore)</t>
  </si>
  <si>
    <t xml:space="preserve">Debt within capacity at target DSCR?</t>
  </si>
  <si>
    <t xml:space="preserve">Traffic and tolls (first operation year)</t>
  </si>
  <si>
    <t xml:space="preserve">Equity payback (year no.)</t>
  </si>
  <si>
    <t xml:space="preserve">Vehicle class</t>
  </si>
  <si>
    <t xml:space="preserve">ADT (vehicles/day)</t>
  </si>
  <si>
    <t xml:space="preserve">Growth % a year</t>
  </si>
  <si>
    <t xml:space="preserve">Toll rate (₹/vehicle)</t>
  </si>
  <si>
    <t xml:space="preserve">Repayment years with DSCR below target</t>
  </si>
  <si>
    <t xml:space="preserve">Car / Jeep / Van</t>
  </si>
  <si>
    <t xml:space="preserve">Total revenue over concession (₹ crore)</t>
  </si>
  <si>
    <t xml:space="preserve">LCV / Bus</t>
  </si>
  <si>
    <t xml:space="preserve">Truck / multi-axle</t>
  </si>
  <si>
    <t xml:space="preserve">Escalation and costs</t>
  </si>
  <si>
    <t xml:space="preserve">Toll escalation: fixed % a year</t>
  </si>
  <si>
    <t xml:space="preserve">WPI inflation (annual)</t>
  </si>
  <si>
    <t xml:space="preserve">Share of WPI passed into tolls</t>
  </si>
  <si>
    <t xml:space="preserve">Leakage / exemptions (% of revenue)</t>
  </si>
  <si>
    <t xml:space="preserve">O&amp;M cost in first operation year (₹ crore)</t>
  </si>
  <si>
    <t xml:space="preserve">Cost inflation for O&amp;M and major maintenance</t>
  </si>
  <si>
    <t xml:space="preserve">Major maintenance cost (₹ crore, first-operation-year prices)</t>
  </si>
  <si>
    <t xml:space="preserve">Major maintenance every (years)</t>
  </si>
  <si>
    <t xml:space="preserve">Used when method = Schedule. Must add to 100% over the repayment years.</t>
  </si>
  <si>
    <t xml:space="preserve">Revenue share / premium to authority (% of revenue)</t>
  </si>
  <si>
    <t xml:space="preserve">Derived</t>
  </si>
  <si>
    <t xml:space="preserve">Operation years</t>
  </si>
  <si>
    <t xml:space="preserve">Annual toll escalation</t>
  </si>
  <si>
    <t xml:space="preserve">Debt amount (₹ crore)</t>
  </si>
  <si>
    <t xml:space="preserve">Equity amount (₹ crore)</t>
  </si>
  <si>
    <t xml:space="preserve">Annual Model (₹ crore)</t>
  </si>
  <si>
    <t xml:space="preserve">Line</t>
  </si>
  <si>
    <t xml:space="preserve">Unit</t>
  </si>
  <si>
    <t xml:space="preserve">Year no.</t>
  </si>
  <si>
    <t xml:space="preserve">Financial year</t>
  </si>
  <si>
    <t xml:space="preserve">Construction?</t>
  </si>
  <si>
    <t xml:space="preserve">Operation?</t>
  </si>
  <si>
    <t xml:space="preserve">Operation year no.</t>
  </si>
  <si>
    <t xml:space="preserve">TRAFFIC AND REVENUE</t>
  </si>
  <si>
    <t xml:space="preserve">ADT - Car / Jeep / Van</t>
  </si>
  <si>
    <t xml:space="preserve">veh/day</t>
  </si>
  <si>
    <t xml:space="preserve">ADT - LCV / Bus</t>
  </si>
  <si>
    <t xml:space="preserve">ADT - Truck / multi-axle</t>
  </si>
  <si>
    <t xml:space="preserve">Toll rate - Car / Jeep / Van (₹)</t>
  </si>
  <si>
    <t xml:space="preserve">₹</t>
  </si>
  <si>
    <t xml:space="preserve">Toll rate - LCV / Bus (₹)</t>
  </si>
  <si>
    <t xml:space="preserve">Toll rate - Truck / multi-axle (₹)</t>
  </si>
  <si>
    <t xml:space="preserve">Revenue - Car / Jeep / Van</t>
  </si>
  <si>
    <t xml:space="preserve">Revenue - LCV / Bus</t>
  </si>
  <si>
    <t xml:space="preserve">Revenue - Truck / multi-axle</t>
  </si>
  <si>
    <t xml:space="preserve">Total toll revenue (net of leakage)</t>
  </si>
  <si>
    <t xml:space="preserve">OPERATING COSTS</t>
  </si>
  <si>
    <t xml:space="preserve">Revenue share / premium to authority</t>
  </si>
  <si>
    <t xml:space="preserve">O&amp;M cost</t>
  </si>
  <si>
    <t xml:space="preserve">Major maintenance</t>
  </si>
  <si>
    <t xml:space="preserve">EBITDA</t>
  </si>
  <si>
    <t xml:space="preserve">EBITDA margin</t>
  </si>
  <si>
    <t xml:space="preserve">%</t>
  </si>
  <si>
    <t xml:space="preserve">PROJECT CASH FLOW (UNLEVERED)</t>
  </si>
  <si>
    <t xml:space="preserve">Capex</t>
  </si>
  <si>
    <t xml:space="preserve">Amortisation of toll right</t>
  </si>
  <si>
    <t xml:space="preserve">Tax without interest shield</t>
  </si>
  <si>
    <t xml:space="preserve">Sculpting cash flow (EBITDA - unlevered tax)</t>
  </si>
  <si>
    <t xml:space="preserve">Project free cash flow</t>
  </si>
  <si>
    <t xml:space="preserve">DEBT</t>
  </si>
  <si>
    <t xml:space="preserve">Debt drawdown</t>
  </si>
  <si>
    <t xml:space="preserve">Repayment year?</t>
  </si>
  <si>
    <t xml:space="preserve">Repayment year no.</t>
  </si>
  <si>
    <t xml:space="preserve">Discount factor (repayment)</t>
  </si>
  <si>
    <t xml:space="preserve">factor</t>
  </si>
  <si>
    <t xml:space="preserve">Opening debt</t>
  </si>
  <si>
    <t xml:space="preserve">Interest</t>
  </si>
  <si>
    <t xml:space="preserve">Principal repaid</t>
  </si>
  <si>
    <t xml:space="preserve">Debt service</t>
  </si>
  <si>
    <t xml:space="preserve">Closing debt</t>
  </si>
  <si>
    <t xml:space="preserve">TAX AND PROFIT</t>
  </si>
  <si>
    <t xml:space="preserve">Taxable profit before loss set-off</t>
  </si>
  <si>
    <t xml:space="preserve">Losses brought forward</t>
  </si>
  <si>
    <t xml:space="preserve">Losses set off</t>
  </si>
  <si>
    <t xml:space="preserve">Losses carried forward</t>
  </si>
  <si>
    <t xml:space="preserve">Tax payable</t>
  </si>
  <si>
    <t xml:space="preserve">Profit after tax</t>
  </si>
  <si>
    <t xml:space="preserve">COVERAGE AND EQUITY</t>
  </si>
  <si>
    <t xml:space="preserve">CFADS (EBITDA - actual tax)</t>
  </si>
  <si>
    <t xml:space="preserve">DSCR</t>
  </si>
  <si>
    <t xml:space="preserve">x</t>
  </si>
  <si>
    <t xml:space="preserve">Equity injection</t>
  </si>
  <si>
    <t xml:space="preserve">Cash flow to equity</t>
  </si>
  <si>
    <t xml:space="preserve">Cumulative equity cash flow</t>
  </si>
  <si>
    <t xml:space="preserve">Payback flag</t>
  </si>
  <si>
    <t xml:space="preserve">Checks</t>
  </si>
  <si>
    <t xml:space="preserve">Capex phasing adds to 100%</t>
  </si>
  <si>
    <t xml:space="preserve">Total capex = project cost</t>
  </si>
  <si>
    <t xml:space="preserve">Debt fully repaid by end of model</t>
  </si>
  <si>
    <t xml:space="preserve">Debt repaid within the concession period</t>
  </si>
  <si>
    <t xml:space="preserve">No negative principal (if Sculpted fails, early cash flow is below interest: use Schedule)</t>
  </si>
  <si>
    <t xml:space="preserve">Repayment schedule adds to 100% and fits the repayment years (Schedule method)</t>
  </si>
  <si>
    <t xml:space="preserve">Concession fits in the 30-year model</t>
  </si>
  <si>
    <t xml:space="preserve">Debt within capacity at target DSCR</t>
  </si>
</sst>
</file>

<file path=xl/styles.xml><?xml version="1.0" encoding="utf-8"?>
<styleSheet xmlns="http://schemas.openxmlformats.org/spreadsheetml/2006/main">
  <numFmts count="9">
    <numFmt numFmtId="164" formatCode="General"/>
    <numFmt numFmtId="165" formatCode="0"/>
    <numFmt numFmtId="166" formatCode="0.0%;\(0.0%\);\-"/>
    <numFmt numFmtId="167" formatCode="#,##0.00;\(#,##0.00\);\-"/>
    <numFmt numFmtId="168" formatCode="0.00%;\(0.00%\);\-"/>
    <numFmt numFmtId="169" formatCode="0.00\x"/>
    <numFmt numFmtId="170" formatCode="#,##0;\(#,##0\);\-"/>
    <numFmt numFmtId="171" formatCode="0.0000"/>
    <numFmt numFmtId="172" formatCode="0.00\x;\-0.00\x;\-"/>
  </numFmts>
  <fonts count="17">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
      <b val="true"/>
      <sz val="12"/>
      <color rgb="FF1F3864"/>
      <name val="Arial"/>
      <family val="0"/>
      <charset val="1"/>
    </font>
    <font>
      <sz val="9"/>
      <color rgb="FF808080"/>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6" fontId="9" fillId="6"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8" fontId="9" fillId="6"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9" fontId="10" fillId="3" borderId="1" xfId="0" applyFont="true" applyBorder="true" applyAlignment="false" applyProtection="false">
      <alignment horizontal="general" vertical="bottom" textRotation="0" wrapText="false" indent="0" shrinkToFit="false"/>
      <protection locked="true" hidden="false"/>
    </xf>
    <xf numFmtId="169" fontId="9" fillId="6" borderId="1" xfId="0" applyFont="true" applyBorder="true" applyAlignment="false" applyProtection="false">
      <alignment horizontal="general" vertical="bottom" textRotation="0" wrapText="false" indent="0" shrinkToFit="false"/>
      <protection locked="true" hidden="false"/>
    </xf>
    <xf numFmtId="164" fontId="9" fillId="6" borderId="1" xfId="0" applyFont="true" applyBorder="true" applyAlignment="false" applyProtection="false">
      <alignment horizontal="general" vertical="bottom" textRotation="0" wrapText="false" indent="0" shrinkToFit="false"/>
      <protection locked="true" hidden="false"/>
    </xf>
    <xf numFmtId="165" fontId="9" fillId="6" borderId="1" xfId="0" applyFont="true" applyBorder="true" applyAlignment="false" applyProtection="false">
      <alignment horizontal="general" vertical="bottom" textRotation="0" wrapText="false" indent="0" shrinkToFit="false"/>
      <protection locked="true" hidden="false"/>
    </xf>
    <xf numFmtId="170" fontId="10" fillId="3" borderId="1"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70" fontId="8" fillId="0" borderId="1" xfId="0" applyFont="true" applyBorder="true" applyAlignment="false" applyProtection="false">
      <alignment horizontal="general" vertical="bottom" textRotation="0" wrapText="false" indent="0" shrinkToFit="false"/>
      <protection locked="true" hidden="false"/>
    </xf>
    <xf numFmtId="167" fontId="9"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false" applyProtection="false">
      <alignment horizontal="general" vertical="bottom" textRotation="0" wrapText="false" indent="0" shrinkToFit="false"/>
      <protection locked="true" hidden="false"/>
    </xf>
    <xf numFmtId="171" fontId="9" fillId="6" borderId="1" xfId="0" applyFont="true" applyBorder="true" applyAlignment="false" applyProtection="false">
      <alignment horizontal="general" vertical="bottom" textRotation="0" wrapText="false" indent="0" shrinkToFit="false"/>
      <protection locked="true" hidden="false"/>
    </xf>
    <xf numFmtId="171" fontId="8" fillId="0" borderId="1" xfId="0" applyFont="true" applyBorder="true" applyAlignment="false" applyProtection="false">
      <alignment horizontal="general" vertical="bottom" textRotation="0" wrapText="false" indent="0" shrinkToFit="false"/>
      <protection locked="true" hidden="false"/>
    </xf>
    <xf numFmtId="172" fontId="9"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6"/>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60" hidden="false" customHeight="true" outlineLevel="0" collapsed="false">
      <c r="B10" s="6" t="s">
        <v>6</v>
      </c>
      <c r="C10" s="7" t="s">
        <v>7</v>
      </c>
    </row>
    <row r="11" customFormat="false" ht="6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5" customFormat="false" ht="15" hidden="false" customHeight="true" outlineLevel="0" collapsed="false">
      <c r="B15" s="6" t="s">
        <v>16</v>
      </c>
      <c r="C15" s="7" t="s">
        <v>17</v>
      </c>
    </row>
    <row r="17" customFormat="false" ht="15" hidden="false" customHeight="false" outlineLevel="0" collapsed="false">
      <c r="B17" s="4"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30" hidden="false" customHeight="true" outlineLevel="0" collapsed="false">
      <c r="B28" s="13" t="s">
        <v>31</v>
      </c>
      <c r="C28" s="7" t="s">
        <v>32</v>
      </c>
    </row>
    <row r="29" customFormat="false" ht="30" hidden="false" customHeight="true" outlineLevel="0" collapsed="false">
      <c r="B29" s="13" t="s">
        <v>31</v>
      </c>
      <c r="C29" s="7" t="s">
        <v>33</v>
      </c>
    </row>
    <row r="30" customFormat="false" ht="15" hidden="false" customHeight="true" outlineLevel="0" collapsed="false">
      <c r="B30" s="13" t="s">
        <v>31</v>
      </c>
      <c r="C30" s="7" t="s">
        <v>34</v>
      </c>
    </row>
    <row r="31" customFormat="false" ht="105" hidden="false" customHeight="true" outlineLevel="0" collapsed="false">
      <c r="B31" s="13" t="s">
        <v>31</v>
      </c>
      <c r="C31" s="7" t="s">
        <v>35</v>
      </c>
    </row>
    <row r="32" customFormat="false" ht="45" hidden="false" customHeight="true" outlineLevel="0" collapsed="false">
      <c r="B32" s="13" t="s">
        <v>31</v>
      </c>
      <c r="C32" s="7" t="s">
        <v>36</v>
      </c>
    </row>
    <row r="33" customFormat="false" ht="30" hidden="false" customHeight="true" outlineLevel="0" collapsed="false">
      <c r="B33" s="13" t="s">
        <v>31</v>
      </c>
      <c r="C33" s="7" t="s">
        <v>37</v>
      </c>
    </row>
    <row r="34" customFormat="false" ht="15" hidden="false" customHeight="true" outlineLevel="0" collapsed="false">
      <c r="B34" s="13" t="s">
        <v>31</v>
      </c>
      <c r="C34" s="7" t="s">
        <v>38</v>
      </c>
    </row>
    <row r="36" customFormat="false" ht="15" hidden="false" customHeight="false" outlineLevel="0" collapsed="false">
      <c r="B36" s="14" t="s">
        <v>39</v>
      </c>
      <c r="C36" s="9" t="s">
        <v>40</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I4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6"/>
    <col collapsed="false" customWidth="true" hidden="false" outlineLevel="0" max="2" min="2" style="0" width="18"/>
    <col collapsed="false" customWidth="true" hidden="false" outlineLevel="0" max="3" min="3" style="0" width="16"/>
    <col collapsed="false" customWidth="true" hidden="false" outlineLevel="0" max="4" min="4" style="0" width="18"/>
    <col collapsed="false" customWidth="true" hidden="false" outlineLevel="0" max="5" min="5" style="0" width="42"/>
    <col collapsed="false" customWidth="true" hidden="false" outlineLevel="0" max="6" min="6" style="0" width="18"/>
    <col collapsed="false" customWidth="true" hidden="false" outlineLevel="0" max="7" min="7" style="0" width="3"/>
    <col collapsed="false" customWidth="true" hidden="false" outlineLevel="0" max="8" min="8" style="0" width="30"/>
    <col collapsed="false" customWidth="true" hidden="false" outlineLevel="0" max="9" min="9" style="0" width="14"/>
  </cols>
  <sheetData>
    <row r="1" customFormat="false" ht="17.35" hidden="false" customHeight="false" outlineLevel="0" collapsed="false">
      <c r="A1" s="15" t="s">
        <v>41</v>
      </c>
    </row>
    <row r="2" customFormat="false" ht="15" hidden="false" customHeight="false" outlineLevel="0" collapsed="false">
      <c r="A2" s="16" t="s">
        <v>42</v>
      </c>
    </row>
    <row r="3" customFormat="false" ht="15" hidden="false" customHeight="false" outlineLevel="0" collapsed="false">
      <c r="A3" s="2" t="s">
        <v>43</v>
      </c>
    </row>
    <row r="5" customFormat="false" ht="15" hidden="false" customHeight="false" outlineLevel="0" collapsed="false">
      <c r="A5" s="4" t="s">
        <v>44</v>
      </c>
      <c r="E5" s="4" t="s">
        <v>45</v>
      </c>
      <c r="H5" s="4" t="s">
        <v>46</v>
      </c>
    </row>
    <row r="6" customFormat="false" ht="15" hidden="false" customHeight="false" outlineLevel="0" collapsed="false">
      <c r="A6" s="9" t="s">
        <v>47</v>
      </c>
      <c r="C6" s="17" t="n">
        <v>2026</v>
      </c>
      <c r="E6" s="9" t="s">
        <v>48</v>
      </c>
      <c r="F6" s="18" t="n">
        <v>0.45</v>
      </c>
      <c r="H6" s="14" t="s">
        <v>49</v>
      </c>
      <c r="I6" s="8" t="s">
        <v>50</v>
      </c>
    </row>
    <row r="7" customFormat="false" ht="15" hidden="false" customHeight="false" outlineLevel="0" collapsed="false">
      <c r="A7" s="9" t="s">
        <v>51</v>
      </c>
      <c r="C7" s="17" t="n">
        <v>2</v>
      </c>
      <c r="E7" s="9" t="s">
        <v>52</v>
      </c>
      <c r="F7" s="18" t="n">
        <v>0.55</v>
      </c>
    </row>
    <row r="8" customFormat="false" ht="15" hidden="false" customHeight="false" outlineLevel="0" collapsed="false">
      <c r="A8" s="9" t="s">
        <v>53</v>
      </c>
      <c r="C8" s="17" t="n">
        <v>20</v>
      </c>
      <c r="E8" s="9" t="s">
        <v>54</v>
      </c>
      <c r="F8" s="18" t="n">
        <v>0</v>
      </c>
      <c r="H8" s="4" t="s">
        <v>55</v>
      </c>
    </row>
    <row r="9" customFormat="false" ht="30" hidden="false" customHeight="true" outlineLevel="0" collapsed="false">
      <c r="A9" s="9" t="s">
        <v>56</v>
      </c>
      <c r="C9" s="19" t="n">
        <v>2300</v>
      </c>
      <c r="E9" s="9" t="s">
        <v>57</v>
      </c>
      <c r="F9" s="18" t="n">
        <v>0</v>
      </c>
      <c r="H9" s="20" t="s">
        <v>58</v>
      </c>
      <c r="I9" s="20" t="s">
        <v>59</v>
      </c>
    </row>
    <row r="10" customFormat="false" ht="15" hidden="false" customHeight="false" outlineLevel="0" collapsed="false">
      <c r="E10" s="14" t="s">
        <v>60</v>
      </c>
      <c r="F10" s="21" t="n">
        <f aca="false">SUM(F6:F9)</f>
        <v>1</v>
      </c>
      <c r="H10" s="22" t="n">
        <v>1</v>
      </c>
      <c r="I10" s="23" t="n">
        <v>0.04</v>
      </c>
    </row>
    <row r="11" customFormat="false" ht="15" hidden="false" customHeight="false" outlineLevel="0" collapsed="false">
      <c r="A11" s="4" t="s">
        <v>61</v>
      </c>
      <c r="H11" s="22" t="n">
        <v>2</v>
      </c>
      <c r="I11" s="23" t="n">
        <v>0.05</v>
      </c>
    </row>
    <row r="12" customFormat="false" ht="15" hidden="false" customHeight="false" outlineLevel="0" collapsed="false">
      <c r="A12" s="9" t="s">
        <v>62</v>
      </c>
      <c r="C12" s="18" t="n">
        <v>0.7</v>
      </c>
      <c r="E12" s="24" t="s">
        <v>63</v>
      </c>
      <c r="H12" s="22" t="n">
        <v>3</v>
      </c>
      <c r="I12" s="23" t="n">
        <v>0.06</v>
      </c>
    </row>
    <row r="13" customFormat="false" ht="15" hidden="false" customHeight="false" outlineLevel="0" collapsed="false">
      <c r="A13" s="9" t="s">
        <v>64</v>
      </c>
      <c r="C13" s="23" t="n">
        <v>0.095</v>
      </c>
      <c r="E13" s="14" t="s">
        <v>65</v>
      </c>
      <c r="F13" s="25" t="n">
        <f aca="false">IFERROR(IRR(Model!D36:AG36,0.1),0)</f>
        <v>0.136620735696534</v>
      </c>
      <c r="H13" s="22" t="n">
        <v>4</v>
      </c>
      <c r="I13" s="23" t="n">
        <v>0.065</v>
      </c>
    </row>
    <row r="14" customFormat="false" ht="15" hidden="false" customHeight="false" outlineLevel="0" collapsed="false">
      <c r="A14" s="9" t="s">
        <v>66</v>
      </c>
      <c r="C14" s="17" t="n">
        <v>1</v>
      </c>
      <c r="E14" s="14" t="s">
        <v>67</v>
      </c>
      <c r="F14" s="26" t="n">
        <f aca="false">NPV(C20,Model!D36:AG36)</f>
        <v>485.961762988747</v>
      </c>
      <c r="H14" s="22" t="n">
        <v>5</v>
      </c>
      <c r="I14" s="23" t="n">
        <v>0.07</v>
      </c>
    </row>
    <row r="15" customFormat="false" ht="15" hidden="false" customHeight="false" outlineLevel="0" collapsed="false">
      <c r="A15" s="9" t="s">
        <v>68</v>
      </c>
      <c r="C15" s="17" t="n">
        <v>12</v>
      </c>
      <c r="E15" s="14" t="s">
        <v>69</v>
      </c>
      <c r="F15" s="25" t="n">
        <f aca="false">IFERROR(IRR(Model!D61:AG61,0.15),0)</f>
        <v>0.201440420574858</v>
      </c>
      <c r="H15" s="22" t="n">
        <v>6</v>
      </c>
      <c r="I15" s="23" t="n">
        <v>0.075</v>
      </c>
    </row>
    <row r="16" customFormat="false" ht="15" hidden="false" customHeight="false" outlineLevel="0" collapsed="false">
      <c r="A16" s="9" t="s">
        <v>70</v>
      </c>
      <c r="C16" s="27" t="n">
        <v>1.3</v>
      </c>
      <c r="E16" s="14" t="s">
        <v>71</v>
      </c>
      <c r="F16" s="26" t="n">
        <f aca="false">NPV(C21,Model!D61:AG61)</f>
        <v>323.857485693158</v>
      </c>
      <c r="H16" s="22" t="n">
        <v>7</v>
      </c>
      <c r="I16" s="23" t="n">
        <v>0.08</v>
      </c>
    </row>
    <row r="17" customFormat="false" ht="15" hidden="false" customHeight="false" outlineLevel="0" collapsed="false">
      <c r="E17" s="14" t="s">
        <v>72</v>
      </c>
      <c r="F17" s="28" t="n">
        <f aca="false">IFERROR(SMALL(Model!D59:AG59,COUNTIF(Model!D59:AG59,"&lt;=0")+1),0)</f>
        <v>1.09711464055597</v>
      </c>
      <c r="H17" s="22" t="n">
        <v>8</v>
      </c>
      <c r="I17" s="23" t="n">
        <v>0.09</v>
      </c>
    </row>
    <row r="18" customFormat="false" ht="15" hidden="false" customHeight="false" outlineLevel="0" collapsed="false">
      <c r="A18" s="4" t="s">
        <v>73</v>
      </c>
      <c r="E18" s="14" t="s">
        <v>74</v>
      </c>
      <c r="F18" s="28" t="n">
        <f aca="false">IFERROR(AVERAGEIF(Model!D59:AG59,"&gt;0"),0)</f>
        <v>1.77479360863634</v>
      </c>
      <c r="H18" s="22" t="n">
        <v>9</v>
      </c>
      <c r="I18" s="23" t="n">
        <v>0.1</v>
      </c>
    </row>
    <row r="19" customFormat="false" ht="15" hidden="false" customHeight="false" outlineLevel="0" collapsed="false">
      <c r="A19" s="9" t="s">
        <v>75</v>
      </c>
      <c r="C19" s="23" t="n">
        <v>0.25168</v>
      </c>
      <c r="E19" s="14" t="s">
        <v>76</v>
      </c>
      <c r="F19" s="28" t="n">
        <f aca="false">IF(C42=0,0,SUMPRODUCT(Model!D58:AG58,Model!D42:AG42)/C42)</f>
        <v>1.65875207991804</v>
      </c>
      <c r="H19" s="22" t="n">
        <v>10</v>
      </c>
      <c r="I19" s="23" t="n">
        <v>0.11</v>
      </c>
    </row>
    <row r="20" customFormat="false" ht="15" hidden="false" customHeight="false" outlineLevel="0" collapsed="false">
      <c r="A20" s="9" t="s">
        <v>77</v>
      </c>
      <c r="C20" s="23" t="n">
        <v>0.11</v>
      </c>
      <c r="E20" s="14" t="s">
        <v>78</v>
      </c>
      <c r="F20" s="28" t="n">
        <f aca="false">IF(Model!C42=0,0,1/Model!C42)</f>
        <v>1.53431194562134</v>
      </c>
      <c r="H20" s="22" t="n">
        <v>11</v>
      </c>
      <c r="I20" s="23" t="n">
        <v>0.12</v>
      </c>
    </row>
    <row r="21" customFormat="false" ht="15" hidden="false" customHeight="false" outlineLevel="0" collapsed="false">
      <c r="A21" s="9" t="s">
        <v>79</v>
      </c>
      <c r="C21" s="23" t="n">
        <v>0.15</v>
      </c>
      <c r="E21" s="14" t="s">
        <v>80</v>
      </c>
      <c r="F21" s="26" t="n">
        <f aca="false">SUMPRODUCT(Model!D35:AG35,Model!D42:AG42)/C16</f>
        <v>1900.18633265412</v>
      </c>
      <c r="H21" s="22" t="n">
        <v>12</v>
      </c>
      <c r="I21" s="23" t="n">
        <v>0.14</v>
      </c>
    </row>
    <row r="22" customFormat="false" ht="15" hidden="false" customHeight="false" outlineLevel="0" collapsed="false">
      <c r="E22" s="14" t="s">
        <v>81</v>
      </c>
      <c r="F22" s="29" t="str">
        <f aca="false">IF(C42&lt;=F21+0.01,"Yes","No - reduce debt or extend tenor")</f>
        <v>Yes</v>
      </c>
      <c r="H22" s="22" t="n">
        <v>13</v>
      </c>
      <c r="I22" s="23"/>
    </row>
    <row r="23" customFormat="false" ht="15" hidden="false" customHeight="false" outlineLevel="0" collapsed="false">
      <c r="A23" s="4" t="s">
        <v>82</v>
      </c>
      <c r="E23" s="14" t="s">
        <v>83</v>
      </c>
      <c r="F23" s="30" t="n">
        <f aca="false">IF(COUNT(Model!D63:AG63)=0,"Not within concession",MIN(Model!D63:AG63))</f>
        <v>10</v>
      </c>
      <c r="H23" s="22" t="n">
        <v>14</v>
      </c>
      <c r="I23" s="23"/>
    </row>
    <row r="24" customFormat="false" ht="30" hidden="false" customHeight="true" outlineLevel="0" collapsed="false">
      <c r="A24" s="20" t="s">
        <v>84</v>
      </c>
      <c r="B24" s="20" t="s">
        <v>85</v>
      </c>
      <c r="C24" s="20" t="s">
        <v>86</v>
      </c>
      <c r="D24" s="20" t="s">
        <v>87</v>
      </c>
      <c r="E24" s="14" t="s">
        <v>88</v>
      </c>
      <c r="F24" s="30" t="n">
        <f aca="false">COUNTIFS(Model!D59:AG59,"&gt;0",Model!D59:AG59,"&lt;"&amp;C16)</f>
        <v>2</v>
      </c>
      <c r="H24" s="22" t="n">
        <v>15</v>
      </c>
      <c r="I24" s="23"/>
    </row>
    <row r="25" customFormat="false" ht="15" hidden="false" customHeight="false" outlineLevel="0" collapsed="false">
      <c r="A25" s="8" t="s">
        <v>89</v>
      </c>
      <c r="B25" s="31" t="n">
        <v>18000</v>
      </c>
      <c r="C25" s="18" t="n">
        <v>0.06</v>
      </c>
      <c r="D25" s="31" t="n">
        <v>120</v>
      </c>
      <c r="E25" s="14" t="s">
        <v>90</v>
      </c>
      <c r="F25" s="26" t="n">
        <f aca="false">Model!C22</f>
        <v>12667.0608826013</v>
      </c>
      <c r="H25" s="22" t="n">
        <v>16</v>
      </c>
      <c r="I25" s="23"/>
    </row>
    <row r="26" customFormat="false" ht="15" hidden="false" customHeight="false" outlineLevel="0" collapsed="false">
      <c r="A26" s="8" t="s">
        <v>91</v>
      </c>
      <c r="B26" s="31" t="n">
        <v>4000</v>
      </c>
      <c r="C26" s="18" t="n">
        <v>0.05</v>
      </c>
      <c r="D26" s="31" t="n">
        <v>300</v>
      </c>
      <c r="H26" s="22" t="n">
        <v>17</v>
      </c>
      <c r="I26" s="23"/>
    </row>
    <row r="27" customFormat="false" ht="15" hidden="false" customHeight="false" outlineLevel="0" collapsed="false">
      <c r="A27" s="8" t="s">
        <v>92</v>
      </c>
      <c r="B27" s="31" t="n">
        <v>7000</v>
      </c>
      <c r="C27" s="18" t="n">
        <v>0.05</v>
      </c>
      <c r="D27" s="31" t="n">
        <v>650</v>
      </c>
      <c r="H27" s="22" t="n">
        <v>18</v>
      </c>
      <c r="I27" s="23"/>
    </row>
    <row r="28" customFormat="false" ht="15" hidden="false" customHeight="false" outlineLevel="0" collapsed="false">
      <c r="A28" s="4" t="s">
        <v>93</v>
      </c>
      <c r="H28" s="22" t="n">
        <v>19</v>
      </c>
      <c r="I28" s="23"/>
    </row>
    <row r="29" customFormat="false" ht="15" hidden="false" customHeight="false" outlineLevel="0" collapsed="false">
      <c r="A29" s="9" t="s">
        <v>94</v>
      </c>
      <c r="C29" s="23" t="n">
        <v>0.03</v>
      </c>
      <c r="H29" s="22" t="n">
        <v>20</v>
      </c>
      <c r="I29" s="23"/>
    </row>
    <row r="30" customFormat="false" ht="15" hidden="false" customHeight="false" outlineLevel="0" collapsed="false">
      <c r="A30" s="9" t="s">
        <v>95</v>
      </c>
      <c r="C30" s="23" t="n">
        <v>0.04</v>
      </c>
      <c r="H30" s="22" t="n">
        <v>21</v>
      </c>
      <c r="I30" s="23"/>
    </row>
    <row r="31" customFormat="false" ht="15" hidden="false" customHeight="false" outlineLevel="0" collapsed="false">
      <c r="A31" s="9" t="s">
        <v>96</v>
      </c>
      <c r="C31" s="18" t="n">
        <v>0.4</v>
      </c>
      <c r="H31" s="22" t="n">
        <v>22</v>
      </c>
      <c r="I31" s="23"/>
    </row>
    <row r="32" customFormat="false" ht="15" hidden="false" customHeight="false" outlineLevel="0" collapsed="false">
      <c r="A32" s="9" t="s">
        <v>97</v>
      </c>
      <c r="C32" s="18" t="n">
        <v>0.05</v>
      </c>
      <c r="H32" s="22" t="n">
        <v>23</v>
      </c>
      <c r="I32" s="23"/>
    </row>
    <row r="33" customFormat="false" ht="15" hidden="false" customHeight="false" outlineLevel="0" collapsed="false">
      <c r="A33" s="9" t="s">
        <v>98</v>
      </c>
      <c r="C33" s="19" t="n">
        <v>30</v>
      </c>
      <c r="H33" s="22" t="n">
        <v>24</v>
      </c>
      <c r="I33" s="23"/>
    </row>
    <row r="34" customFormat="false" ht="15" hidden="false" customHeight="false" outlineLevel="0" collapsed="false">
      <c r="A34" s="9" t="s">
        <v>99</v>
      </c>
      <c r="C34" s="23" t="n">
        <v>0.05</v>
      </c>
      <c r="H34" s="22" t="n">
        <v>25</v>
      </c>
      <c r="I34" s="23"/>
    </row>
    <row r="35" customFormat="false" ht="15" hidden="false" customHeight="false" outlineLevel="0" collapsed="false">
      <c r="A35" s="9" t="s">
        <v>100</v>
      </c>
      <c r="C35" s="19" t="n">
        <v>90</v>
      </c>
      <c r="H35" s="29" t="s">
        <v>60</v>
      </c>
      <c r="I35" s="25" t="n">
        <f aca="false">SUM(I10:I34)</f>
        <v>1</v>
      </c>
    </row>
    <row r="36" customFormat="false" ht="15" hidden="false" customHeight="false" outlineLevel="0" collapsed="false">
      <c r="A36" s="9" t="s">
        <v>101</v>
      </c>
      <c r="C36" s="17" t="n">
        <v>5</v>
      </c>
      <c r="H36" s="2" t="s">
        <v>102</v>
      </c>
    </row>
    <row r="37" customFormat="false" ht="15" hidden="false" customHeight="false" outlineLevel="0" collapsed="false">
      <c r="A37" s="9" t="s">
        <v>103</v>
      </c>
      <c r="C37" s="18" t="n">
        <v>0</v>
      </c>
    </row>
    <row r="39" customFormat="false" ht="15" hidden="false" customHeight="false" outlineLevel="0" collapsed="false">
      <c r="A39" s="4" t="s">
        <v>104</v>
      </c>
    </row>
    <row r="40" customFormat="false" ht="15" hidden="false" customHeight="false" outlineLevel="0" collapsed="false">
      <c r="A40" s="9" t="s">
        <v>105</v>
      </c>
      <c r="C40" s="22" t="n">
        <f aca="false">C8-C7</f>
        <v>18</v>
      </c>
    </row>
    <row r="41" customFormat="false" ht="15" hidden="false" customHeight="false" outlineLevel="0" collapsed="false">
      <c r="A41" s="9" t="s">
        <v>106</v>
      </c>
      <c r="C41" s="32" t="n">
        <f aca="false">C29+C31*C30</f>
        <v>0.046</v>
      </c>
    </row>
    <row r="42" customFormat="false" ht="15" hidden="false" customHeight="false" outlineLevel="0" collapsed="false">
      <c r="A42" s="9" t="s">
        <v>107</v>
      </c>
      <c r="C42" s="33" t="n">
        <f aca="false">C9*C12</f>
        <v>1610</v>
      </c>
    </row>
    <row r="43" customFormat="false" ht="15" hidden="false" customHeight="false" outlineLevel="0" collapsed="false">
      <c r="A43" s="9" t="s">
        <v>108</v>
      </c>
      <c r="C43" s="33" t="n">
        <f aca="false">C9-C42</f>
        <v>690</v>
      </c>
    </row>
  </sheetData>
  <dataValidations count="1">
    <dataValidation allowBlank="true" error="Pick a value from the list" errorStyle="stop" errorTitle="Invalid entry" operator="between" showDropDown="false" showErrorMessage="false" showInputMessage="false" sqref="I6" type="list">
      <formula1>"Schedule,Sculpted"</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G7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5" topLeftCell="D6" activePane="bottomRight" state="frozen"/>
      <selection pane="topLeft" activeCell="A1" activeCellId="0" sqref="A1"/>
      <selection pane="topRight" activeCell="D1" activeCellId="0" sqref="D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2" min="2" style="0" width="10"/>
    <col collapsed="false" customWidth="true" hidden="false" outlineLevel="0" max="3" min="3" style="0" width="12"/>
    <col collapsed="false" customWidth="true" hidden="false" outlineLevel="0" max="33" min="4" style="0" width="10"/>
  </cols>
  <sheetData>
    <row r="1" customFormat="false" ht="17.35" hidden="false" customHeight="false" outlineLevel="0" collapsed="false">
      <c r="A1" s="15" t="s">
        <v>109</v>
      </c>
    </row>
    <row r="2" customFormat="false" ht="15" hidden="false" customHeight="false" outlineLevel="0" collapsed="false">
      <c r="A2" s="16" t="s">
        <v>42</v>
      </c>
    </row>
    <row r="5" customFormat="false" ht="19.5" hidden="false" customHeight="true" outlineLevel="0" collapsed="false">
      <c r="A5" s="20" t="s">
        <v>110</v>
      </c>
      <c r="B5" s="20" t="s">
        <v>111</v>
      </c>
      <c r="C5" s="20" t="s">
        <v>60</v>
      </c>
      <c r="D5" s="20" t="str">
        <f aca="false">D7</f>
        <v>FY 2026-27</v>
      </c>
      <c r="E5" s="20" t="str">
        <f aca="false">E7</f>
        <v>FY 2027-28</v>
      </c>
      <c r="F5" s="20" t="str">
        <f aca="false">F7</f>
        <v>FY 2028-29</v>
      </c>
      <c r="G5" s="20" t="str">
        <f aca="false">G7</f>
        <v>FY 2029-30</v>
      </c>
      <c r="H5" s="20" t="str">
        <f aca="false">H7</f>
        <v>FY 2030-31</v>
      </c>
      <c r="I5" s="20" t="str">
        <f aca="false">I7</f>
        <v>FY 2031-32</v>
      </c>
      <c r="J5" s="20" t="str">
        <f aca="false">J7</f>
        <v>FY 2032-33</v>
      </c>
      <c r="K5" s="20" t="str">
        <f aca="false">K7</f>
        <v>FY 2033-34</v>
      </c>
      <c r="L5" s="20" t="str">
        <f aca="false">L7</f>
        <v>FY 2034-35</v>
      </c>
      <c r="M5" s="20" t="str">
        <f aca="false">M7</f>
        <v>FY 2035-36</v>
      </c>
      <c r="N5" s="20" t="str">
        <f aca="false">N7</f>
        <v>FY 2036-37</v>
      </c>
      <c r="O5" s="20" t="str">
        <f aca="false">O7</f>
        <v>FY 2037-38</v>
      </c>
      <c r="P5" s="20" t="str">
        <f aca="false">P7</f>
        <v>FY 2038-39</v>
      </c>
      <c r="Q5" s="20" t="str">
        <f aca="false">Q7</f>
        <v>FY 2039-40</v>
      </c>
      <c r="R5" s="20" t="str">
        <f aca="false">R7</f>
        <v>FY 2040-41</v>
      </c>
      <c r="S5" s="20" t="str">
        <f aca="false">S7</f>
        <v>FY 2041-42</v>
      </c>
      <c r="T5" s="20" t="str">
        <f aca="false">T7</f>
        <v>FY 2042-43</v>
      </c>
      <c r="U5" s="20" t="str">
        <f aca="false">U7</f>
        <v>FY 2043-44</v>
      </c>
      <c r="V5" s="20" t="str">
        <f aca="false">V7</f>
        <v>FY 2044-45</v>
      </c>
      <c r="W5" s="20" t="str">
        <f aca="false">W7</f>
        <v>FY 2045-46</v>
      </c>
      <c r="X5" s="20" t="str">
        <f aca="false">X7</f>
        <v>FY 2046-47</v>
      </c>
      <c r="Y5" s="20" t="str">
        <f aca="false">Y7</f>
        <v>FY 2047-48</v>
      </c>
      <c r="Z5" s="20" t="str">
        <f aca="false">Z7</f>
        <v>FY 2048-49</v>
      </c>
      <c r="AA5" s="20" t="str">
        <f aca="false">AA7</f>
        <v>FY 2049-50</v>
      </c>
      <c r="AB5" s="20" t="str">
        <f aca="false">AB7</f>
        <v>FY 2050-51</v>
      </c>
      <c r="AC5" s="20" t="str">
        <f aca="false">AC7</f>
        <v>FY 2051-52</v>
      </c>
      <c r="AD5" s="20" t="str">
        <f aca="false">AD7</f>
        <v>FY 2052-53</v>
      </c>
      <c r="AE5" s="20" t="str">
        <f aca="false">AE7</f>
        <v>FY 2053-54</v>
      </c>
      <c r="AF5" s="20" t="str">
        <f aca="false">AF7</f>
        <v>FY 2054-55</v>
      </c>
      <c r="AG5" s="20" t="str">
        <f aca="false">AG7</f>
        <v>FY 2055-56</v>
      </c>
    </row>
    <row r="6" customFormat="false" ht="15" hidden="false" customHeight="false" outlineLevel="0" collapsed="false">
      <c r="A6" s="9" t="s">
        <v>112</v>
      </c>
      <c r="D6" s="22" t="n">
        <v>1</v>
      </c>
      <c r="E6" s="22" t="n">
        <v>2</v>
      </c>
      <c r="F6" s="22" t="n">
        <v>3</v>
      </c>
      <c r="G6" s="22" t="n">
        <v>4</v>
      </c>
      <c r="H6" s="22" t="n">
        <v>5</v>
      </c>
      <c r="I6" s="22" t="n">
        <v>6</v>
      </c>
      <c r="J6" s="22" t="n">
        <v>7</v>
      </c>
      <c r="K6" s="22" t="n">
        <v>8</v>
      </c>
      <c r="L6" s="22" t="n">
        <v>9</v>
      </c>
      <c r="M6" s="22" t="n">
        <v>10</v>
      </c>
      <c r="N6" s="22" t="n">
        <v>11</v>
      </c>
      <c r="O6" s="22" t="n">
        <v>12</v>
      </c>
      <c r="P6" s="22" t="n">
        <v>13</v>
      </c>
      <c r="Q6" s="22" t="n">
        <v>14</v>
      </c>
      <c r="R6" s="22" t="n">
        <v>15</v>
      </c>
      <c r="S6" s="22" t="n">
        <v>16</v>
      </c>
      <c r="T6" s="22" t="n">
        <v>17</v>
      </c>
      <c r="U6" s="22" t="n">
        <v>18</v>
      </c>
      <c r="V6" s="22" t="n">
        <v>19</v>
      </c>
      <c r="W6" s="22" t="n">
        <v>20</v>
      </c>
      <c r="X6" s="22" t="n">
        <v>21</v>
      </c>
      <c r="Y6" s="22" t="n">
        <v>22</v>
      </c>
      <c r="Z6" s="22" t="n">
        <v>23</v>
      </c>
      <c r="AA6" s="22" t="n">
        <v>24</v>
      </c>
      <c r="AB6" s="22" t="n">
        <v>25</v>
      </c>
      <c r="AC6" s="22" t="n">
        <v>26</v>
      </c>
      <c r="AD6" s="22" t="n">
        <v>27</v>
      </c>
      <c r="AE6" s="22" t="n">
        <v>28</v>
      </c>
      <c r="AF6" s="22" t="n">
        <v>29</v>
      </c>
      <c r="AG6" s="22" t="n">
        <v>30</v>
      </c>
    </row>
    <row r="7" customFormat="false" ht="15" hidden="false" customHeight="false" outlineLevel="0" collapsed="false">
      <c r="A7" s="9" t="s">
        <v>113</v>
      </c>
      <c r="D7" s="33" t="str">
        <f aca="false">"FY "&amp;(Inputs!$C$6+D6-1)&amp;"-"&amp;RIGHT(Inputs!$C$6+D6,2)</f>
        <v>FY 2026-27</v>
      </c>
      <c r="E7" s="33" t="str">
        <f aca="false">"FY "&amp;(Inputs!$C$6+E6-1)&amp;"-"&amp;RIGHT(Inputs!$C$6+E6,2)</f>
        <v>FY 2027-28</v>
      </c>
      <c r="F7" s="33" t="str">
        <f aca="false">"FY "&amp;(Inputs!$C$6+F6-1)&amp;"-"&amp;RIGHT(Inputs!$C$6+F6,2)</f>
        <v>FY 2028-29</v>
      </c>
      <c r="G7" s="33" t="str">
        <f aca="false">"FY "&amp;(Inputs!$C$6+G6-1)&amp;"-"&amp;RIGHT(Inputs!$C$6+G6,2)</f>
        <v>FY 2029-30</v>
      </c>
      <c r="H7" s="33" t="str">
        <f aca="false">"FY "&amp;(Inputs!$C$6+H6-1)&amp;"-"&amp;RIGHT(Inputs!$C$6+H6,2)</f>
        <v>FY 2030-31</v>
      </c>
      <c r="I7" s="33" t="str">
        <f aca="false">"FY "&amp;(Inputs!$C$6+I6-1)&amp;"-"&amp;RIGHT(Inputs!$C$6+I6,2)</f>
        <v>FY 2031-32</v>
      </c>
      <c r="J7" s="33" t="str">
        <f aca="false">"FY "&amp;(Inputs!$C$6+J6-1)&amp;"-"&amp;RIGHT(Inputs!$C$6+J6,2)</f>
        <v>FY 2032-33</v>
      </c>
      <c r="K7" s="33" t="str">
        <f aca="false">"FY "&amp;(Inputs!$C$6+K6-1)&amp;"-"&amp;RIGHT(Inputs!$C$6+K6,2)</f>
        <v>FY 2033-34</v>
      </c>
      <c r="L7" s="33" t="str">
        <f aca="false">"FY "&amp;(Inputs!$C$6+L6-1)&amp;"-"&amp;RIGHT(Inputs!$C$6+L6,2)</f>
        <v>FY 2034-35</v>
      </c>
      <c r="M7" s="33" t="str">
        <f aca="false">"FY "&amp;(Inputs!$C$6+M6-1)&amp;"-"&amp;RIGHT(Inputs!$C$6+M6,2)</f>
        <v>FY 2035-36</v>
      </c>
      <c r="N7" s="33" t="str">
        <f aca="false">"FY "&amp;(Inputs!$C$6+N6-1)&amp;"-"&amp;RIGHT(Inputs!$C$6+N6,2)</f>
        <v>FY 2036-37</v>
      </c>
      <c r="O7" s="33" t="str">
        <f aca="false">"FY "&amp;(Inputs!$C$6+O6-1)&amp;"-"&amp;RIGHT(Inputs!$C$6+O6,2)</f>
        <v>FY 2037-38</v>
      </c>
      <c r="P7" s="33" t="str">
        <f aca="false">"FY "&amp;(Inputs!$C$6+P6-1)&amp;"-"&amp;RIGHT(Inputs!$C$6+P6,2)</f>
        <v>FY 2038-39</v>
      </c>
      <c r="Q7" s="33" t="str">
        <f aca="false">"FY "&amp;(Inputs!$C$6+Q6-1)&amp;"-"&amp;RIGHT(Inputs!$C$6+Q6,2)</f>
        <v>FY 2039-40</v>
      </c>
      <c r="R7" s="33" t="str">
        <f aca="false">"FY "&amp;(Inputs!$C$6+R6-1)&amp;"-"&amp;RIGHT(Inputs!$C$6+R6,2)</f>
        <v>FY 2040-41</v>
      </c>
      <c r="S7" s="33" t="str">
        <f aca="false">"FY "&amp;(Inputs!$C$6+S6-1)&amp;"-"&amp;RIGHT(Inputs!$C$6+S6,2)</f>
        <v>FY 2041-42</v>
      </c>
      <c r="T7" s="33" t="str">
        <f aca="false">"FY "&amp;(Inputs!$C$6+T6-1)&amp;"-"&amp;RIGHT(Inputs!$C$6+T6,2)</f>
        <v>FY 2042-43</v>
      </c>
      <c r="U7" s="33" t="str">
        <f aca="false">"FY "&amp;(Inputs!$C$6+U6-1)&amp;"-"&amp;RIGHT(Inputs!$C$6+U6,2)</f>
        <v>FY 2043-44</v>
      </c>
      <c r="V7" s="33" t="str">
        <f aca="false">"FY "&amp;(Inputs!$C$6+V6-1)&amp;"-"&amp;RIGHT(Inputs!$C$6+V6,2)</f>
        <v>FY 2044-45</v>
      </c>
      <c r="W7" s="33" t="str">
        <f aca="false">"FY "&amp;(Inputs!$C$6+W6-1)&amp;"-"&amp;RIGHT(Inputs!$C$6+W6,2)</f>
        <v>FY 2045-46</v>
      </c>
      <c r="X7" s="33" t="str">
        <f aca="false">"FY "&amp;(Inputs!$C$6+X6-1)&amp;"-"&amp;RIGHT(Inputs!$C$6+X6,2)</f>
        <v>FY 2046-47</v>
      </c>
      <c r="Y7" s="33" t="str">
        <f aca="false">"FY "&amp;(Inputs!$C$6+Y6-1)&amp;"-"&amp;RIGHT(Inputs!$C$6+Y6,2)</f>
        <v>FY 2047-48</v>
      </c>
      <c r="Z7" s="33" t="str">
        <f aca="false">"FY "&amp;(Inputs!$C$6+Z6-1)&amp;"-"&amp;RIGHT(Inputs!$C$6+Z6,2)</f>
        <v>FY 2048-49</v>
      </c>
      <c r="AA7" s="33" t="str">
        <f aca="false">"FY "&amp;(Inputs!$C$6+AA6-1)&amp;"-"&amp;RIGHT(Inputs!$C$6+AA6,2)</f>
        <v>FY 2049-50</v>
      </c>
      <c r="AB7" s="33" t="str">
        <f aca="false">"FY "&amp;(Inputs!$C$6+AB6-1)&amp;"-"&amp;RIGHT(Inputs!$C$6+AB6,2)</f>
        <v>FY 2050-51</v>
      </c>
      <c r="AC7" s="33" t="str">
        <f aca="false">"FY "&amp;(Inputs!$C$6+AC6-1)&amp;"-"&amp;RIGHT(Inputs!$C$6+AC6,2)</f>
        <v>FY 2051-52</v>
      </c>
      <c r="AD7" s="33" t="str">
        <f aca="false">"FY "&amp;(Inputs!$C$6+AD6-1)&amp;"-"&amp;RIGHT(Inputs!$C$6+AD6,2)</f>
        <v>FY 2052-53</v>
      </c>
      <c r="AE7" s="33" t="str">
        <f aca="false">"FY "&amp;(Inputs!$C$6+AE6-1)&amp;"-"&amp;RIGHT(Inputs!$C$6+AE6,2)</f>
        <v>FY 2053-54</v>
      </c>
      <c r="AF7" s="33" t="str">
        <f aca="false">"FY "&amp;(Inputs!$C$6+AF6-1)&amp;"-"&amp;RIGHT(Inputs!$C$6+AF6,2)</f>
        <v>FY 2054-55</v>
      </c>
      <c r="AG7" s="33" t="str">
        <f aca="false">"FY "&amp;(Inputs!$C$6+AG6-1)&amp;"-"&amp;RIGHT(Inputs!$C$6+AG6,2)</f>
        <v>FY 2055-56</v>
      </c>
    </row>
    <row r="8" customFormat="false" ht="15" hidden="false" customHeight="false" outlineLevel="0" collapsed="false">
      <c r="A8" s="9" t="s">
        <v>114</v>
      </c>
      <c r="D8" s="22" t="n">
        <f aca="false">IF(D6&lt;=Inputs!$C$7,1,0)</f>
        <v>1</v>
      </c>
      <c r="E8" s="22" t="n">
        <f aca="false">IF(E6&lt;=Inputs!$C$7,1,0)</f>
        <v>1</v>
      </c>
      <c r="F8" s="22" t="n">
        <f aca="false">IF(F6&lt;=Inputs!$C$7,1,0)</f>
        <v>0</v>
      </c>
      <c r="G8" s="22" t="n">
        <f aca="false">IF(G6&lt;=Inputs!$C$7,1,0)</f>
        <v>0</v>
      </c>
      <c r="H8" s="22" t="n">
        <f aca="false">IF(H6&lt;=Inputs!$C$7,1,0)</f>
        <v>0</v>
      </c>
      <c r="I8" s="22" t="n">
        <f aca="false">IF(I6&lt;=Inputs!$C$7,1,0)</f>
        <v>0</v>
      </c>
      <c r="J8" s="22" t="n">
        <f aca="false">IF(J6&lt;=Inputs!$C$7,1,0)</f>
        <v>0</v>
      </c>
      <c r="K8" s="22" t="n">
        <f aca="false">IF(K6&lt;=Inputs!$C$7,1,0)</f>
        <v>0</v>
      </c>
      <c r="L8" s="22" t="n">
        <f aca="false">IF(L6&lt;=Inputs!$C$7,1,0)</f>
        <v>0</v>
      </c>
      <c r="M8" s="22" t="n">
        <f aca="false">IF(M6&lt;=Inputs!$C$7,1,0)</f>
        <v>0</v>
      </c>
      <c r="N8" s="22" t="n">
        <f aca="false">IF(N6&lt;=Inputs!$C$7,1,0)</f>
        <v>0</v>
      </c>
      <c r="O8" s="22" t="n">
        <f aca="false">IF(O6&lt;=Inputs!$C$7,1,0)</f>
        <v>0</v>
      </c>
      <c r="P8" s="22" t="n">
        <f aca="false">IF(P6&lt;=Inputs!$C$7,1,0)</f>
        <v>0</v>
      </c>
      <c r="Q8" s="22" t="n">
        <f aca="false">IF(Q6&lt;=Inputs!$C$7,1,0)</f>
        <v>0</v>
      </c>
      <c r="R8" s="22" t="n">
        <f aca="false">IF(R6&lt;=Inputs!$C$7,1,0)</f>
        <v>0</v>
      </c>
      <c r="S8" s="22" t="n">
        <f aca="false">IF(S6&lt;=Inputs!$C$7,1,0)</f>
        <v>0</v>
      </c>
      <c r="T8" s="22" t="n">
        <f aca="false">IF(T6&lt;=Inputs!$C$7,1,0)</f>
        <v>0</v>
      </c>
      <c r="U8" s="22" t="n">
        <f aca="false">IF(U6&lt;=Inputs!$C$7,1,0)</f>
        <v>0</v>
      </c>
      <c r="V8" s="22" t="n">
        <f aca="false">IF(V6&lt;=Inputs!$C$7,1,0)</f>
        <v>0</v>
      </c>
      <c r="W8" s="22" t="n">
        <f aca="false">IF(W6&lt;=Inputs!$C$7,1,0)</f>
        <v>0</v>
      </c>
      <c r="X8" s="22" t="n">
        <f aca="false">IF(X6&lt;=Inputs!$C$7,1,0)</f>
        <v>0</v>
      </c>
      <c r="Y8" s="22" t="n">
        <f aca="false">IF(Y6&lt;=Inputs!$C$7,1,0)</f>
        <v>0</v>
      </c>
      <c r="Z8" s="22" t="n">
        <f aca="false">IF(Z6&lt;=Inputs!$C$7,1,0)</f>
        <v>0</v>
      </c>
      <c r="AA8" s="22" t="n">
        <f aca="false">IF(AA6&lt;=Inputs!$C$7,1,0)</f>
        <v>0</v>
      </c>
      <c r="AB8" s="22" t="n">
        <f aca="false">IF(AB6&lt;=Inputs!$C$7,1,0)</f>
        <v>0</v>
      </c>
      <c r="AC8" s="22" t="n">
        <f aca="false">IF(AC6&lt;=Inputs!$C$7,1,0)</f>
        <v>0</v>
      </c>
      <c r="AD8" s="22" t="n">
        <f aca="false">IF(AD6&lt;=Inputs!$C$7,1,0)</f>
        <v>0</v>
      </c>
      <c r="AE8" s="22" t="n">
        <f aca="false">IF(AE6&lt;=Inputs!$C$7,1,0)</f>
        <v>0</v>
      </c>
      <c r="AF8" s="22" t="n">
        <f aca="false">IF(AF6&lt;=Inputs!$C$7,1,0)</f>
        <v>0</v>
      </c>
      <c r="AG8" s="22" t="n">
        <f aca="false">IF(AG6&lt;=Inputs!$C$7,1,0)</f>
        <v>0</v>
      </c>
    </row>
    <row r="9" customFormat="false" ht="15" hidden="false" customHeight="false" outlineLevel="0" collapsed="false">
      <c r="A9" s="9" t="s">
        <v>115</v>
      </c>
      <c r="D9" s="22" t="n">
        <f aca="false">IF(AND(D6&gt;Inputs!$C$7,D6&lt;=Inputs!$C$8),1,0)</f>
        <v>0</v>
      </c>
      <c r="E9" s="22" t="n">
        <f aca="false">IF(AND(E6&gt;Inputs!$C$7,E6&lt;=Inputs!$C$8),1,0)</f>
        <v>0</v>
      </c>
      <c r="F9" s="22" t="n">
        <f aca="false">IF(AND(F6&gt;Inputs!$C$7,F6&lt;=Inputs!$C$8),1,0)</f>
        <v>1</v>
      </c>
      <c r="G9" s="22" t="n">
        <f aca="false">IF(AND(G6&gt;Inputs!$C$7,G6&lt;=Inputs!$C$8),1,0)</f>
        <v>1</v>
      </c>
      <c r="H9" s="22" t="n">
        <f aca="false">IF(AND(H6&gt;Inputs!$C$7,H6&lt;=Inputs!$C$8),1,0)</f>
        <v>1</v>
      </c>
      <c r="I9" s="22" t="n">
        <f aca="false">IF(AND(I6&gt;Inputs!$C$7,I6&lt;=Inputs!$C$8),1,0)</f>
        <v>1</v>
      </c>
      <c r="J9" s="22" t="n">
        <f aca="false">IF(AND(J6&gt;Inputs!$C$7,J6&lt;=Inputs!$C$8),1,0)</f>
        <v>1</v>
      </c>
      <c r="K9" s="22" t="n">
        <f aca="false">IF(AND(K6&gt;Inputs!$C$7,K6&lt;=Inputs!$C$8),1,0)</f>
        <v>1</v>
      </c>
      <c r="L9" s="22" t="n">
        <f aca="false">IF(AND(L6&gt;Inputs!$C$7,L6&lt;=Inputs!$C$8),1,0)</f>
        <v>1</v>
      </c>
      <c r="M9" s="22" t="n">
        <f aca="false">IF(AND(M6&gt;Inputs!$C$7,M6&lt;=Inputs!$C$8),1,0)</f>
        <v>1</v>
      </c>
      <c r="N9" s="22" t="n">
        <f aca="false">IF(AND(N6&gt;Inputs!$C$7,N6&lt;=Inputs!$C$8),1,0)</f>
        <v>1</v>
      </c>
      <c r="O9" s="22" t="n">
        <f aca="false">IF(AND(O6&gt;Inputs!$C$7,O6&lt;=Inputs!$C$8),1,0)</f>
        <v>1</v>
      </c>
      <c r="P9" s="22" t="n">
        <f aca="false">IF(AND(P6&gt;Inputs!$C$7,P6&lt;=Inputs!$C$8),1,0)</f>
        <v>1</v>
      </c>
      <c r="Q9" s="22" t="n">
        <f aca="false">IF(AND(Q6&gt;Inputs!$C$7,Q6&lt;=Inputs!$C$8),1,0)</f>
        <v>1</v>
      </c>
      <c r="R9" s="22" t="n">
        <f aca="false">IF(AND(R6&gt;Inputs!$C$7,R6&lt;=Inputs!$C$8),1,0)</f>
        <v>1</v>
      </c>
      <c r="S9" s="22" t="n">
        <f aca="false">IF(AND(S6&gt;Inputs!$C$7,S6&lt;=Inputs!$C$8),1,0)</f>
        <v>1</v>
      </c>
      <c r="T9" s="22" t="n">
        <f aca="false">IF(AND(T6&gt;Inputs!$C$7,T6&lt;=Inputs!$C$8),1,0)</f>
        <v>1</v>
      </c>
      <c r="U9" s="22" t="n">
        <f aca="false">IF(AND(U6&gt;Inputs!$C$7,U6&lt;=Inputs!$C$8),1,0)</f>
        <v>1</v>
      </c>
      <c r="V9" s="22" t="n">
        <f aca="false">IF(AND(V6&gt;Inputs!$C$7,V6&lt;=Inputs!$C$8),1,0)</f>
        <v>1</v>
      </c>
      <c r="W9" s="22" t="n">
        <f aca="false">IF(AND(W6&gt;Inputs!$C$7,W6&lt;=Inputs!$C$8),1,0)</f>
        <v>1</v>
      </c>
      <c r="X9" s="22" t="n">
        <f aca="false">IF(AND(X6&gt;Inputs!$C$7,X6&lt;=Inputs!$C$8),1,0)</f>
        <v>0</v>
      </c>
      <c r="Y9" s="22" t="n">
        <f aca="false">IF(AND(Y6&gt;Inputs!$C$7,Y6&lt;=Inputs!$C$8),1,0)</f>
        <v>0</v>
      </c>
      <c r="Z9" s="22" t="n">
        <f aca="false">IF(AND(Z6&gt;Inputs!$C$7,Z6&lt;=Inputs!$C$8),1,0)</f>
        <v>0</v>
      </c>
      <c r="AA9" s="22" t="n">
        <f aca="false">IF(AND(AA6&gt;Inputs!$C$7,AA6&lt;=Inputs!$C$8),1,0)</f>
        <v>0</v>
      </c>
      <c r="AB9" s="22" t="n">
        <f aca="false">IF(AND(AB6&gt;Inputs!$C$7,AB6&lt;=Inputs!$C$8),1,0)</f>
        <v>0</v>
      </c>
      <c r="AC9" s="22" t="n">
        <f aca="false">IF(AND(AC6&gt;Inputs!$C$7,AC6&lt;=Inputs!$C$8),1,0)</f>
        <v>0</v>
      </c>
      <c r="AD9" s="22" t="n">
        <f aca="false">IF(AND(AD6&gt;Inputs!$C$7,AD6&lt;=Inputs!$C$8),1,0)</f>
        <v>0</v>
      </c>
      <c r="AE9" s="22" t="n">
        <f aca="false">IF(AND(AE6&gt;Inputs!$C$7,AE6&lt;=Inputs!$C$8),1,0)</f>
        <v>0</v>
      </c>
      <c r="AF9" s="22" t="n">
        <f aca="false">IF(AND(AF6&gt;Inputs!$C$7,AF6&lt;=Inputs!$C$8),1,0)</f>
        <v>0</v>
      </c>
      <c r="AG9" s="22" t="n">
        <f aca="false">IF(AND(AG6&gt;Inputs!$C$7,AG6&lt;=Inputs!$C$8),1,0)</f>
        <v>0</v>
      </c>
    </row>
    <row r="10" customFormat="false" ht="15" hidden="false" customHeight="false" outlineLevel="0" collapsed="false">
      <c r="A10" s="9" t="s">
        <v>116</v>
      </c>
      <c r="D10" s="22" t="n">
        <f aca="false">D9*(D6-Inputs!$C$7)</f>
        <v>-0</v>
      </c>
      <c r="E10" s="22" t="n">
        <f aca="false">E9*(E6-Inputs!$C$7)</f>
        <v>0</v>
      </c>
      <c r="F10" s="22" t="n">
        <f aca="false">F9*(F6-Inputs!$C$7)</f>
        <v>1</v>
      </c>
      <c r="G10" s="22" t="n">
        <f aca="false">G9*(G6-Inputs!$C$7)</f>
        <v>2</v>
      </c>
      <c r="H10" s="22" t="n">
        <f aca="false">H9*(H6-Inputs!$C$7)</f>
        <v>3</v>
      </c>
      <c r="I10" s="22" t="n">
        <f aca="false">I9*(I6-Inputs!$C$7)</f>
        <v>4</v>
      </c>
      <c r="J10" s="22" t="n">
        <f aca="false">J9*(J6-Inputs!$C$7)</f>
        <v>5</v>
      </c>
      <c r="K10" s="22" t="n">
        <f aca="false">K9*(K6-Inputs!$C$7)</f>
        <v>6</v>
      </c>
      <c r="L10" s="22" t="n">
        <f aca="false">L9*(L6-Inputs!$C$7)</f>
        <v>7</v>
      </c>
      <c r="M10" s="22" t="n">
        <f aca="false">M9*(M6-Inputs!$C$7)</f>
        <v>8</v>
      </c>
      <c r="N10" s="22" t="n">
        <f aca="false">N9*(N6-Inputs!$C$7)</f>
        <v>9</v>
      </c>
      <c r="O10" s="22" t="n">
        <f aca="false">O9*(O6-Inputs!$C$7)</f>
        <v>10</v>
      </c>
      <c r="P10" s="22" t="n">
        <f aca="false">P9*(P6-Inputs!$C$7)</f>
        <v>11</v>
      </c>
      <c r="Q10" s="22" t="n">
        <f aca="false">Q9*(Q6-Inputs!$C$7)</f>
        <v>12</v>
      </c>
      <c r="R10" s="22" t="n">
        <f aca="false">R9*(R6-Inputs!$C$7)</f>
        <v>13</v>
      </c>
      <c r="S10" s="22" t="n">
        <f aca="false">S9*(S6-Inputs!$C$7)</f>
        <v>14</v>
      </c>
      <c r="T10" s="22" t="n">
        <f aca="false">T9*(T6-Inputs!$C$7)</f>
        <v>15</v>
      </c>
      <c r="U10" s="22" t="n">
        <f aca="false">U9*(U6-Inputs!$C$7)</f>
        <v>16</v>
      </c>
      <c r="V10" s="22" t="n">
        <f aca="false">V9*(V6-Inputs!$C$7)</f>
        <v>17</v>
      </c>
      <c r="W10" s="22" t="n">
        <f aca="false">W9*(W6-Inputs!$C$7)</f>
        <v>18</v>
      </c>
      <c r="X10" s="22" t="n">
        <f aca="false">X9*(X6-Inputs!$C$7)</f>
        <v>0</v>
      </c>
      <c r="Y10" s="22" t="n">
        <f aca="false">Y9*(Y6-Inputs!$C$7)</f>
        <v>0</v>
      </c>
      <c r="Z10" s="22" t="n">
        <f aca="false">Z9*(Z6-Inputs!$C$7)</f>
        <v>0</v>
      </c>
      <c r="AA10" s="22" t="n">
        <f aca="false">AA9*(AA6-Inputs!$C$7)</f>
        <v>0</v>
      </c>
      <c r="AB10" s="22" t="n">
        <f aca="false">AB9*(AB6-Inputs!$C$7)</f>
        <v>0</v>
      </c>
      <c r="AC10" s="22" t="n">
        <f aca="false">AC9*(AC6-Inputs!$C$7)</f>
        <v>0</v>
      </c>
      <c r="AD10" s="22" t="n">
        <f aca="false">AD9*(AD6-Inputs!$C$7)</f>
        <v>0</v>
      </c>
      <c r="AE10" s="22" t="n">
        <f aca="false">AE9*(AE6-Inputs!$C$7)</f>
        <v>0</v>
      </c>
      <c r="AF10" s="22" t="n">
        <f aca="false">AF9*(AF6-Inputs!$C$7)</f>
        <v>0</v>
      </c>
      <c r="AG10" s="22" t="n">
        <f aca="false">AG9*(AG6-Inputs!$C$7)</f>
        <v>0</v>
      </c>
    </row>
    <row r="12" customFormat="false" ht="15" hidden="false" customHeight="false" outlineLevel="0" collapsed="false">
      <c r="A12" s="4" t="s">
        <v>117</v>
      </c>
    </row>
    <row r="13" customFormat="false" ht="15" hidden="false" customHeight="false" outlineLevel="0" collapsed="false">
      <c r="A13" s="9" t="s">
        <v>118</v>
      </c>
      <c r="B13" s="34" t="s">
        <v>119</v>
      </c>
      <c r="D13" s="35" t="n">
        <f aca="false">D9*Inputs!$B$25*(1+Inputs!$C$25)^(D10-1)</f>
        <v>0</v>
      </c>
      <c r="E13" s="35" t="n">
        <f aca="false">E9*Inputs!$B$25*(1+Inputs!$C$25)^(E10-1)</f>
        <v>0</v>
      </c>
      <c r="F13" s="35" t="n">
        <f aca="false">F9*Inputs!$B$25*(1+Inputs!$C$25)^(F10-1)</f>
        <v>18000</v>
      </c>
      <c r="G13" s="35" t="n">
        <f aca="false">G9*Inputs!$B$25*(1+Inputs!$C$25)^(G10-1)</f>
        <v>19080</v>
      </c>
      <c r="H13" s="35" t="n">
        <f aca="false">H9*Inputs!$B$25*(1+Inputs!$C$25)^(H10-1)</f>
        <v>20224.8</v>
      </c>
      <c r="I13" s="35" t="n">
        <f aca="false">I9*Inputs!$B$25*(1+Inputs!$C$25)^(I10-1)</f>
        <v>21438.288</v>
      </c>
      <c r="J13" s="35" t="n">
        <f aca="false">J9*Inputs!$B$25*(1+Inputs!$C$25)^(J10-1)</f>
        <v>22724.58528</v>
      </c>
      <c r="K13" s="35" t="n">
        <f aca="false">K9*Inputs!$B$25*(1+Inputs!$C$25)^(K10-1)</f>
        <v>24088.0603968</v>
      </c>
      <c r="L13" s="35" t="n">
        <f aca="false">L9*Inputs!$B$25*(1+Inputs!$C$25)^(L10-1)</f>
        <v>25533.344020608</v>
      </c>
      <c r="M13" s="35" t="n">
        <f aca="false">M9*Inputs!$B$25*(1+Inputs!$C$25)^(M10-1)</f>
        <v>27065.3446618445</v>
      </c>
      <c r="N13" s="35" t="n">
        <f aca="false">N9*Inputs!$B$25*(1+Inputs!$C$25)^(N10-1)</f>
        <v>28689.2653415552</v>
      </c>
      <c r="O13" s="35" t="n">
        <f aca="false">O9*Inputs!$B$25*(1+Inputs!$C$25)^(O10-1)</f>
        <v>30410.6212620485</v>
      </c>
      <c r="P13" s="35" t="n">
        <f aca="false">P9*Inputs!$B$25*(1+Inputs!$C$25)^(P10-1)</f>
        <v>32235.2585377714</v>
      </c>
      <c r="Q13" s="35" t="n">
        <f aca="false">Q9*Inputs!$B$25*(1+Inputs!$C$25)^(Q10-1)</f>
        <v>34169.3740500377</v>
      </c>
      <c r="R13" s="35" t="n">
        <f aca="false">R9*Inputs!$B$25*(1+Inputs!$C$25)^(R10-1)</f>
        <v>36219.5364930399</v>
      </c>
      <c r="S13" s="35" t="n">
        <f aca="false">S9*Inputs!$B$25*(1+Inputs!$C$25)^(S10-1)</f>
        <v>38392.7086826223</v>
      </c>
      <c r="T13" s="35" t="n">
        <f aca="false">T9*Inputs!$B$25*(1+Inputs!$C$25)^(T10-1)</f>
        <v>40696.2712035797</v>
      </c>
      <c r="U13" s="35" t="n">
        <f aca="false">U9*Inputs!$B$25*(1+Inputs!$C$25)^(U10-1)</f>
        <v>43138.0474757945</v>
      </c>
      <c r="V13" s="35" t="n">
        <f aca="false">V9*Inputs!$B$25*(1+Inputs!$C$25)^(V10-1)</f>
        <v>45726.3303243421</v>
      </c>
      <c r="W13" s="35" t="n">
        <f aca="false">W9*Inputs!$B$25*(1+Inputs!$C$25)^(W10-1)</f>
        <v>48469.9101438026</v>
      </c>
      <c r="X13" s="35" t="n">
        <f aca="false">X9*Inputs!$B$25*(1+Inputs!$C$25)^(X10-1)</f>
        <v>0</v>
      </c>
      <c r="Y13" s="35" t="n">
        <f aca="false">Y9*Inputs!$B$25*(1+Inputs!$C$25)^(Y10-1)</f>
        <v>0</v>
      </c>
      <c r="Z13" s="35" t="n">
        <f aca="false">Z9*Inputs!$B$25*(1+Inputs!$C$25)^(Z10-1)</f>
        <v>0</v>
      </c>
      <c r="AA13" s="35" t="n">
        <f aca="false">AA9*Inputs!$B$25*(1+Inputs!$C$25)^(AA10-1)</f>
        <v>0</v>
      </c>
      <c r="AB13" s="35" t="n">
        <f aca="false">AB9*Inputs!$B$25*(1+Inputs!$C$25)^(AB10-1)</f>
        <v>0</v>
      </c>
      <c r="AC13" s="35" t="n">
        <f aca="false">AC9*Inputs!$B$25*(1+Inputs!$C$25)^(AC10-1)</f>
        <v>0</v>
      </c>
      <c r="AD13" s="35" t="n">
        <f aca="false">AD9*Inputs!$B$25*(1+Inputs!$C$25)^(AD10-1)</f>
        <v>0</v>
      </c>
      <c r="AE13" s="35" t="n">
        <f aca="false">AE9*Inputs!$B$25*(1+Inputs!$C$25)^(AE10-1)</f>
        <v>0</v>
      </c>
      <c r="AF13" s="35" t="n">
        <f aca="false">AF9*Inputs!$B$25*(1+Inputs!$C$25)^(AF10-1)</f>
        <v>0</v>
      </c>
      <c r="AG13" s="35" t="n">
        <f aca="false">AG9*Inputs!$B$25*(1+Inputs!$C$25)^(AG10-1)</f>
        <v>0</v>
      </c>
    </row>
    <row r="14" customFormat="false" ht="15" hidden="false" customHeight="false" outlineLevel="0" collapsed="false">
      <c r="A14" s="9" t="s">
        <v>120</v>
      </c>
      <c r="B14" s="34" t="s">
        <v>119</v>
      </c>
      <c r="D14" s="35" t="n">
        <f aca="false">D9*Inputs!$B$26*(1+Inputs!$C$26)^(D10-1)</f>
        <v>0</v>
      </c>
      <c r="E14" s="35" t="n">
        <f aca="false">E9*Inputs!$B$26*(1+Inputs!$C$26)^(E10-1)</f>
        <v>0</v>
      </c>
      <c r="F14" s="35" t="n">
        <f aca="false">F9*Inputs!$B$26*(1+Inputs!$C$26)^(F10-1)</f>
        <v>4000</v>
      </c>
      <c r="G14" s="35" t="n">
        <f aca="false">G9*Inputs!$B$26*(1+Inputs!$C$26)^(G10-1)</f>
        <v>4200</v>
      </c>
      <c r="H14" s="35" t="n">
        <f aca="false">H9*Inputs!$B$26*(1+Inputs!$C$26)^(H10-1)</f>
        <v>4410</v>
      </c>
      <c r="I14" s="35" t="n">
        <f aca="false">I9*Inputs!$B$26*(1+Inputs!$C$26)^(I10-1)</f>
        <v>4630.5</v>
      </c>
      <c r="J14" s="35" t="n">
        <f aca="false">J9*Inputs!$B$26*(1+Inputs!$C$26)^(J10-1)</f>
        <v>4862.025</v>
      </c>
      <c r="K14" s="35" t="n">
        <f aca="false">K9*Inputs!$B$26*(1+Inputs!$C$26)^(K10-1)</f>
        <v>5105.12625</v>
      </c>
      <c r="L14" s="35" t="n">
        <f aca="false">L9*Inputs!$B$26*(1+Inputs!$C$26)^(L10-1)</f>
        <v>5360.3825625</v>
      </c>
      <c r="M14" s="35" t="n">
        <f aca="false">M9*Inputs!$B$26*(1+Inputs!$C$26)^(M10-1)</f>
        <v>5628.401690625</v>
      </c>
      <c r="N14" s="35" t="n">
        <f aca="false">N9*Inputs!$B$26*(1+Inputs!$C$26)^(N10-1)</f>
        <v>5909.82177515625</v>
      </c>
      <c r="O14" s="35" t="n">
        <f aca="false">O9*Inputs!$B$26*(1+Inputs!$C$26)^(O10-1)</f>
        <v>6205.31286391407</v>
      </c>
      <c r="P14" s="35" t="n">
        <f aca="false">P9*Inputs!$B$26*(1+Inputs!$C$26)^(P10-1)</f>
        <v>6515.57850710977</v>
      </c>
      <c r="Q14" s="35" t="n">
        <f aca="false">Q9*Inputs!$B$26*(1+Inputs!$C$26)^(Q10-1)</f>
        <v>6841.35743246526</v>
      </c>
      <c r="R14" s="35" t="n">
        <f aca="false">R9*Inputs!$B$26*(1+Inputs!$C$26)^(R10-1)</f>
        <v>7183.42530408852</v>
      </c>
      <c r="S14" s="35" t="n">
        <f aca="false">S9*Inputs!$B$26*(1+Inputs!$C$26)^(S10-1)</f>
        <v>7542.59656929295</v>
      </c>
      <c r="T14" s="35" t="n">
        <f aca="false">T9*Inputs!$B$26*(1+Inputs!$C$26)^(T10-1)</f>
        <v>7919.7263977576</v>
      </c>
      <c r="U14" s="35" t="n">
        <f aca="false">U9*Inputs!$B$26*(1+Inputs!$C$26)^(U10-1)</f>
        <v>8315.71271764547</v>
      </c>
      <c r="V14" s="35" t="n">
        <f aca="false">V9*Inputs!$B$26*(1+Inputs!$C$26)^(V10-1)</f>
        <v>8731.49835352775</v>
      </c>
      <c r="W14" s="35" t="n">
        <f aca="false">W9*Inputs!$B$26*(1+Inputs!$C$26)^(W10-1)</f>
        <v>9168.07327120414</v>
      </c>
      <c r="X14" s="35" t="n">
        <f aca="false">X9*Inputs!$B$26*(1+Inputs!$C$26)^(X10-1)</f>
        <v>0</v>
      </c>
      <c r="Y14" s="35" t="n">
        <f aca="false">Y9*Inputs!$B$26*(1+Inputs!$C$26)^(Y10-1)</f>
        <v>0</v>
      </c>
      <c r="Z14" s="35" t="n">
        <f aca="false">Z9*Inputs!$B$26*(1+Inputs!$C$26)^(Z10-1)</f>
        <v>0</v>
      </c>
      <c r="AA14" s="35" t="n">
        <f aca="false">AA9*Inputs!$B$26*(1+Inputs!$C$26)^(AA10-1)</f>
        <v>0</v>
      </c>
      <c r="AB14" s="35" t="n">
        <f aca="false">AB9*Inputs!$B$26*(1+Inputs!$C$26)^(AB10-1)</f>
        <v>0</v>
      </c>
      <c r="AC14" s="35" t="n">
        <f aca="false">AC9*Inputs!$B$26*(1+Inputs!$C$26)^(AC10-1)</f>
        <v>0</v>
      </c>
      <c r="AD14" s="35" t="n">
        <f aca="false">AD9*Inputs!$B$26*(1+Inputs!$C$26)^(AD10-1)</f>
        <v>0</v>
      </c>
      <c r="AE14" s="35" t="n">
        <f aca="false">AE9*Inputs!$B$26*(1+Inputs!$C$26)^(AE10-1)</f>
        <v>0</v>
      </c>
      <c r="AF14" s="35" t="n">
        <f aca="false">AF9*Inputs!$B$26*(1+Inputs!$C$26)^(AF10-1)</f>
        <v>0</v>
      </c>
      <c r="AG14" s="35" t="n">
        <f aca="false">AG9*Inputs!$B$26*(1+Inputs!$C$26)^(AG10-1)</f>
        <v>0</v>
      </c>
    </row>
    <row r="15" customFormat="false" ht="15" hidden="false" customHeight="false" outlineLevel="0" collapsed="false">
      <c r="A15" s="9" t="s">
        <v>121</v>
      </c>
      <c r="B15" s="34" t="s">
        <v>119</v>
      </c>
      <c r="D15" s="35" t="n">
        <f aca="false">D9*Inputs!$B$27*(1+Inputs!$C$27)^(D10-1)</f>
        <v>0</v>
      </c>
      <c r="E15" s="35" t="n">
        <f aca="false">E9*Inputs!$B$27*(1+Inputs!$C$27)^(E10-1)</f>
        <v>0</v>
      </c>
      <c r="F15" s="35" t="n">
        <f aca="false">F9*Inputs!$B$27*(1+Inputs!$C$27)^(F10-1)</f>
        <v>7000</v>
      </c>
      <c r="G15" s="35" t="n">
        <f aca="false">G9*Inputs!$B$27*(1+Inputs!$C$27)^(G10-1)</f>
        <v>7350</v>
      </c>
      <c r="H15" s="35" t="n">
        <f aca="false">H9*Inputs!$B$27*(1+Inputs!$C$27)^(H10-1)</f>
        <v>7717.5</v>
      </c>
      <c r="I15" s="35" t="n">
        <f aca="false">I9*Inputs!$B$27*(1+Inputs!$C$27)^(I10-1)</f>
        <v>8103.375</v>
      </c>
      <c r="J15" s="35" t="n">
        <f aca="false">J9*Inputs!$B$27*(1+Inputs!$C$27)^(J10-1)</f>
        <v>8508.54375</v>
      </c>
      <c r="K15" s="35" t="n">
        <f aca="false">K9*Inputs!$B$27*(1+Inputs!$C$27)^(K10-1)</f>
        <v>8933.9709375</v>
      </c>
      <c r="L15" s="35" t="n">
        <f aca="false">L9*Inputs!$B$27*(1+Inputs!$C$27)^(L10-1)</f>
        <v>9380.669484375</v>
      </c>
      <c r="M15" s="35" t="n">
        <f aca="false">M9*Inputs!$B$27*(1+Inputs!$C$27)^(M10-1)</f>
        <v>9849.70295859375</v>
      </c>
      <c r="N15" s="35" t="n">
        <f aca="false">N9*Inputs!$B$27*(1+Inputs!$C$27)^(N10-1)</f>
        <v>10342.1881065234</v>
      </c>
      <c r="O15" s="35" t="n">
        <f aca="false">O9*Inputs!$B$27*(1+Inputs!$C$27)^(O10-1)</f>
        <v>10859.2975118496</v>
      </c>
      <c r="P15" s="35" t="n">
        <f aca="false">P9*Inputs!$B$27*(1+Inputs!$C$27)^(P10-1)</f>
        <v>11402.2623874421</v>
      </c>
      <c r="Q15" s="35" t="n">
        <f aca="false">Q9*Inputs!$B$27*(1+Inputs!$C$27)^(Q10-1)</f>
        <v>11972.3755068142</v>
      </c>
      <c r="R15" s="35" t="n">
        <f aca="false">R9*Inputs!$B$27*(1+Inputs!$C$27)^(R10-1)</f>
        <v>12570.9942821549</v>
      </c>
      <c r="S15" s="35" t="n">
        <f aca="false">S9*Inputs!$B$27*(1+Inputs!$C$27)^(S10-1)</f>
        <v>13199.5439962627</v>
      </c>
      <c r="T15" s="35" t="n">
        <f aca="false">T9*Inputs!$B$27*(1+Inputs!$C$27)^(T10-1)</f>
        <v>13859.5211960758</v>
      </c>
      <c r="U15" s="35" t="n">
        <f aca="false">U9*Inputs!$B$27*(1+Inputs!$C$27)^(U10-1)</f>
        <v>14552.4972558796</v>
      </c>
      <c r="V15" s="35" t="n">
        <f aca="false">V9*Inputs!$B$27*(1+Inputs!$C$27)^(V10-1)</f>
        <v>15280.1221186736</v>
      </c>
      <c r="W15" s="35" t="n">
        <f aca="false">W9*Inputs!$B$27*(1+Inputs!$C$27)^(W10-1)</f>
        <v>16044.1282246072</v>
      </c>
      <c r="X15" s="35" t="n">
        <f aca="false">X9*Inputs!$B$27*(1+Inputs!$C$27)^(X10-1)</f>
        <v>0</v>
      </c>
      <c r="Y15" s="35" t="n">
        <f aca="false">Y9*Inputs!$B$27*(1+Inputs!$C$27)^(Y10-1)</f>
        <v>0</v>
      </c>
      <c r="Z15" s="35" t="n">
        <f aca="false">Z9*Inputs!$B$27*(1+Inputs!$C$27)^(Z10-1)</f>
        <v>0</v>
      </c>
      <c r="AA15" s="35" t="n">
        <f aca="false">AA9*Inputs!$B$27*(1+Inputs!$C$27)^(AA10-1)</f>
        <v>0</v>
      </c>
      <c r="AB15" s="35" t="n">
        <f aca="false">AB9*Inputs!$B$27*(1+Inputs!$C$27)^(AB10-1)</f>
        <v>0</v>
      </c>
      <c r="AC15" s="35" t="n">
        <f aca="false">AC9*Inputs!$B$27*(1+Inputs!$C$27)^(AC10-1)</f>
        <v>0</v>
      </c>
      <c r="AD15" s="35" t="n">
        <f aca="false">AD9*Inputs!$B$27*(1+Inputs!$C$27)^(AD10-1)</f>
        <v>0</v>
      </c>
      <c r="AE15" s="35" t="n">
        <f aca="false">AE9*Inputs!$B$27*(1+Inputs!$C$27)^(AE10-1)</f>
        <v>0</v>
      </c>
      <c r="AF15" s="35" t="n">
        <f aca="false">AF9*Inputs!$B$27*(1+Inputs!$C$27)^(AF10-1)</f>
        <v>0</v>
      </c>
      <c r="AG15" s="35" t="n">
        <f aca="false">AG9*Inputs!$B$27*(1+Inputs!$C$27)^(AG10-1)</f>
        <v>0</v>
      </c>
    </row>
    <row r="16" customFormat="false" ht="15" hidden="false" customHeight="false" outlineLevel="0" collapsed="false">
      <c r="A16" s="9" t="s">
        <v>122</v>
      </c>
      <c r="B16" s="34" t="s">
        <v>123</v>
      </c>
      <c r="D16" s="35" t="n">
        <f aca="false">D9*Inputs!$D$25*(1+Inputs!$C$41)^(D10-1)</f>
        <v>0</v>
      </c>
      <c r="E16" s="35" t="n">
        <f aca="false">E9*Inputs!$D$25*(1+Inputs!$C$41)^(E10-1)</f>
        <v>0</v>
      </c>
      <c r="F16" s="35" t="n">
        <f aca="false">F9*Inputs!$D$25*(1+Inputs!$C$41)^(F10-1)</f>
        <v>120</v>
      </c>
      <c r="G16" s="35" t="n">
        <f aca="false">G9*Inputs!$D$25*(1+Inputs!$C$41)^(G10-1)</f>
        <v>125.52</v>
      </c>
      <c r="H16" s="35" t="n">
        <f aca="false">H9*Inputs!$D$25*(1+Inputs!$C$41)^(H10-1)</f>
        <v>131.29392</v>
      </c>
      <c r="I16" s="35" t="n">
        <f aca="false">I9*Inputs!$D$25*(1+Inputs!$C$41)^(I10-1)</f>
        <v>137.33344032</v>
      </c>
      <c r="J16" s="35" t="n">
        <f aca="false">J9*Inputs!$D$25*(1+Inputs!$C$41)^(J10-1)</f>
        <v>143.65077857472</v>
      </c>
      <c r="K16" s="35" t="n">
        <f aca="false">K9*Inputs!$D$25*(1+Inputs!$C$41)^(K10-1)</f>
        <v>150.258714389157</v>
      </c>
      <c r="L16" s="35" t="n">
        <f aca="false">L9*Inputs!$D$25*(1+Inputs!$C$41)^(L10-1)</f>
        <v>157.170615251058</v>
      </c>
      <c r="M16" s="35" t="n">
        <f aca="false">M9*Inputs!$D$25*(1+Inputs!$C$41)^(M10-1)</f>
        <v>164.400463552607</v>
      </c>
      <c r="N16" s="35" t="n">
        <f aca="false">N9*Inputs!$D$25*(1+Inputs!$C$41)^(N10-1)</f>
        <v>171.962884876027</v>
      </c>
      <c r="O16" s="35" t="n">
        <f aca="false">O9*Inputs!$D$25*(1+Inputs!$C$41)^(O10-1)</f>
        <v>179.873177580324</v>
      </c>
      <c r="P16" s="35" t="n">
        <f aca="false">P9*Inputs!$D$25*(1+Inputs!$C$41)^(P10-1)</f>
        <v>188.147343749019</v>
      </c>
      <c r="Q16" s="35" t="n">
        <f aca="false">Q9*Inputs!$D$25*(1+Inputs!$C$41)^(Q10-1)</f>
        <v>196.802121561474</v>
      </c>
      <c r="R16" s="35" t="n">
        <f aca="false">R9*Inputs!$D$25*(1+Inputs!$C$41)^(R10-1)</f>
        <v>205.855019153302</v>
      </c>
      <c r="S16" s="35" t="n">
        <f aca="false">S9*Inputs!$D$25*(1+Inputs!$C$41)^(S10-1)</f>
        <v>215.324350034354</v>
      </c>
      <c r="T16" s="35" t="n">
        <f aca="false">T9*Inputs!$D$25*(1+Inputs!$C$41)^(T10-1)</f>
        <v>225.229270135934</v>
      </c>
      <c r="U16" s="35" t="n">
        <f aca="false">U9*Inputs!$D$25*(1+Inputs!$C$41)^(U10-1)</f>
        <v>235.589816562187</v>
      </c>
      <c r="V16" s="35" t="n">
        <f aca="false">V9*Inputs!$D$25*(1+Inputs!$C$41)^(V10-1)</f>
        <v>246.426948124048</v>
      </c>
      <c r="W16" s="35" t="n">
        <f aca="false">W9*Inputs!$D$25*(1+Inputs!$C$41)^(W10-1)</f>
        <v>257.762587737754</v>
      </c>
      <c r="X16" s="35" t="n">
        <f aca="false">X9*Inputs!$D$25*(1+Inputs!$C$41)^(X10-1)</f>
        <v>0</v>
      </c>
      <c r="Y16" s="35" t="n">
        <f aca="false">Y9*Inputs!$D$25*(1+Inputs!$C$41)^(Y10-1)</f>
        <v>0</v>
      </c>
      <c r="Z16" s="35" t="n">
        <f aca="false">Z9*Inputs!$D$25*(1+Inputs!$C$41)^(Z10-1)</f>
        <v>0</v>
      </c>
      <c r="AA16" s="35" t="n">
        <f aca="false">AA9*Inputs!$D$25*(1+Inputs!$C$41)^(AA10-1)</f>
        <v>0</v>
      </c>
      <c r="AB16" s="35" t="n">
        <f aca="false">AB9*Inputs!$D$25*(1+Inputs!$C$41)^(AB10-1)</f>
        <v>0</v>
      </c>
      <c r="AC16" s="35" t="n">
        <f aca="false">AC9*Inputs!$D$25*(1+Inputs!$C$41)^(AC10-1)</f>
        <v>0</v>
      </c>
      <c r="AD16" s="35" t="n">
        <f aca="false">AD9*Inputs!$D$25*(1+Inputs!$C$41)^(AD10-1)</f>
        <v>0</v>
      </c>
      <c r="AE16" s="35" t="n">
        <f aca="false">AE9*Inputs!$D$25*(1+Inputs!$C$41)^(AE10-1)</f>
        <v>0</v>
      </c>
      <c r="AF16" s="35" t="n">
        <f aca="false">AF9*Inputs!$D$25*(1+Inputs!$C$41)^(AF10-1)</f>
        <v>0</v>
      </c>
      <c r="AG16" s="35" t="n">
        <f aca="false">AG9*Inputs!$D$25*(1+Inputs!$C$41)^(AG10-1)</f>
        <v>0</v>
      </c>
    </row>
    <row r="17" customFormat="false" ht="15" hidden="false" customHeight="false" outlineLevel="0" collapsed="false">
      <c r="A17" s="9" t="s">
        <v>124</v>
      </c>
      <c r="B17" s="34" t="s">
        <v>123</v>
      </c>
      <c r="D17" s="35" t="n">
        <f aca="false">D9*Inputs!$D$26*(1+Inputs!$C$41)^(D10-1)</f>
        <v>0</v>
      </c>
      <c r="E17" s="35" t="n">
        <f aca="false">E9*Inputs!$D$26*(1+Inputs!$C$41)^(E10-1)</f>
        <v>0</v>
      </c>
      <c r="F17" s="35" t="n">
        <f aca="false">F9*Inputs!$D$26*(1+Inputs!$C$41)^(F10-1)</f>
        <v>300</v>
      </c>
      <c r="G17" s="35" t="n">
        <f aca="false">G9*Inputs!$D$26*(1+Inputs!$C$41)^(G10-1)</f>
        <v>313.8</v>
      </c>
      <c r="H17" s="35" t="n">
        <f aca="false">H9*Inputs!$D$26*(1+Inputs!$C$41)^(H10-1)</f>
        <v>328.2348</v>
      </c>
      <c r="I17" s="35" t="n">
        <f aca="false">I9*Inputs!$D$26*(1+Inputs!$C$41)^(I10-1)</f>
        <v>343.3336008</v>
      </c>
      <c r="J17" s="35" t="n">
        <f aca="false">J9*Inputs!$D$26*(1+Inputs!$C$41)^(J10-1)</f>
        <v>359.1269464368</v>
      </c>
      <c r="K17" s="35" t="n">
        <f aca="false">K9*Inputs!$D$26*(1+Inputs!$C$41)^(K10-1)</f>
        <v>375.646785972893</v>
      </c>
      <c r="L17" s="35" t="n">
        <f aca="false">L9*Inputs!$D$26*(1+Inputs!$C$41)^(L10-1)</f>
        <v>392.926538127646</v>
      </c>
      <c r="M17" s="35" t="n">
        <f aca="false">M9*Inputs!$D$26*(1+Inputs!$C$41)^(M10-1)</f>
        <v>411.001158881518</v>
      </c>
      <c r="N17" s="35" t="n">
        <f aca="false">N9*Inputs!$D$26*(1+Inputs!$C$41)^(N10-1)</f>
        <v>429.907212190068</v>
      </c>
      <c r="O17" s="35" t="n">
        <f aca="false">O9*Inputs!$D$26*(1+Inputs!$C$41)^(O10-1)</f>
        <v>449.682943950811</v>
      </c>
      <c r="P17" s="35" t="n">
        <f aca="false">P9*Inputs!$D$26*(1+Inputs!$C$41)^(P10-1)</f>
        <v>470.368359372548</v>
      </c>
      <c r="Q17" s="35" t="n">
        <f aca="false">Q9*Inputs!$D$26*(1+Inputs!$C$41)^(Q10-1)</f>
        <v>492.005303903685</v>
      </c>
      <c r="R17" s="35" t="n">
        <f aca="false">R9*Inputs!$D$26*(1+Inputs!$C$41)^(R10-1)</f>
        <v>514.637547883255</v>
      </c>
      <c r="S17" s="35" t="n">
        <f aca="false">S9*Inputs!$D$26*(1+Inputs!$C$41)^(S10-1)</f>
        <v>538.310875085884</v>
      </c>
      <c r="T17" s="35" t="n">
        <f aca="false">T9*Inputs!$D$26*(1+Inputs!$C$41)^(T10-1)</f>
        <v>563.073175339835</v>
      </c>
      <c r="U17" s="35" t="n">
        <f aca="false">U9*Inputs!$D$26*(1+Inputs!$C$41)^(U10-1)</f>
        <v>588.974541405468</v>
      </c>
      <c r="V17" s="35" t="n">
        <f aca="false">V9*Inputs!$D$26*(1+Inputs!$C$41)^(V10-1)</f>
        <v>616.067370310119</v>
      </c>
      <c r="W17" s="35" t="n">
        <f aca="false">W9*Inputs!$D$26*(1+Inputs!$C$41)^(W10-1)</f>
        <v>644.406469344385</v>
      </c>
      <c r="X17" s="35" t="n">
        <f aca="false">X9*Inputs!$D$26*(1+Inputs!$C$41)^(X10-1)</f>
        <v>0</v>
      </c>
      <c r="Y17" s="35" t="n">
        <f aca="false">Y9*Inputs!$D$26*(1+Inputs!$C$41)^(Y10-1)</f>
        <v>0</v>
      </c>
      <c r="Z17" s="35" t="n">
        <f aca="false">Z9*Inputs!$D$26*(1+Inputs!$C$41)^(Z10-1)</f>
        <v>0</v>
      </c>
      <c r="AA17" s="35" t="n">
        <f aca="false">AA9*Inputs!$D$26*(1+Inputs!$C$41)^(AA10-1)</f>
        <v>0</v>
      </c>
      <c r="AB17" s="35" t="n">
        <f aca="false">AB9*Inputs!$D$26*(1+Inputs!$C$41)^(AB10-1)</f>
        <v>0</v>
      </c>
      <c r="AC17" s="35" t="n">
        <f aca="false">AC9*Inputs!$D$26*(1+Inputs!$C$41)^(AC10-1)</f>
        <v>0</v>
      </c>
      <c r="AD17" s="35" t="n">
        <f aca="false">AD9*Inputs!$D$26*(1+Inputs!$C$41)^(AD10-1)</f>
        <v>0</v>
      </c>
      <c r="AE17" s="35" t="n">
        <f aca="false">AE9*Inputs!$D$26*(1+Inputs!$C$41)^(AE10-1)</f>
        <v>0</v>
      </c>
      <c r="AF17" s="35" t="n">
        <f aca="false">AF9*Inputs!$D$26*(1+Inputs!$C$41)^(AF10-1)</f>
        <v>0</v>
      </c>
      <c r="AG17" s="35" t="n">
        <f aca="false">AG9*Inputs!$D$26*(1+Inputs!$C$41)^(AG10-1)</f>
        <v>0</v>
      </c>
    </row>
    <row r="18" customFormat="false" ht="15" hidden="false" customHeight="false" outlineLevel="0" collapsed="false">
      <c r="A18" s="9" t="s">
        <v>125</v>
      </c>
      <c r="B18" s="34" t="s">
        <v>123</v>
      </c>
      <c r="D18" s="35" t="n">
        <f aca="false">D9*Inputs!$D$27*(1+Inputs!$C$41)^(D10-1)</f>
        <v>0</v>
      </c>
      <c r="E18" s="35" t="n">
        <f aca="false">E9*Inputs!$D$27*(1+Inputs!$C$41)^(E10-1)</f>
        <v>0</v>
      </c>
      <c r="F18" s="35" t="n">
        <f aca="false">F9*Inputs!$D$27*(1+Inputs!$C$41)^(F10-1)</f>
        <v>650</v>
      </c>
      <c r="G18" s="35" t="n">
        <f aca="false">G9*Inputs!$D$27*(1+Inputs!$C$41)^(G10-1)</f>
        <v>679.9</v>
      </c>
      <c r="H18" s="35" t="n">
        <f aca="false">H9*Inputs!$D$27*(1+Inputs!$C$41)^(H10-1)</f>
        <v>711.1754</v>
      </c>
      <c r="I18" s="35" t="n">
        <f aca="false">I9*Inputs!$D$27*(1+Inputs!$C$41)^(I10-1)</f>
        <v>743.8894684</v>
      </c>
      <c r="J18" s="35" t="n">
        <f aca="false">J9*Inputs!$D$27*(1+Inputs!$C$41)^(J10-1)</f>
        <v>778.1083839464</v>
      </c>
      <c r="K18" s="35" t="n">
        <f aca="false">K9*Inputs!$D$27*(1+Inputs!$C$41)^(K10-1)</f>
        <v>813.901369607935</v>
      </c>
      <c r="L18" s="35" t="n">
        <f aca="false">L9*Inputs!$D$27*(1+Inputs!$C$41)^(L10-1)</f>
        <v>851.3408326099</v>
      </c>
      <c r="M18" s="35" t="n">
        <f aca="false">M9*Inputs!$D$27*(1+Inputs!$C$41)^(M10-1)</f>
        <v>890.502510909955</v>
      </c>
      <c r="N18" s="35" t="n">
        <f aca="false">N9*Inputs!$D$27*(1+Inputs!$C$41)^(N10-1)</f>
        <v>931.465626411813</v>
      </c>
      <c r="O18" s="35" t="n">
        <f aca="false">O9*Inputs!$D$27*(1+Inputs!$C$41)^(O10-1)</f>
        <v>974.313045226756</v>
      </c>
      <c r="P18" s="35" t="n">
        <f aca="false">P9*Inputs!$D$27*(1+Inputs!$C$41)^(P10-1)</f>
        <v>1019.13144530719</v>
      </c>
      <c r="Q18" s="35" t="n">
        <f aca="false">Q9*Inputs!$D$27*(1+Inputs!$C$41)^(Q10-1)</f>
        <v>1066.01149179132</v>
      </c>
      <c r="R18" s="35" t="n">
        <f aca="false">R9*Inputs!$D$27*(1+Inputs!$C$41)^(R10-1)</f>
        <v>1115.04802041372</v>
      </c>
      <c r="S18" s="35" t="n">
        <f aca="false">S9*Inputs!$D$27*(1+Inputs!$C$41)^(S10-1)</f>
        <v>1166.34022935275</v>
      </c>
      <c r="T18" s="35" t="n">
        <f aca="false">T9*Inputs!$D$27*(1+Inputs!$C$41)^(T10-1)</f>
        <v>1219.99187990298</v>
      </c>
      <c r="U18" s="35" t="n">
        <f aca="false">U9*Inputs!$D$27*(1+Inputs!$C$41)^(U10-1)</f>
        <v>1276.11150637851</v>
      </c>
      <c r="V18" s="35" t="n">
        <f aca="false">V9*Inputs!$D$27*(1+Inputs!$C$41)^(V10-1)</f>
        <v>1334.81263567192</v>
      </c>
      <c r="W18" s="35" t="n">
        <f aca="false">W9*Inputs!$D$27*(1+Inputs!$C$41)^(W10-1)</f>
        <v>1396.21401691283</v>
      </c>
      <c r="X18" s="35" t="n">
        <f aca="false">X9*Inputs!$D$27*(1+Inputs!$C$41)^(X10-1)</f>
        <v>0</v>
      </c>
      <c r="Y18" s="35" t="n">
        <f aca="false">Y9*Inputs!$D$27*(1+Inputs!$C$41)^(Y10-1)</f>
        <v>0</v>
      </c>
      <c r="Z18" s="35" t="n">
        <f aca="false">Z9*Inputs!$D$27*(1+Inputs!$C$41)^(Z10-1)</f>
        <v>0</v>
      </c>
      <c r="AA18" s="35" t="n">
        <f aca="false">AA9*Inputs!$D$27*(1+Inputs!$C$41)^(AA10-1)</f>
        <v>0</v>
      </c>
      <c r="AB18" s="35" t="n">
        <f aca="false">AB9*Inputs!$D$27*(1+Inputs!$C$41)^(AB10-1)</f>
        <v>0</v>
      </c>
      <c r="AC18" s="35" t="n">
        <f aca="false">AC9*Inputs!$D$27*(1+Inputs!$C$41)^(AC10-1)</f>
        <v>0</v>
      </c>
      <c r="AD18" s="35" t="n">
        <f aca="false">AD9*Inputs!$D$27*(1+Inputs!$C$41)^(AD10-1)</f>
        <v>0</v>
      </c>
      <c r="AE18" s="35" t="n">
        <f aca="false">AE9*Inputs!$D$27*(1+Inputs!$C$41)^(AE10-1)</f>
        <v>0</v>
      </c>
      <c r="AF18" s="35" t="n">
        <f aca="false">AF9*Inputs!$D$27*(1+Inputs!$C$41)^(AF10-1)</f>
        <v>0</v>
      </c>
      <c r="AG18" s="35" t="n">
        <f aca="false">AG9*Inputs!$D$27*(1+Inputs!$C$41)^(AG10-1)</f>
        <v>0</v>
      </c>
    </row>
    <row r="19" customFormat="false" ht="15" hidden="false" customHeight="false" outlineLevel="0" collapsed="false">
      <c r="A19" s="9" t="s">
        <v>126</v>
      </c>
      <c r="C19" s="26" t="n">
        <f aca="false">SUM(D19:AG19)</f>
        <v>3727.83269553678</v>
      </c>
      <c r="D19" s="33" t="n">
        <f aca="false">D13*365*D16*(1-Inputs!$C$32)/10000000</f>
        <v>0</v>
      </c>
      <c r="E19" s="33" t="n">
        <f aca="false">E13*365*E16*(1-Inputs!$C$32)/10000000</f>
        <v>0</v>
      </c>
      <c r="F19" s="33" t="n">
        <f aca="false">F13*365*F16*(1-Inputs!$C$32)/10000000</f>
        <v>74.898</v>
      </c>
      <c r="G19" s="33" t="n">
        <f aca="false">G13*365*G16*(1-Inputs!$C$32)/10000000</f>
        <v>83.04390648</v>
      </c>
      <c r="H19" s="33" t="n">
        <f aca="false">H13*365*H16*(1-Inputs!$C$32)/10000000</f>
        <v>92.0757617487648</v>
      </c>
      <c r="I19" s="33" t="n">
        <f aca="false">I13*365*I16*(1-Inputs!$C$32)/10000000</f>
        <v>102.08992159656</v>
      </c>
      <c r="J19" s="33" t="n">
        <f aca="false">J13*365*J16*(1-Inputs!$C$32)/10000000</f>
        <v>113.193221469402</v>
      </c>
      <c r="K19" s="33" t="n">
        <f aca="false">K13*365*K16*(1-Inputs!$C$32)/10000000</f>
        <v>125.504116236415</v>
      </c>
      <c r="L19" s="33" t="n">
        <f aca="false">L13*365*L16*(1-Inputs!$C$32)/10000000</f>
        <v>139.153943918287</v>
      </c>
      <c r="M19" s="33" t="n">
        <f aca="false">M13*365*M16*(1-Inputs!$C$32)/10000000</f>
        <v>154.28832685884</v>
      </c>
      <c r="N19" s="33" t="n">
        <f aca="false">N13*365*N16*(1-Inputs!$C$32)/10000000</f>
        <v>171.068725288007</v>
      </c>
      <c r="O19" s="33" t="n">
        <f aca="false">O13*365*O16*(1-Inputs!$C$32)/10000000</f>
        <v>189.674159850331</v>
      </c>
      <c r="P19" s="33" t="n">
        <f aca="false">P13*365*P16*(1-Inputs!$C$32)/10000000</f>
        <v>210.303121475653</v>
      </c>
      <c r="Q19" s="33" t="n">
        <f aca="false">Q13*365*Q16*(1-Inputs!$C$32)/10000000</f>
        <v>233.175688967345</v>
      </c>
      <c r="R19" s="33" t="n">
        <f aca="false">R13*365*R16*(1-Inputs!$C$32)/10000000</f>
        <v>258.535876899434</v>
      </c>
      <c r="S19" s="33" t="n">
        <f aca="false">S13*365*S16*(1-Inputs!$C$32)/10000000</f>
        <v>286.654238871016</v>
      </c>
      <c r="T19" s="33" t="n">
        <f aca="false">T13*365*T16*(1-Inputs!$C$32)/10000000</f>
        <v>317.830753890628</v>
      </c>
      <c r="U19" s="33" t="n">
        <f aca="false">U13*365*U16*(1-Inputs!$C$32)/10000000</f>
        <v>352.398026683773</v>
      </c>
      <c r="V19" s="33" t="n">
        <f aca="false">V13*365*V16*(1-Inputs!$C$32)/10000000</f>
        <v>390.7248360659</v>
      </c>
      <c r="W19" s="33" t="n">
        <f aca="false">W13*365*W16*(1-Inputs!$C$32)/10000000</f>
        <v>433.220069236427</v>
      </c>
      <c r="X19" s="33" t="n">
        <f aca="false">X13*365*X16*(1-Inputs!$C$32)/10000000</f>
        <v>0</v>
      </c>
      <c r="Y19" s="33" t="n">
        <f aca="false">Y13*365*Y16*(1-Inputs!$C$32)/10000000</f>
        <v>0</v>
      </c>
      <c r="Z19" s="33" t="n">
        <f aca="false">Z13*365*Z16*(1-Inputs!$C$32)/10000000</f>
        <v>0</v>
      </c>
      <c r="AA19" s="33" t="n">
        <f aca="false">AA13*365*AA16*(1-Inputs!$C$32)/10000000</f>
        <v>0</v>
      </c>
      <c r="AB19" s="33" t="n">
        <f aca="false">AB13*365*AB16*(1-Inputs!$C$32)/10000000</f>
        <v>0</v>
      </c>
      <c r="AC19" s="33" t="n">
        <f aca="false">AC13*365*AC16*(1-Inputs!$C$32)/10000000</f>
        <v>0</v>
      </c>
      <c r="AD19" s="33" t="n">
        <f aca="false">AD13*365*AD16*(1-Inputs!$C$32)/10000000</f>
        <v>0</v>
      </c>
      <c r="AE19" s="33" t="n">
        <f aca="false">AE13*365*AE16*(1-Inputs!$C$32)/10000000</f>
        <v>0</v>
      </c>
      <c r="AF19" s="33" t="n">
        <f aca="false">AF13*365*AF16*(1-Inputs!$C$32)/10000000</f>
        <v>0</v>
      </c>
      <c r="AG19" s="33" t="n">
        <f aca="false">AG13*365*AG16*(1-Inputs!$C$32)/10000000</f>
        <v>0</v>
      </c>
    </row>
    <row r="20" customFormat="false" ht="15" hidden="false" customHeight="false" outlineLevel="0" collapsed="false">
      <c r="A20" s="9" t="s">
        <v>127</v>
      </c>
      <c r="C20" s="26" t="n">
        <f aca="false">SUM(D20:AG20)</f>
        <v>1865.57805643087</v>
      </c>
      <c r="D20" s="33" t="n">
        <f aca="false">D14*365*D17*(1-Inputs!$C$32)/10000000</f>
        <v>0</v>
      </c>
      <c r="E20" s="33" t="n">
        <f aca="false">E14*365*E17*(1-Inputs!$C$32)/10000000</f>
        <v>0</v>
      </c>
      <c r="F20" s="33" t="n">
        <f aca="false">F14*365*F17*(1-Inputs!$C$32)/10000000</f>
        <v>41.61</v>
      </c>
      <c r="G20" s="33" t="n">
        <f aca="false">G14*365*G17*(1-Inputs!$C$32)/10000000</f>
        <v>45.700263</v>
      </c>
      <c r="H20" s="33" t="n">
        <f aca="false">H14*365*H17*(1-Inputs!$C$32)/10000000</f>
        <v>50.1925988529</v>
      </c>
      <c r="I20" s="33" t="n">
        <f aca="false">I14*365*I17*(1-Inputs!$C$32)/10000000</f>
        <v>55.1265313201401</v>
      </c>
      <c r="J20" s="33" t="n">
        <f aca="false">J14*365*J17*(1-Inputs!$C$32)/10000000</f>
        <v>60.5454693489099</v>
      </c>
      <c r="K20" s="33" t="n">
        <f aca="false">K14*365*K17*(1-Inputs!$C$32)/10000000</f>
        <v>66.4970889859077</v>
      </c>
      <c r="L20" s="33" t="n">
        <f aca="false">L14*365*L17*(1-Inputs!$C$32)/10000000</f>
        <v>73.0337528332224</v>
      </c>
      <c r="M20" s="33" t="n">
        <f aca="false">M14*365*M17*(1-Inputs!$C$32)/10000000</f>
        <v>80.2129707367282</v>
      </c>
      <c r="N20" s="33" t="n">
        <f aca="false">N14*365*N17*(1-Inputs!$C$32)/10000000</f>
        <v>88.0979057601486</v>
      </c>
      <c r="O20" s="33" t="n">
        <f aca="false">O14*365*O17*(1-Inputs!$C$32)/10000000</f>
        <v>96.7579298963712</v>
      </c>
      <c r="P20" s="33" t="n">
        <f aca="false">P14*365*P17*(1-Inputs!$C$32)/10000000</f>
        <v>106.269234405185</v>
      </c>
      <c r="Q20" s="33" t="n">
        <f aca="false">Q14*365*Q17*(1-Inputs!$C$32)/10000000</f>
        <v>116.715500147214</v>
      </c>
      <c r="R20" s="33" t="n">
        <f aca="false">R14*365*R17*(1-Inputs!$C$32)/10000000</f>
        <v>128.188633811685</v>
      </c>
      <c r="S20" s="33" t="n">
        <f aca="false">S14*365*S17*(1-Inputs!$C$32)/10000000</f>
        <v>140.789576515374</v>
      </c>
      <c r="T20" s="33" t="n">
        <f aca="false">T14*365*T17*(1-Inputs!$C$32)/10000000</f>
        <v>154.629191886835</v>
      </c>
      <c r="U20" s="33" t="n">
        <f aca="false">U14*365*U17*(1-Inputs!$C$32)/10000000</f>
        <v>169.829241449311</v>
      </c>
      <c r="V20" s="33" t="n">
        <f aca="false">V14*365*V17*(1-Inputs!$C$32)/10000000</f>
        <v>186.523455883779</v>
      </c>
      <c r="W20" s="33" t="n">
        <f aca="false">W14*365*W17*(1-Inputs!$C$32)/10000000</f>
        <v>204.858711597154</v>
      </c>
      <c r="X20" s="33" t="n">
        <f aca="false">X14*365*X17*(1-Inputs!$C$32)/10000000</f>
        <v>0</v>
      </c>
      <c r="Y20" s="33" t="n">
        <f aca="false">Y14*365*Y17*(1-Inputs!$C$32)/10000000</f>
        <v>0</v>
      </c>
      <c r="Z20" s="33" t="n">
        <f aca="false">Z14*365*Z17*(1-Inputs!$C$32)/10000000</f>
        <v>0</v>
      </c>
      <c r="AA20" s="33" t="n">
        <f aca="false">AA14*365*AA17*(1-Inputs!$C$32)/10000000</f>
        <v>0</v>
      </c>
      <c r="AB20" s="33" t="n">
        <f aca="false">AB14*365*AB17*(1-Inputs!$C$32)/10000000</f>
        <v>0</v>
      </c>
      <c r="AC20" s="33" t="n">
        <f aca="false">AC14*365*AC17*(1-Inputs!$C$32)/10000000</f>
        <v>0</v>
      </c>
      <c r="AD20" s="33" t="n">
        <f aca="false">AD14*365*AD17*(1-Inputs!$C$32)/10000000</f>
        <v>0</v>
      </c>
      <c r="AE20" s="33" t="n">
        <f aca="false">AE14*365*AE17*(1-Inputs!$C$32)/10000000</f>
        <v>0</v>
      </c>
      <c r="AF20" s="33" t="n">
        <f aca="false">AF14*365*AF17*(1-Inputs!$C$32)/10000000</f>
        <v>0</v>
      </c>
      <c r="AG20" s="33" t="n">
        <f aca="false">AG14*365*AG17*(1-Inputs!$C$32)/10000000</f>
        <v>0</v>
      </c>
    </row>
    <row r="21" customFormat="false" ht="15" hidden="false" customHeight="false" outlineLevel="0" collapsed="false">
      <c r="A21" s="9" t="s">
        <v>128</v>
      </c>
      <c r="C21" s="26" t="n">
        <f aca="false">SUM(D21:AG21)</f>
        <v>7073.6501306337</v>
      </c>
      <c r="D21" s="33" t="n">
        <f aca="false">D15*365*D18*(1-Inputs!$C$32)/10000000</f>
        <v>0</v>
      </c>
      <c r="E21" s="33" t="n">
        <f aca="false">E15*365*E18*(1-Inputs!$C$32)/10000000</f>
        <v>0</v>
      </c>
      <c r="F21" s="33" t="n">
        <f aca="false">F15*365*F18*(1-Inputs!$C$32)/10000000</f>
        <v>157.77125</v>
      </c>
      <c r="G21" s="33" t="n">
        <f aca="false">G15*365*G18*(1-Inputs!$C$32)/10000000</f>
        <v>173.280163875</v>
      </c>
      <c r="H21" s="33" t="n">
        <f aca="false">H15*365*H18*(1-Inputs!$C$32)/10000000</f>
        <v>190.313603983913</v>
      </c>
      <c r="I21" s="33" t="n">
        <f aca="false">I15*365*I18*(1-Inputs!$C$32)/10000000</f>
        <v>209.021431255531</v>
      </c>
      <c r="J21" s="33" t="n">
        <f aca="false">J15*365*J18*(1-Inputs!$C$32)/10000000</f>
        <v>229.56823794795</v>
      </c>
      <c r="K21" s="33" t="n">
        <f aca="false">K15*365*K18*(1-Inputs!$C$32)/10000000</f>
        <v>252.134795738233</v>
      </c>
      <c r="L21" s="33" t="n">
        <f aca="false">L15*365*L18*(1-Inputs!$C$32)/10000000</f>
        <v>276.919646159302</v>
      </c>
      <c r="M21" s="33" t="n">
        <f aca="false">M15*365*M18*(1-Inputs!$C$32)/10000000</f>
        <v>304.140847376761</v>
      </c>
      <c r="N21" s="33" t="n">
        <f aca="false">N15*365*N18*(1-Inputs!$C$32)/10000000</f>
        <v>334.037892673897</v>
      </c>
      <c r="O21" s="33" t="n">
        <f aca="false">O15*365*O18*(1-Inputs!$C$32)/10000000</f>
        <v>366.873817523741</v>
      </c>
      <c r="P21" s="33" t="n">
        <f aca="false">P15*365*P18*(1-Inputs!$C$32)/10000000</f>
        <v>402.937513786325</v>
      </c>
      <c r="Q21" s="33" t="n">
        <f aca="false">Q15*365*Q18*(1-Inputs!$C$32)/10000000</f>
        <v>442.54627139152</v>
      </c>
      <c r="R21" s="33" t="n">
        <f aca="false">R15*365*R18*(1-Inputs!$C$32)/10000000</f>
        <v>486.048569869307</v>
      </c>
      <c r="S21" s="33" t="n">
        <f aca="false">S15*365*S18*(1-Inputs!$C$32)/10000000</f>
        <v>533.82714428746</v>
      </c>
      <c r="T21" s="33" t="n">
        <f aca="false">T15*365*T18*(1-Inputs!$C$32)/10000000</f>
        <v>586.302352570917</v>
      </c>
      <c r="U21" s="33" t="n">
        <f aca="false">U15*365*U18*(1-Inputs!$C$32)/10000000</f>
        <v>643.935873828638</v>
      </c>
      <c r="V21" s="33" t="n">
        <f aca="false">V15*365*V18*(1-Inputs!$C$32)/10000000</f>
        <v>707.234770225993</v>
      </c>
      <c r="W21" s="33" t="n">
        <f aca="false">W15*365*W18*(1-Inputs!$C$32)/10000000</f>
        <v>776.755948139209</v>
      </c>
      <c r="X21" s="33" t="n">
        <f aca="false">X15*365*X18*(1-Inputs!$C$32)/10000000</f>
        <v>0</v>
      </c>
      <c r="Y21" s="33" t="n">
        <f aca="false">Y15*365*Y18*(1-Inputs!$C$32)/10000000</f>
        <v>0</v>
      </c>
      <c r="Z21" s="33" t="n">
        <f aca="false">Z15*365*Z18*(1-Inputs!$C$32)/10000000</f>
        <v>0</v>
      </c>
      <c r="AA21" s="33" t="n">
        <f aca="false">AA15*365*AA18*(1-Inputs!$C$32)/10000000</f>
        <v>0</v>
      </c>
      <c r="AB21" s="33" t="n">
        <f aca="false">AB15*365*AB18*(1-Inputs!$C$32)/10000000</f>
        <v>0</v>
      </c>
      <c r="AC21" s="33" t="n">
        <f aca="false">AC15*365*AC18*(1-Inputs!$C$32)/10000000</f>
        <v>0</v>
      </c>
      <c r="AD21" s="33" t="n">
        <f aca="false">AD15*365*AD18*(1-Inputs!$C$32)/10000000</f>
        <v>0</v>
      </c>
      <c r="AE21" s="33" t="n">
        <f aca="false">AE15*365*AE18*(1-Inputs!$C$32)/10000000</f>
        <v>0</v>
      </c>
      <c r="AF21" s="33" t="n">
        <f aca="false">AF15*365*AF18*(1-Inputs!$C$32)/10000000</f>
        <v>0</v>
      </c>
      <c r="AG21" s="33" t="n">
        <f aca="false">AG15*365*AG18*(1-Inputs!$C$32)/10000000</f>
        <v>0</v>
      </c>
    </row>
    <row r="22" customFormat="false" ht="15" hidden="false" customHeight="false" outlineLevel="0" collapsed="false">
      <c r="A22" s="14" t="s">
        <v>129</v>
      </c>
      <c r="C22" s="26" t="n">
        <f aca="false">SUM(D22:AG22)</f>
        <v>12667.0608826013</v>
      </c>
      <c r="D22" s="36" t="n">
        <f aca="false">D19+D20+D21</f>
        <v>0</v>
      </c>
      <c r="E22" s="36" t="n">
        <f aca="false">E19+E20+E21</f>
        <v>0</v>
      </c>
      <c r="F22" s="36" t="n">
        <f aca="false">F19+F20+F21</f>
        <v>274.27925</v>
      </c>
      <c r="G22" s="36" t="n">
        <f aca="false">G19+G20+G21</f>
        <v>302.024333355</v>
      </c>
      <c r="H22" s="36" t="n">
        <f aca="false">H19+H20+H21</f>
        <v>332.581964585577</v>
      </c>
      <c r="I22" s="36" t="n">
        <f aca="false">I19+I20+I21</f>
        <v>366.237884172232</v>
      </c>
      <c r="J22" s="36" t="n">
        <f aca="false">J19+J20+J21</f>
        <v>403.306928766262</v>
      </c>
      <c r="K22" s="36" t="n">
        <f aca="false">K19+K20+K21</f>
        <v>444.136000960556</v>
      </c>
      <c r="L22" s="36" t="n">
        <f aca="false">L19+L20+L21</f>
        <v>489.107342910811</v>
      </c>
      <c r="M22" s="36" t="n">
        <f aca="false">M19+M20+M21</f>
        <v>538.642144972329</v>
      </c>
      <c r="N22" s="36" t="n">
        <f aca="false">N19+N20+N21</f>
        <v>593.204523722053</v>
      </c>
      <c r="O22" s="36" t="n">
        <f aca="false">O19+O20+O21</f>
        <v>653.305907270443</v>
      </c>
      <c r="P22" s="36" t="n">
        <f aca="false">P19+P20+P21</f>
        <v>719.509869667162</v>
      </c>
      <c r="Q22" s="36" t="n">
        <f aca="false">Q19+Q20+Q21</f>
        <v>792.43746050608</v>
      </c>
      <c r="R22" s="36" t="n">
        <f aca="false">R19+R20+R21</f>
        <v>872.773080580426</v>
      </c>
      <c r="S22" s="36" t="n">
        <f aca="false">S19+S20+S21</f>
        <v>961.27095967385</v>
      </c>
      <c r="T22" s="36" t="n">
        <f aca="false">T19+T20+T21</f>
        <v>1058.76229834838</v>
      </c>
      <c r="U22" s="36" t="n">
        <f aca="false">U19+U20+U21</f>
        <v>1166.16314196172</v>
      </c>
      <c r="V22" s="36" t="n">
        <f aca="false">V19+V20+V21</f>
        <v>1284.48306217567</v>
      </c>
      <c r="W22" s="36" t="n">
        <f aca="false">W19+W20+W21</f>
        <v>1414.83472897279</v>
      </c>
      <c r="X22" s="36" t="n">
        <f aca="false">X19+X20+X21</f>
        <v>0</v>
      </c>
      <c r="Y22" s="36" t="n">
        <f aca="false">Y19+Y20+Y21</f>
        <v>0</v>
      </c>
      <c r="Z22" s="36" t="n">
        <f aca="false">Z19+Z20+Z21</f>
        <v>0</v>
      </c>
      <c r="AA22" s="36" t="n">
        <f aca="false">AA19+AA20+AA21</f>
        <v>0</v>
      </c>
      <c r="AB22" s="36" t="n">
        <f aca="false">AB19+AB20+AB21</f>
        <v>0</v>
      </c>
      <c r="AC22" s="36" t="n">
        <f aca="false">AC19+AC20+AC21</f>
        <v>0</v>
      </c>
      <c r="AD22" s="36" t="n">
        <f aca="false">AD19+AD20+AD21</f>
        <v>0</v>
      </c>
      <c r="AE22" s="36" t="n">
        <f aca="false">AE19+AE20+AE21</f>
        <v>0</v>
      </c>
      <c r="AF22" s="36" t="n">
        <f aca="false">AF19+AF20+AF21</f>
        <v>0</v>
      </c>
      <c r="AG22" s="36" t="n">
        <f aca="false">AG19+AG20+AG21</f>
        <v>0</v>
      </c>
    </row>
    <row r="24" customFormat="false" ht="15" hidden="false" customHeight="false" outlineLevel="0" collapsed="false">
      <c r="A24" s="4" t="s">
        <v>130</v>
      </c>
    </row>
    <row r="25" customFormat="false" ht="15" hidden="false" customHeight="false" outlineLevel="0" collapsed="false">
      <c r="A25" s="9" t="s">
        <v>131</v>
      </c>
      <c r="C25" s="26" t="n">
        <f aca="false">SUM(D25:AG25)</f>
        <v>0</v>
      </c>
      <c r="D25" s="33" t="n">
        <f aca="false">D22*Inputs!$C$37</f>
        <v>0</v>
      </c>
      <c r="E25" s="33" t="n">
        <f aca="false">E22*Inputs!$C$37</f>
        <v>0</v>
      </c>
      <c r="F25" s="33" t="n">
        <f aca="false">F22*Inputs!$C$37</f>
        <v>0</v>
      </c>
      <c r="G25" s="33" t="n">
        <f aca="false">G22*Inputs!$C$37</f>
        <v>0</v>
      </c>
      <c r="H25" s="33" t="n">
        <f aca="false">H22*Inputs!$C$37</f>
        <v>0</v>
      </c>
      <c r="I25" s="33" t="n">
        <f aca="false">I22*Inputs!$C$37</f>
        <v>0</v>
      </c>
      <c r="J25" s="33" t="n">
        <f aca="false">J22*Inputs!$C$37</f>
        <v>0</v>
      </c>
      <c r="K25" s="33" t="n">
        <f aca="false">K22*Inputs!$C$37</f>
        <v>0</v>
      </c>
      <c r="L25" s="33" t="n">
        <f aca="false">L22*Inputs!$C$37</f>
        <v>0</v>
      </c>
      <c r="M25" s="33" t="n">
        <f aca="false">M22*Inputs!$C$37</f>
        <v>0</v>
      </c>
      <c r="N25" s="33" t="n">
        <f aca="false">N22*Inputs!$C$37</f>
        <v>0</v>
      </c>
      <c r="O25" s="33" t="n">
        <f aca="false">O22*Inputs!$C$37</f>
        <v>0</v>
      </c>
      <c r="P25" s="33" t="n">
        <f aca="false">P22*Inputs!$C$37</f>
        <v>0</v>
      </c>
      <c r="Q25" s="33" t="n">
        <f aca="false">Q22*Inputs!$C$37</f>
        <v>0</v>
      </c>
      <c r="R25" s="33" t="n">
        <f aca="false">R22*Inputs!$C$37</f>
        <v>0</v>
      </c>
      <c r="S25" s="33" t="n">
        <f aca="false">S22*Inputs!$C$37</f>
        <v>0</v>
      </c>
      <c r="T25" s="33" t="n">
        <f aca="false">T22*Inputs!$C$37</f>
        <v>0</v>
      </c>
      <c r="U25" s="33" t="n">
        <f aca="false">U22*Inputs!$C$37</f>
        <v>0</v>
      </c>
      <c r="V25" s="33" t="n">
        <f aca="false">V22*Inputs!$C$37</f>
        <v>0</v>
      </c>
      <c r="W25" s="33" t="n">
        <f aca="false">W22*Inputs!$C$37</f>
        <v>0</v>
      </c>
      <c r="X25" s="33" t="n">
        <f aca="false">X22*Inputs!$C$37</f>
        <v>0</v>
      </c>
      <c r="Y25" s="33" t="n">
        <f aca="false">Y22*Inputs!$C$37</f>
        <v>0</v>
      </c>
      <c r="Z25" s="33" t="n">
        <f aca="false">Z22*Inputs!$C$37</f>
        <v>0</v>
      </c>
      <c r="AA25" s="33" t="n">
        <f aca="false">AA22*Inputs!$C$37</f>
        <v>0</v>
      </c>
      <c r="AB25" s="33" t="n">
        <f aca="false">AB22*Inputs!$C$37</f>
        <v>0</v>
      </c>
      <c r="AC25" s="33" t="n">
        <f aca="false">AC22*Inputs!$C$37</f>
        <v>0</v>
      </c>
      <c r="AD25" s="33" t="n">
        <f aca="false">AD22*Inputs!$C$37</f>
        <v>0</v>
      </c>
      <c r="AE25" s="33" t="n">
        <f aca="false">AE22*Inputs!$C$37</f>
        <v>0</v>
      </c>
      <c r="AF25" s="33" t="n">
        <f aca="false">AF22*Inputs!$C$37</f>
        <v>0</v>
      </c>
      <c r="AG25" s="33" t="n">
        <f aca="false">AG22*Inputs!$C$37</f>
        <v>0</v>
      </c>
    </row>
    <row r="26" customFormat="false" ht="15" hidden="false" customHeight="false" outlineLevel="0" collapsed="false">
      <c r="A26" s="9" t="s">
        <v>132</v>
      </c>
      <c r="C26" s="26" t="n">
        <f aca="false">SUM(D26:AG26)</f>
        <v>843.971540214651</v>
      </c>
      <c r="D26" s="33" t="n">
        <f aca="false">D9*Inputs!$C$33*(1+Inputs!$C$34)^(D10-1)</f>
        <v>0</v>
      </c>
      <c r="E26" s="33" t="n">
        <f aca="false">E9*Inputs!$C$33*(1+Inputs!$C$34)^(E10-1)</f>
        <v>0</v>
      </c>
      <c r="F26" s="33" t="n">
        <f aca="false">F9*Inputs!$C$33*(1+Inputs!$C$34)^(F10-1)</f>
        <v>30</v>
      </c>
      <c r="G26" s="33" t="n">
        <f aca="false">G9*Inputs!$C$33*(1+Inputs!$C$34)^(G10-1)</f>
        <v>31.5</v>
      </c>
      <c r="H26" s="33" t="n">
        <f aca="false">H9*Inputs!$C$33*(1+Inputs!$C$34)^(H10-1)</f>
        <v>33.075</v>
      </c>
      <c r="I26" s="33" t="n">
        <f aca="false">I9*Inputs!$C$33*(1+Inputs!$C$34)^(I10-1)</f>
        <v>34.72875</v>
      </c>
      <c r="J26" s="33" t="n">
        <f aca="false">J9*Inputs!$C$33*(1+Inputs!$C$34)^(J10-1)</f>
        <v>36.4651875</v>
      </c>
      <c r="K26" s="33" t="n">
        <f aca="false">K9*Inputs!$C$33*(1+Inputs!$C$34)^(K10-1)</f>
        <v>38.288446875</v>
      </c>
      <c r="L26" s="33" t="n">
        <f aca="false">L9*Inputs!$C$33*(1+Inputs!$C$34)^(L10-1)</f>
        <v>40.20286921875</v>
      </c>
      <c r="M26" s="33" t="n">
        <f aca="false">M9*Inputs!$C$33*(1+Inputs!$C$34)^(M10-1)</f>
        <v>42.2130126796875</v>
      </c>
      <c r="N26" s="33" t="n">
        <f aca="false">N9*Inputs!$C$33*(1+Inputs!$C$34)^(N10-1)</f>
        <v>44.3236633136719</v>
      </c>
      <c r="O26" s="33" t="n">
        <f aca="false">O9*Inputs!$C$33*(1+Inputs!$C$34)^(O10-1)</f>
        <v>46.5398464793555</v>
      </c>
      <c r="P26" s="33" t="n">
        <f aca="false">P9*Inputs!$C$33*(1+Inputs!$C$34)^(P10-1)</f>
        <v>48.8668388033233</v>
      </c>
      <c r="Q26" s="33" t="n">
        <f aca="false">Q9*Inputs!$C$33*(1+Inputs!$C$34)^(Q10-1)</f>
        <v>51.3101807434894</v>
      </c>
      <c r="R26" s="33" t="n">
        <f aca="false">R9*Inputs!$C$33*(1+Inputs!$C$34)^(R10-1)</f>
        <v>53.8756897806639</v>
      </c>
      <c r="S26" s="33" t="n">
        <f aca="false">S9*Inputs!$C$33*(1+Inputs!$C$34)^(S10-1)</f>
        <v>56.5694742696971</v>
      </c>
      <c r="T26" s="33" t="n">
        <f aca="false">T9*Inputs!$C$33*(1+Inputs!$C$34)^(T10-1)</f>
        <v>59.397947983182</v>
      </c>
      <c r="U26" s="33" t="n">
        <f aca="false">U9*Inputs!$C$33*(1+Inputs!$C$34)^(U10-1)</f>
        <v>62.3678453823411</v>
      </c>
      <c r="V26" s="33" t="n">
        <f aca="false">V9*Inputs!$C$33*(1+Inputs!$C$34)^(V10-1)</f>
        <v>65.4862376514581</v>
      </c>
      <c r="W26" s="33" t="n">
        <f aca="false">W9*Inputs!$C$33*(1+Inputs!$C$34)^(W10-1)</f>
        <v>68.760549534031</v>
      </c>
      <c r="X26" s="33" t="n">
        <f aca="false">X9*Inputs!$C$33*(1+Inputs!$C$34)^(X10-1)</f>
        <v>0</v>
      </c>
      <c r="Y26" s="33" t="n">
        <f aca="false">Y9*Inputs!$C$33*(1+Inputs!$C$34)^(Y10-1)</f>
        <v>0</v>
      </c>
      <c r="Z26" s="33" t="n">
        <f aca="false">Z9*Inputs!$C$33*(1+Inputs!$C$34)^(Z10-1)</f>
        <v>0</v>
      </c>
      <c r="AA26" s="33" t="n">
        <f aca="false">AA9*Inputs!$C$33*(1+Inputs!$C$34)^(AA10-1)</f>
        <v>0</v>
      </c>
      <c r="AB26" s="33" t="n">
        <f aca="false">AB9*Inputs!$C$33*(1+Inputs!$C$34)^(AB10-1)</f>
        <v>0</v>
      </c>
      <c r="AC26" s="33" t="n">
        <f aca="false">AC9*Inputs!$C$33*(1+Inputs!$C$34)^(AC10-1)</f>
        <v>0</v>
      </c>
      <c r="AD26" s="33" t="n">
        <f aca="false">AD9*Inputs!$C$33*(1+Inputs!$C$34)^(AD10-1)</f>
        <v>0</v>
      </c>
      <c r="AE26" s="33" t="n">
        <f aca="false">AE9*Inputs!$C$33*(1+Inputs!$C$34)^(AE10-1)</f>
        <v>0</v>
      </c>
      <c r="AF26" s="33" t="n">
        <f aca="false">AF9*Inputs!$C$33*(1+Inputs!$C$34)^(AF10-1)</f>
        <v>0</v>
      </c>
      <c r="AG26" s="33" t="n">
        <f aca="false">AG9*Inputs!$C$33*(1+Inputs!$C$34)^(AG10-1)</f>
        <v>0</v>
      </c>
    </row>
    <row r="27" customFormat="false" ht="15" hidden="false" customHeight="false" outlineLevel="0" collapsed="false">
      <c r="A27" s="9" t="s">
        <v>133</v>
      </c>
      <c r="C27" s="26" t="n">
        <f aca="false">SUM(D27:AG27)</f>
        <v>427.208945887612</v>
      </c>
      <c r="D27" s="33" t="n">
        <f aca="false">IF(AND(D9=1,Inputs!$C$36&gt;0),IF(MOD(D10,Inputs!$C$36)=0,Inputs!$C$35*(1+Inputs!$C$34)^(D10-1),0),0)</f>
        <v>0</v>
      </c>
      <c r="E27" s="33" t="n">
        <f aca="false">IF(AND(E9=1,Inputs!$C$36&gt;0),IF(MOD(E10,Inputs!$C$36)=0,Inputs!$C$35*(1+Inputs!$C$34)^(E10-1),0),0)</f>
        <v>0</v>
      </c>
      <c r="F27" s="33" t="n">
        <f aca="false">IF(AND(F9=1,Inputs!$C$36&gt;0),IF(MOD(F10,Inputs!$C$36)=0,Inputs!$C$35*(1+Inputs!$C$34)^(F10-1),0),0)</f>
        <v>0</v>
      </c>
      <c r="G27" s="33" t="n">
        <f aca="false">IF(AND(G9=1,Inputs!$C$36&gt;0),IF(MOD(G10,Inputs!$C$36)=0,Inputs!$C$35*(1+Inputs!$C$34)^(G10-1),0),0)</f>
        <v>0</v>
      </c>
      <c r="H27" s="33" t="n">
        <f aca="false">IF(AND(H9=1,Inputs!$C$36&gt;0),IF(MOD(H10,Inputs!$C$36)=0,Inputs!$C$35*(1+Inputs!$C$34)^(H10-1),0),0)</f>
        <v>0</v>
      </c>
      <c r="I27" s="33" t="n">
        <f aca="false">IF(AND(I9=1,Inputs!$C$36&gt;0),IF(MOD(I10,Inputs!$C$36)=0,Inputs!$C$35*(1+Inputs!$C$34)^(I10-1),0),0)</f>
        <v>0</v>
      </c>
      <c r="J27" s="33" t="n">
        <f aca="false">IF(AND(J9=1,Inputs!$C$36&gt;0),IF(MOD(J10,Inputs!$C$36)=0,Inputs!$C$35*(1+Inputs!$C$34)^(J10-1),0),0)</f>
        <v>109.3955625</v>
      </c>
      <c r="K27" s="33" t="n">
        <f aca="false">IF(AND(K9=1,Inputs!$C$36&gt;0),IF(MOD(K10,Inputs!$C$36)=0,Inputs!$C$35*(1+Inputs!$C$34)^(K10-1),0),0)</f>
        <v>0</v>
      </c>
      <c r="L27" s="33" t="n">
        <f aca="false">IF(AND(L9=1,Inputs!$C$36&gt;0),IF(MOD(L10,Inputs!$C$36)=0,Inputs!$C$35*(1+Inputs!$C$34)^(L10-1),0),0)</f>
        <v>0</v>
      </c>
      <c r="M27" s="33" t="n">
        <f aca="false">IF(AND(M9=1,Inputs!$C$36&gt;0),IF(MOD(M10,Inputs!$C$36)=0,Inputs!$C$35*(1+Inputs!$C$34)^(M10-1),0),0)</f>
        <v>0</v>
      </c>
      <c r="N27" s="33" t="n">
        <f aca="false">IF(AND(N9=1,Inputs!$C$36&gt;0),IF(MOD(N10,Inputs!$C$36)=0,Inputs!$C$35*(1+Inputs!$C$34)^(N10-1),0),0)</f>
        <v>0</v>
      </c>
      <c r="O27" s="33" t="n">
        <f aca="false">IF(AND(O9=1,Inputs!$C$36&gt;0),IF(MOD(O10,Inputs!$C$36)=0,Inputs!$C$35*(1+Inputs!$C$34)^(O10-1),0),0)</f>
        <v>139.619539438066</v>
      </c>
      <c r="P27" s="33" t="n">
        <f aca="false">IF(AND(P9=1,Inputs!$C$36&gt;0),IF(MOD(P10,Inputs!$C$36)=0,Inputs!$C$35*(1+Inputs!$C$34)^(P10-1),0),0)</f>
        <v>0</v>
      </c>
      <c r="Q27" s="33" t="n">
        <f aca="false">IF(AND(Q9=1,Inputs!$C$36&gt;0),IF(MOD(Q10,Inputs!$C$36)=0,Inputs!$C$35*(1+Inputs!$C$34)^(Q10-1),0),0)</f>
        <v>0</v>
      </c>
      <c r="R27" s="33" t="n">
        <f aca="false">IF(AND(R9=1,Inputs!$C$36&gt;0),IF(MOD(R10,Inputs!$C$36)=0,Inputs!$C$35*(1+Inputs!$C$34)^(R10-1),0),0)</f>
        <v>0</v>
      </c>
      <c r="S27" s="33" t="n">
        <f aca="false">IF(AND(S9=1,Inputs!$C$36&gt;0),IF(MOD(S10,Inputs!$C$36)=0,Inputs!$C$35*(1+Inputs!$C$34)^(S10-1),0),0)</f>
        <v>0</v>
      </c>
      <c r="T27" s="33" t="n">
        <f aca="false">IF(AND(T9=1,Inputs!$C$36&gt;0),IF(MOD(T10,Inputs!$C$36)=0,Inputs!$C$35*(1+Inputs!$C$34)^(T10-1),0),0)</f>
        <v>178.193843949546</v>
      </c>
      <c r="U27" s="33" t="n">
        <f aca="false">IF(AND(U9=1,Inputs!$C$36&gt;0),IF(MOD(U10,Inputs!$C$36)=0,Inputs!$C$35*(1+Inputs!$C$34)^(U10-1),0),0)</f>
        <v>0</v>
      </c>
      <c r="V27" s="33" t="n">
        <f aca="false">IF(AND(V9=1,Inputs!$C$36&gt;0),IF(MOD(V10,Inputs!$C$36)=0,Inputs!$C$35*(1+Inputs!$C$34)^(V10-1),0),0)</f>
        <v>0</v>
      </c>
      <c r="W27" s="33" t="n">
        <f aca="false">IF(AND(W9=1,Inputs!$C$36&gt;0),IF(MOD(W10,Inputs!$C$36)=0,Inputs!$C$35*(1+Inputs!$C$34)^(W10-1),0),0)</f>
        <v>0</v>
      </c>
      <c r="X27" s="33" t="n">
        <f aca="false">IF(AND(X9=1,Inputs!$C$36&gt;0),IF(MOD(X10,Inputs!$C$36)=0,Inputs!$C$35*(1+Inputs!$C$34)^(X10-1),0),0)</f>
        <v>0</v>
      </c>
      <c r="Y27" s="33" t="n">
        <f aca="false">IF(AND(Y9=1,Inputs!$C$36&gt;0),IF(MOD(Y10,Inputs!$C$36)=0,Inputs!$C$35*(1+Inputs!$C$34)^(Y10-1),0),0)</f>
        <v>0</v>
      </c>
      <c r="Z27" s="33" t="n">
        <f aca="false">IF(AND(Z9=1,Inputs!$C$36&gt;0),IF(MOD(Z10,Inputs!$C$36)=0,Inputs!$C$35*(1+Inputs!$C$34)^(Z10-1),0),0)</f>
        <v>0</v>
      </c>
      <c r="AA27" s="33" t="n">
        <f aca="false">IF(AND(AA9=1,Inputs!$C$36&gt;0),IF(MOD(AA10,Inputs!$C$36)=0,Inputs!$C$35*(1+Inputs!$C$34)^(AA10-1),0),0)</f>
        <v>0</v>
      </c>
      <c r="AB27" s="33" t="n">
        <f aca="false">IF(AND(AB9=1,Inputs!$C$36&gt;0),IF(MOD(AB10,Inputs!$C$36)=0,Inputs!$C$35*(1+Inputs!$C$34)^(AB10-1),0),0)</f>
        <v>0</v>
      </c>
      <c r="AC27" s="33" t="n">
        <f aca="false">IF(AND(AC9=1,Inputs!$C$36&gt;0),IF(MOD(AC10,Inputs!$C$36)=0,Inputs!$C$35*(1+Inputs!$C$34)^(AC10-1),0),0)</f>
        <v>0</v>
      </c>
      <c r="AD27" s="33" t="n">
        <f aca="false">IF(AND(AD9=1,Inputs!$C$36&gt;0),IF(MOD(AD10,Inputs!$C$36)=0,Inputs!$C$35*(1+Inputs!$C$34)^(AD10-1),0),0)</f>
        <v>0</v>
      </c>
      <c r="AE27" s="33" t="n">
        <f aca="false">IF(AND(AE9=1,Inputs!$C$36&gt;0),IF(MOD(AE10,Inputs!$C$36)=0,Inputs!$C$35*(1+Inputs!$C$34)^(AE10-1),0),0)</f>
        <v>0</v>
      </c>
      <c r="AF27" s="33" t="n">
        <f aca="false">IF(AND(AF9=1,Inputs!$C$36&gt;0),IF(MOD(AF10,Inputs!$C$36)=0,Inputs!$C$35*(1+Inputs!$C$34)^(AF10-1),0),0)</f>
        <v>0</v>
      </c>
      <c r="AG27" s="33" t="n">
        <f aca="false">IF(AND(AG9=1,Inputs!$C$36&gt;0),IF(MOD(AG10,Inputs!$C$36)=0,Inputs!$C$35*(1+Inputs!$C$34)^(AG10-1),0),0)</f>
        <v>0</v>
      </c>
    </row>
    <row r="28" customFormat="false" ht="15" hidden="false" customHeight="false" outlineLevel="0" collapsed="false">
      <c r="A28" s="14" t="s">
        <v>134</v>
      </c>
      <c r="C28" s="26" t="n">
        <f aca="false">SUM(D28:AG28)</f>
        <v>11395.8803964991</v>
      </c>
      <c r="D28" s="36" t="n">
        <f aca="false">D22-D25-D26-D27</f>
        <v>0</v>
      </c>
      <c r="E28" s="36" t="n">
        <f aca="false">E22-E25-E26-E27</f>
        <v>0</v>
      </c>
      <c r="F28" s="36" t="n">
        <f aca="false">F22-F25-F26-F27</f>
        <v>244.27925</v>
      </c>
      <c r="G28" s="36" t="n">
        <f aca="false">G22-G25-G26-G27</f>
        <v>270.524333355</v>
      </c>
      <c r="H28" s="36" t="n">
        <f aca="false">H22-H25-H26-H27</f>
        <v>299.506964585577</v>
      </c>
      <c r="I28" s="36" t="n">
        <f aca="false">I22-I25-I26-I27</f>
        <v>331.509134172232</v>
      </c>
      <c r="J28" s="36" t="n">
        <f aca="false">J22-J25-J26-J27</f>
        <v>257.446178766262</v>
      </c>
      <c r="K28" s="36" t="n">
        <f aca="false">K22-K25-K26-K27</f>
        <v>405.847554085556</v>
      </c>
      <c r="L28" s="36" t="n">
        <f aca="false">L22-L25-L26-L27</f>
        <v>448.904473692061</v>
      </c>
      <c r="M28" s="36" t="n">
        <f aca="false">M22-M25-M26-M27</f>
        <v>496.429132292642</v>
      </c>
      <c r="N28" s="36" t="n">
        <f aca="false">N22-N25-N26-N27</f>
        <v>548.880860408381</v>
      </c>
      <c r="O28" s="36" t="n">
        <f aca="false">O22-O25-O26-O27</f>
        <v>467.146521353021</v>
      </c>
      <c r="P28" s="36" t="n">
        <f aca="false">P22-P25-P26-P27</f>
        <v>670.643030863839</v>
      </c>
      <c r="Q28" s="36" t="n">
        <f aca="false">Q22-Q25-Q26-Q27</f>
        <v>741.12727976259</v>
      </c>
      <c r="R28" s="36" t="n">
        <f aca="false">R22-R25-R26-R27</f>
        <v>818.897390799762</v>
      </c>
      <c r="S28" s="36" t="n">
        <f aca="false">S22-S25-S26-S27</f>
        <v>904.701485404153</v>
      </c>
      <c r="T28" s="36" t="n">
        <f aca="false">T22-T25-T26-T27</f>
        <v>821.170506415653</v>
      </c>
      <c r="U28" s="36" t="n">
        <f aca="false">U22-U25-U26-U27</f>
        <v>1103.79529657938</v>
      </c>
      <c r="V28" s="36" t="n">
        <f aca="false">V22-V25-V26-V27</f>
        <v>1218.99682452421</v>
      </c>
      <c r="W28" s="36" t="n">
        <f aca="false">W22-W25-W26-W27</f>
        <v>1346.07417943876</v>
      </c>
      <c r="X28" s="36" t="n">
        <f aca="false">X22-X25-X26-X27</f>
        <v>0</v>
      </c>
      <c r="Y28" s="36" t="n">
        <f aca="false">Y22-Y25-Y26-Y27</f>
        <v>0</v>
      </c>
      <c r="Z28" s="36" t="n">
        <f aca="false">Z22-Z25-Z26-Z27</f>
        <v>0</v>
      </c>
      <c r="AA28" s="36" t="n">
        <f aca="false">AA22-AA25-AA26-AA27</f>
        <v>0</v>
      </c>
      <c r="AB28" s="36" t="n">
        <f aca="false">AB22-AB25-AB26-AB27</f>
        <v>0</v>
      </c>
      <c r="AC28" s="36" t="n">
        <f aca="false">AC22-AC25-AC26-AC27</f>
        <v>0</v>
      </c>
      <c r="AD28" s="36" t="n">
        <f aca="false">AD22-AD25-AD26-AD27</f>
        <v>0</v>
      </c>
      <c r="AE28" s="36" t="n">
        <f aca="false">AE22-AE25-AE26-AE27</f>
        <v>0</v>
      </c>
      <c r="AF28" s="36" t="n">
        <f aca="false">AF22-AF25-AF26-AF27</f>
        <v>0</v>
      </c>
      <c r="AG28" s="36" t="n">
        <f aca="false">AG22-AG25-AG26-AG27</f>
        <v>0</v>
      </c>
    </row>
    <row r="29" customFormat="false" ht="15" hidden="false" customHeight="false" outlineLevel="0" collapsed="false">
      <c r="A29" s="9" t="s">
        <v>135</v>
      </c>
      <c r="B29" s="34" t="s">
        <v>136</v>
      </c>
      <c r="D29" s="37" t="n">
        <f aca="false">IF(D22=0,0,D28/D22)</f>
        <v>0</v>
      </c>
      <c r="E29" s="37" t="n">
        <f aca="false">IF(E22=0,0,E28/E22)</f>
        <v>0</v>
      </c>
      <c r="F29" s="37" t="n">
        <f aca="false">IF(F22=0,0,F28/F22)</f>
        <v>0.890622422221149</v>
      </c>
      <c r="G29" s="37" t="n">
        <f aca="false">IF(G22=0,0,G28/G22)</f>
        <v>0.895703767805441</v>
      </c>
      <c r="H29" s="37" t="n">
        <f aca="false">IF(H22=0,0,H28/H22)</f>
        <v>0.900550831007286</v>
      </c>
      <c r="I29" s="37" t="n">
        <f aca="false">IF(I22=0,0,I28/I22)</f>
        <v>0.905174337497898</v>
      </c>
      <c r="J29" s="37" t="n">
        <f aca="false">IF(J22=0,0,J28/J22)</f>
        <v>0.638338100349042</v>
      </c>
      <c r="K29" s="37" t="n">
        <f aca="false">IF(K22=0,0,K28/K22)</f>
        <v>0.913791165786625</v>
      </c>
      <c r="L29" s="37" t="n">
        <f aca="false">IF(L22=0,0,L28/L22)</f>
        <v>0.917803586878308</v>
      </c>
      <c r="M29" s="37" t="n">
        <f aca="false">IF(M22=0,0,M28/M22)</f>
        <v>0.921630691037264</v>
      </c>
      <c r="N29" s="37" t="n">
        <f aca="false">IF(N22=0,0,N28/N22)</f>
        <v>0.92528097554691</v>
      </c>
      <c r="O29" s="37" t="n">
        <f aca="false">IF(O22=0,0,O28/O22)</f>
        <v>0.715050202599256</v>
      </c>
      <c r="P29" s="37" t="n">
        <f aca="false">IF(P22=0,0,P28/P22)</f>
        <v>0.93208315707201</v>
      </c>
      <c r="Q29" s="37" t="n">
        <f aca="false">IF(Q22=0,0,Q28/Q22)</f>
        <v>0.935250182757992</v>
      </c>
      <c r="R29" s="37" t="n">
        <f aca="false">IF(R22=0,0,R28/R22)</f>
        <v>0.938270678851787</v>
      </c>
      <c r="S29" s="37" t="n">
        <f aca="false">IF(S22=0,0,S28/S22)</f>
        <v>0.941151374957909</v>
      </c>
      <c r="T29" s="37" t="n">
        <f aca="false">IF(T22=0,0,T28/T22)</f>
        <v>0.775594774858002</v>
      </c>
      <c r="U29" s="37" t="n">
        <f aca="false">IF(U22=0,0,U28/U22)</f>
        <v>0.946518764709519</v>
      </c>
      <c r="V29" s="37" t="n">
        <f aca="false">IF(V22=0,0,V28/V22)</f>
        <v>0.94901743776945</v>
      </c>
      <c r="W29" s="37" t="n">
        <f aca="false">IF(W22=0,0,W28/W22)</f>
        <v>0.951400295648699</v>
      </c>
      <c r="X29" s="37" t="n">
        <f aca="false">IF(X22=0,0,X28/X22)</f>
        <v>0</v>
      </c>
      <c r="Y29" s="37" t="n">
        <f aca="false">IF(Y22=0,0,Y28/Y22)</f>
        <v>0</v>
      </c>
      <c r="Z29" s="37" t="n">
        <f aca="false">IF(Z22=0,0,Z28/Z22)</f>
        <v>0</v>
      </c>
      <c r="AA29" s="37" t="n">
        <f aca="false">IF(AA22=0,0,AA28/AA22)</f>
        <v>0</v>
      </c>
      <c r="AB29" s="37" t="n">
        <f aca="false">IF(AB22=0,0,AB28/AB22)</f>
        <v>0</v>
      </c>
      <c r="AC29" s="37" t="n">
        <f aca="false">IF(AC22=0,0,AC28/AC22)</f>
        <v>0</v>
      </c>
      <c r="AD29" s="37" t="n">
        <f aca="false">IF(AD22=0,0,AD28/AD22)</f>
        <v>0</v>
      </c>
      <c r="AE29" s="37" t="n">
        <f aca="false">IF(AE22=0,0,AE28/AE22)</f>
        <v>0</v>
      </c>
      <c r="AF29" s="37" t="n">
        <f aca="false">IF(AF22=0,0,AF28/AF22)</f>
        <v>0</v>
      </c>
      <c r="AG29" s="37" t="n">
        <f aca="false">IF(AG22=0,0,AG28/AG22)</f>
        <v>0</v>
      </c>
    </row>
    <row r="31" customFormat="false" ht="15" hidden="false" customHeight="false" outlineLevel="0" collapsed="false">
      <c r="A31" s="4" t="s">
        <v>137</v>
      </c>
    </row>
    <row r="32" customFormat="false" ht="15" hidden="false" customHeight="false" outlineLevel="0" collapsed="false">
      <c r="A32" s="9" t="s">
        <v>138</v>
      </c>
      <c r="C32" s="26" t="n">
        <f aca="false">SUM(D32:AG32)</f>
        <v>2300</v>
      </c>
      <c r="D32" s="33" t="n">
        <f aca="false">IF(D6&lt;=4,D8*Inputs!$C$9*INDEX(Inputs!$F$6:$F$9,MIN(4,D6)),0)</f>
        <v>1035</v>
      </c>
      <c r="E32" s="33" t="n">
        <f aca="false">IF(E6&lt;=4,E8*Inputs!$C$9*INDEX(Inputs!$F$6:$F$9,MIN(4,E6)),0)</f>
        <v>1265</v>
      </c>
      <c r="F32" s="33" t="n">
        <f aca="false">IF(F6&lt;=4,F8*Inputs!$C$9*INDEX(Inputs!$F$6:$F$9,MIN(4,F6)),0)</f>
        <v>0</v>
      </c>
      <c r="G32" s="33" t="n">
        <f aca="false">IF(G6&lt;=4,G8*Inputs!$C$9*INDEX(Inputs!$F$6:$F$9,MIN(4,G6)),0)</f>
        <v>0</v>
      </c>
      <c r="H32" s="33" t="n">
        <f aca="false">IF(H6&lt;=4,H8*Inputs!$C$9*INDEX(Inputs!$F$6:$F$9,MIN(4,H6)),0)</f>
        <v>0</v>
      </c>
      <c r="I32" s="33" t="n">
        <f aca="false">IF(I6&lt;=4,I8*Inputs!$C$9*INDEX(Inputs!$F$6:$F$9,MIN(4,I6)),0)</f>
        <v>0</v>
      </c>
      <c r="J32" s="33" t="n">
        <f aca="false">IF(J6&lt;=4,J8*Inputs!$C$9*INDEX(Inputs!$F$6:$F$9,MIN(4,J6)),0)</f>
        <v>0</v>
      </c>
      <c r="K32" s="33" t="n">
        <f aca="false">IF(K6&lt;=4,K8*Inputs!$C$9*INDEX(Inputs!$F$6:$F$9,MIN(4,K6)),0)</f>
        <v>0</v>
      </c>
      <c r="L32" s="33" t="n">
        <f aca="false">IF(L6&lt;=4,L8*Inputs!$C$9*INDEX(Inputs!$F$6:$F$9,MIN(4,L6)),0)</f>
        <v>0</v>
      </c>
      <c r="M32" s="33" t="n">
        <f aca="false">IF(M6&lt;=4,M8*Inputs!$C$9*INDEX(Inputs!$F$6:$F$9,MIN(4,M6)),0)</f>
        <v>0</v>
      </c>
      <c r="N32" s="33" t="n">
        <f aca="false">IF(N6&lt;=4,N8*Inputs!$C$9*INDEX(Inputs!$F$6:$F$9,MIN(4,N6)),0)</f>
        <v>0</v>
      </c>
      <c r="O32" s="33" t="n">
        <f aca="false">IF(O6&lt;=4,O8*Inputs!$C$9*INDEX(Inputs!$F$6:$F$9,MIN(4,O6)),0)</f>
        <v>0</v>
      </c>
      <c r="P32" s="33" t="n">
        <f aca="false">IF(P6&lt;=4,P8*Inputs!$C$9*INDEX(Inputs!$F$6:$F$9,MIN(4,P6)),0)</f>
        <v>0</v>
      </c>
      <c r="Q32" s="33" t="n">
        <f aca="false">IF(Q6&lt;=4,Q8*Inputs!$C$9*INDEX(Inputs!$F$6:$F$9,MIN(4,Q6)),0)</f>
        <v>0</v>
      </c>
      <c r="R32" s="33" t="n">
        <f aca="false">IF(R6&lt;=4,R8*Inputs!$C$9*INDEX(Inputs!$F$6:$F$9,MIN(4,R6)),0)</f>
        <v>0</v>
      </c>
      <c r="S32" s="33" t="n">
        <f aca="false">IF(S6&lt;=4,S8*Inputs!$C$9*INDEX(Inputs!$F$6:$F$9,MIN(4,S6)),0)</f>
        <v>0</v>
      </c>
      <c r="T32" s="33" t="n">
        <f aca="false">IF(T6&lt;=4,T8*Inputs!$C$9*INDEX(Inputs!$F$6:$F$9,MIN(4,T6)),0)</f>
        <v>0</v>
      </c>
      <c r="U32" s="33" t="n">
        <f aca="false">IF(U6&lt;=4,U8*Inputs!$C$9*INDEX(Inputs!$F$6:$F$9,MIN(4,U6)),0)</f>
        <v>0</v>
      </c>
      <c r="V32" s="33" t="n">
        <f aca="false">IF(V6&lt;=4,V8*Inputs!$C$9*INDEX(Inputs!$F$6:$F$9,MIN(4,V6)),0)</f>
        <v>0</v>
      </c>
      <c r="W32" s="33" t="n">
        <f aca="false">IF(W6&lt;=4,W8*Inputs!$C$9*INDEX(Inputs!$F$6:$F$9,MIN(4,W6)),0)</f>
        <v>0</v>
      </c>
      <c r="X32" s="33" t="n">
        <f aca="false">IF(X6&lt;=4,X8*Inputs!$C$9*INDEX(Inputs!$F$6:$F$9,MIN(4,X6)),0)</f>
        <v>0</v>
      </c>
      <c r="Y32" s="33" t="n">
        <f aca="false">IF(Y6&lt;=4,Y8*Inputs!$C$9*INDEX(Inputs!$F$6:$F$9,MIN(4,Y6)),0)</f>
        <v>0</v>
      </c>
      <c r="Z32" s="33" t="n">
        <f aca="false">IF(Z6&lt;=4,Z8*Inputs!$C$9*INDEX(Inputs!$F$6:$F$9,MIN(4,Z6)),0)</f>
        <v>0</v>
      </c>
      <c r="AA32" s="33" t="n">
        <f aca="false">IF(AA6&lt;=4,AA8*Inputs!$C$9*INDEX(Inputs!$F$6:$F$9,MIN(4,AA6)),0)</f>
        <v>0</v>
      </c>
      <c r="AB32" s="33" t="n">
        <f aca="false">IF(AB6&lt;=4,AB8*Inputs!$C$9*INDEX(Inputs!$F$6:$F$9,MIN(4,AB6)),0)</f>
        <v>0</v>
      </c>
      <c r="AC32" s="33" t="n">
        <f aca="false">IF(AC6&lt;=4,AC8*Inputs!$C$9*INDEX(Inputs!$F$6:$F$9,MIN(4,AC6)),0)</f>
        <v>0</v>
      </c>
      <c r="AD32" s="33" t="n">
        <f aca="false">IF(AD6&lt;=4,AD8*Inputs!$C$9*INDEX(Inputs!$F$6:$F$9,MIN(4,AD6)),0)</f>
        <v>0</v>
      </c>
      <c r="AE32" s="33" t="n">
        <f aca="false">IF(AE6&lt;=4,AE8*Inputs!$C$9*INDEX(Inputs!$F$6:$F$9,MIN(4,AE6)),0)</f>
        <v>0</v>
      </c>
      <c r="AF32" s="33" t="n">
        <f aca="false">IF(AF6&lt;=4,AF8*Inputs!$C$9*INDEX(Inputs!$F$6:$F$9,MIN(4,AF6)),0)</f>
        <v>0</v>
      </c>
      <c r="AG32" s="33" t="n">
        <f aca="false">IF(AG6&lt;=4,AG8*Inputs!$C$9*INDEX(Inputs!$F$6:$F$9,MIN(4,AG6)),0)</f>
        <v>0</v>
      </c>
    </row>
    <row r="33" customFormat="false" ht="15" hidden="false" customHeight="false" outlineLevel="0" collapsed="false">
      <c r="A33" s="9" t="s">
        <v>139</v>
      </c>
      <c r="C33" s="26" t="n">
        <f aca="false">SUM(D33:AG33)</f>
        <v>2300</v>
      </c>
      <c r="D33" s="33" t="n">
        <f aca="false">IF(Inputs!$C$40&lt;=0,0,D9*Inputs!$C$9/Inputs!$C$40)</f>
        <v>0</v>
      </c>
      <c r="E33" s="33" t="n">
        <f aca="false">IF(Inputs!$C$40&lt;=0,0,E9*Inputs!$C$9/Inputs!$C$40)</f>
        <v>0</v>
      </c>
      <c r="F33" s="33" t="n">
        <f aca="false">IF(Inputs!$C$40&lt;=0,0,F9*Inputs!$C$9/Inputs!$C$40)</f>
        <v>127.777777777778</v>
      </c>
      <c r="G33" s="33" t="n">
        <f aca="false">IF(Inputs!$C$40&lt;=0,0,G9*Inputs!$C$9/Inputs!$C$40)</f>
        <v>127.777777777778</v>
      </c>
      <c r="H33" s="33" t="n">
        <f aca="false">IF(Inputs!$C$40&lt;=0,0,H9*Inputs!$C$9/Inputs!$C$40)</f>
        <v>127.777777777778</v>
      </c>
      <c r="I33" s="33" t="n">
        <f aca="false">IF(Inputs!$C$40&lt;=0,0,I9*Inputs!$C$9/Inputs!$C$40)</f>
        <v>127.777777777778</v>
      </c>
      <c r="J33" s="33" t="n">
        <f aca="false">IF(Inputs!$C$40&lt;=0,0,J9*Inputs!$C$9/Inputs!$C$40)</f>
        <v>127.777777777778</v>
      </c>
      <c r="K33" s="33" t="n">
        <f aca="false">IF(Inputs!$C$40&lt;=0,0,K9*Inputs!$C$9/Inputs!$C$40)</f>
        <v>127.777777777778</v>
      </c>
      <c r="L33" s="33" t="n">
        <f aca="false">IF(Inputs!$C$40&lt;=0,0,L9*Inputs!$C$9/Inputs!$C$40)</f>
        <v>127.777777777778</v>
      </c>
      <c r="M33" s="33" t="n">
        <f aca="false">IF(Inputs!$C$40&lt;=0,0,M9*Inputs!$C$9/Inputs!$C$40)</f>
        <v>127.777777777778</v>
      </c>
      <c r="N33" s="33" t="n">
        <f aca="false">IF(Inputs!$C$40&lt;=0,0,N9*Inputs!$C$9/Inputs!$C$40)</f>
        <v>127.777777777778</v>
      </c>
      <c r="O33" s="33" t="n">
        <f aca="false">IF(Inputs!$C$40&lt;=0,0,O9*Inputs!$C$9/Inputs!$C$40)</f>
        <v>127.777777777778</v>
      </c>
      <c r="P33" s="33" t="n">
        <f aca="false">IF(Inputs!$C$40&lt;=0,0,P9*Inputs!$C$9/Inputs!$C$40)</f>
        <v>127.777777777778</v>
      </c>
      <c r="Q33" s="33" t="n">
        <f aca="false">IF(Inputs!$C$40&lt;=0,0,Q9*Inputs!$C$9/Inputs!$C$40)</f>
        <v>127.777777777778</v>
      </c>
      <c r="R33" s="33" t="n">
        <f aca="false">IF(Inputs!$C$40&lt;=0,0,R9*Inputs!$C$9/Inputs!$C$40)</f>
        <v>127.777777777778</v>
      </c>
      <c r="S33" s="33" t="n">
        <f aca="false">IF(Inputs!$C$40&lt;=0,0,S9*Inputs!$C$9/Inputs!$C$40)</f>
        <v>127.777777777778</v>
      </c>
      <c r="T33" s="33" t="n">
        <f aca="false">IF(Inputs!$C$40&lt;=0,0,T9*Inputs!$C$9/Inputs!$C$40)</f>
        <v>127.777777777778</v>
      </c>
      <c r="U33" s="33" t="n">
        <f aca="false">IF(Inputs!$C$40&lt;=0,0,U9*Inputs!$C$9/Inputs!$C$40)</f>
        <v>127.777777777778</v>
      </c>
      <c r="V33" s="33" t="n">
        <f aca="false">IF(Inputs!$C$40&lt;=0,0,V9*Inputs!$C$9/Inputs!$C$40)</f>
        <v>127.777777777778</v>
      </c>
      <c r="W33" s="33" t="n">
        <f aca="false">IF(Inputs!$C$40&lt;=0,0,W9*Inputs!$C$9/Inputs!$C$40)</f>
        <v>127.777777777778</v>
      </c>
      <c r="X33" s="33" t="n">
        <f aca="false">IF(Inputs!$C$40&lt;=0,0,X9*Inputs!$C$9/Inputs!$C$40)</f>
        <v>0</v>
      </c>
      <c r="Y33" s="33" t="n">
        <f aca="false">IF(Inputs!$C$40&lt;=0,0,Y9*Inputs!$C$9/Inputs!$C$40)</f>
        <v>0</v>
      </c>
      <c r="Z33" s="33" t="n">
        <f aca="false">IF(Inputs!$C$40&lt;=0,0,Z9*Inputs!$C$9/Inputs!$C$40)</f>
        <v>0</v>
      </c>
      <c r="AA33" s="33" t="n">
        <f aca="false">IF(Inputs!$C$40&lt;=0,0,AA9*Inputs!$C$9/Inputs!$C$40)</f>
        <v>0</v>
      </c>
      <c r="AB33" s="33" t="n">
        <f aca="false">IF(Inputs!$C$40&lt;=0,0,AB9*Inputs!$C$9/Inputs!$C$40)</f>
        <v>0</v>
      </c>
      <c r="AC33" s="33" t="n">
        <f aca="false">IF(Inputs!$C$40&lt;=0,0,AC9*Inputs!$C$9/Inputs!$C$40)</f>
        <v>0</v>
      </c>
      <c r="AD33" s="33" t="n">
        <f aca="false">IF(Inputs!$C$40&lt;=0,0,AD9*Inputs!$C$9/Inputs!$C$40)</f>
        <v>0</v>
      </c>
      <c r="AE33" s="33" t="n">
        <f aca="false">IF(Inputs!$C$40&lt;=0,0,AE9*Inputs!$C$9/Inputs!$C$40)</f>
        <v>0</v>
      </c>
      <c r="AF33" s="33" t="n">
        <f aca="false">IF(Inputs!$C$40&lt;=0,0,AF9*Inputs!$C$9/Inputs!$C$40)</f>
        <v>0</v>
      </c>
      <c r="AG33" s="33" t="n">
        <f aca="false">IF(Inputs!$C$40&lt;=0,0,AG9*Inputs!$C$9/Inputs!$C$40)</f>
        <v>0</v>
      </c>
    </row>
    <row r="34" customFormat="false" ht="15" hidden="false" customHeight="false" outlineLevel="0" collapsed="false">
      <c r="A34" s="9" t="s">
        <v>140</v>
      </c>
      <c r="C34" s="26" t="n">
        <f aca="false">SUM(D34:AG34)</f>
        <v>2289.25117819089</v>
      </c>
      <c r="D34" s="33" t="n">
        <f aca="false">MAX(0,D28-D33)*Inputs!$C$19</f>
        <v>0</v>
      </c>
      <c r="E34" s="33" t="n">
        <f aca="false">MAX(0,E28-E33)*Inputs!$C$19</f>
        <v>0</v>
      </c>
      <c r="F34" s="33" t="n">
        <f aca="false">MAX(0,F28-F33)*Inputs!$C$19</f>
        <v>29.3210905288889</v>
      </c>
      <c r="G34" s="33" t="n">
        <f aca="false">MAX(0,G28-G33)*Inputs!$C$19</f>
        <v>35.9264531076753</v>
      </c>
      <c r="H34" s="33" t="n">
        <f aca="false">MAX(0,H28-H33)*Inputs!$C$19</f>
        <v>43.220801735787</v>
      </c>
      <c r="I34" s="33" t="n">
        <f aca="false">MAX(0,I28-I33)*Inputs!$C$19</f>
        <v>51.2751077773562</v>
      </c>
      <c r="J34" s="33" t="n">
        <f aca="false">MAX(0,J28-J33)*Inputs!$C$19</f>
        <v>32.6349431607817</v>
      </c>
      <c r="K34" s="33" t="n">
        <f aca="false">MAX(0,K28-K33)*Inputs!$C$19</f>
        <v>69.9846013011416</v>
      </c>
      <c r="L34" s="33" t="n">
        <f aca="false">MAX(0,L28-L33)*Inputs!$C$19</f>
        <v>80.8211668277069</v>
      </c>
      <c r="M34" s="33" t="n">
        <f aca="false">MAX(0,M28-M33)*Inputs!$C$19</f>
        <v>92.782172904301</v>
      </c>
      <c r="N34" s="33" t="n">
        <f aca="false">MAX(0,N28-N33)*Inputs!$C$19</f>
        <v>105.98322383647</v>
      </c>
      <c r="O34" s="33" t="n">
        <f aca="false">MAX(0,O28-O33)*Inputs!$C$19</f>
        <v>85.4123253830173</v>
      </c>
      <c r="P34" s="33" t="n">
        <f aca="false">MAX(0,P28-P33)*Inputs!$C$19</f>
        <v>136.6283268967</v>
      </c>
      <c r="Q34" s="33" t="n">
        <f aca="false">MAX(0,Q28-Q33)*Inputs!$C$19</f>
        <v>154.367802659538</v>
      </c>
      <c r="R34" s="33" t="n">
        <f aca="false">MAX(0,R28-R33)*Inputs!$C$19</f>
        <v>173.940984205373</v>
      </c>
      <c r="S34" s="33" t="n">
        <f aca="false">MAX(0,S28-S33)*Inputs!$C$19</f>
        <v>195.536158735406</v>
      </c>
      <c r="T34" s="33" t="n">
        <f aca="false">MAX(0,T28-T33)*Inputs!$C$19</f>
        <v>174.51308194358</v>
      </c>
      <c r="U34" s="33" t="n">
        <f aca="false">MAX(0,U28-U33)*Inputs!$C$19</f>
        <v>245.644089131988</v>
      </c>
      <c r="V34" s="33" t="n">
        <f aca="false">MAX(0,V28-V33)*Inputs!$C$19</f>
        <v>274.638009685143</v>
      </c>
      <c r="W34" s="33" t="n">
        <f aca="false">MAX(0,W28-W33)*Inputs!$C$19</f>
        <v>306.620838370036</v>
      </c>
      <c r="X34" s="33" t="n">
        <f aca="false">MAX(0,X28-X33)*Inputs!$C$19</f>
        <v>0</v>
      </c>
      <c r="Y34" s="33" t="n">
        <f aca="false">MAX(0,Y28-Y33)*Inputs!$C$19</f>
        <v>0</v>
      </c>
      <c r="Z34" s="33" t="n">
        <f aca="false">MAX(0,Z28-Z33)*Inputs!$C$19</f>
        <v>0</v>
      </c>
      <c r="AA34" s="33" t="n">
        <f aca="false">MAX(0,AA28-AA33)*Inputs!$C$19</f>
        <v>0</v>
      </c>
      <c r="AB34" s="33" t="n">
        <f aca="false">MAX(0,AB28-AB33)*Inputs!$C$19</f>
        <v>0</v>
      </c>
      <c r="AC34" s="33" t="n">
        <f aca="false">MAX(0,AC28-AC33)*Inputs!$C$19</f>
        <v>0</v>
      </c>
      <c r="AD34" s="33" t="n">
        <f aca="false">MAX(0,AD28-AD33)*Inputs!$C$19</f>
        <v>0</v>
      </c>
      <c r="AE34" s="33" t="n">
        <f aca="false">MAX(0,AE28-AE33)*Inputs!$C$19</f>
        <v>0</v>
      </c>
      <c r="AF34" s="33" t="n">
        <f aca="false">MAX(0,AF28-AF33)*Inputs!$C$19</f>
        <v>0</v>
      </c>
      <c r="AG34" s="33" t="n">
        <f aca="false">MAX(0,AG28-AG33)*Inputs!$C$19</f>
        <v>0</v>
      </c>
    </row>
    <row r="35" customFormat="false" ht="15" hidden="false" customHeight="false" outlineLevel="0" collapsed="false">
      <c r="A35" s="9" t="s">
        <v>141</v>
      </c>
      <c r="C35" s="26" t="n">
        <f aca="false">SUM(D35:AG35)</f>
        <v>9106.62921830819</v>
      </c>
      <c r="D35" s="33" t="n">
        <f aca="false">D28-D34</f>
        <v>0</v>
      </c>
      <c r="E35" s="33" t="n">
        <f aca="false">E28-E34</f>
        <v>0</v>
      </c>
      <c r="F35" s="33" t="n">
        <f aca="false">F28-F34</f>
        <v>214.958159471111</v>
      </c>
      <c r="G35" s="33" t="n">
        <f aca="false">G28-G34</f>
        <v>234.597880247325</v>
      </c>
      <c r="H35" s="33" t="n">
        <f aca="false">H28-H34</f>
        <v>256.28616284979</v>
      </c>
      <c r="I35" s="33" t="n">
        <f aca="false">I28-I34</f>
        <v>280.234026394876</v>
      </c>
      <c r="J35" s="33" t="n">
        <f aca="false">J28-J34</f>
        <v>224.81123560548</v>
      </c>
      <c r="K35" s="33" t="n">
        <f aca="false">K28-K34</f>
        <v>335.862952784414</v>
      </c>
      <c r="L35" s="33" t="n">
        <f aca="false">L28-L34</f>
        <v>368.083306864354</v>
      </c>
      <c r="M35" s="33" t="n">
        <f aca="false">M28-M34</f>
        <v>403.646959388341</v>
      </c>
      <c r="N35" s="33" t="n">
        <f aca="false">N28-N34</f>
        <v>442.897636571911</v>
      </c>
      <c r="O35" s="33" t="n">
        <f aca="false">O28-O34</f>
        <v>381.734195970004</v>
      </c>
      <c r="P35" s="33" t="n">
        <f aca="false">P28-P34</f>
        <v>534.014703967139</v>
      </c>
      <c r="Q35" s="33" t="n">
        <f aca="false">Q28-Q34</f>
        <v>586.759477103053</v>
      </c>
      <c r="R35" s="33" t="n">
        <f aca="false">R28-R34</f>
        <v>644.956406594389</v>
      </c>
      <c r="S35" s="33" t="n">
        <f aca="false">S28-S34</f>
        <v>709.165326668747</v>
      </c>
      <c r="T35" s="33" t="n">
        <f aca="false">T28-T34</f>
        <v>646.657424472072</v>
      </c>
      <c r="U35" s="33" t="n">
        <f aca="false">U28-U34</f>
        <v>858.151207447394</v>
      </c>
      <c r="V35" s="33" t="n">
        <f aca="false">V28-V34</f>
        <v>944.358814839071</v>
      </c>
      <c r="W35" s="33" t="n">
        <f aca="false">W28-W34</f>
        <v>1039.45334106872</v>
      </c>
      <c r="X35" s="33" t="n">
        <f aca="false">X28-X34</f>
        <v>0</v>
      </c>
      <c r="Y35" s="33" t="n">
        <f aca="false">Y28-Y34</f>
        <v>0</v>
      </c>
      <c r="Z35" s="33" t="n">
        <f aca="false">Z28-Z34</f>
        <v>0</v>
      </c>
      <c r="AA35" s="33" t="n">
        <f aca="false">AA28-AA34</f>
        <v>0</v>
      </c>
      <c r="AB35" s="33" t="n">
        <f aca="false">AB28-AB34</f>
        <v>0</v>
      </c>
      <c r="AC35" s="33" t="n">
        <f aca="false">AC28-AC34</f>
        <v>0</v>
      </c>
      <c r="AD35" s="33" t="n">
        <f aca="false">AD28-AD34</f>
        <v>0</v>
      </c>
      <c r="AE35" s="33" t="n">
        <f aca="false">AE28-AE34</f>
        <v>0</v>
      </c>
      <c r="AF35" s="33" t="n">
        <f aca="false">AF28-AF34</f>
        <v>0</v>
      </c>
      <c r="AG35" s="33" t="n">
        <f aca="false">AG28-AG34</f>
        <v>0</v>
      </c>
    </row>
    <row r="36" customFormat="false" ht="15" hidden="false" customHeight="false" outlineLevel="0" collapsed="false">
      <c r="A36" s="14" t="s">
        <v>142</v>
      </c>
      <c r="C36" s="26" t="n">
        <f aca="false">SUM(D36:AG36)</f>
        <v>6806.62921830819</v>
      </c>
      <c r="D36" s="36" t="n">
        <f aca="false">-D32+D35</f>
        <v>-1035</v>
      </c>
      <c r="E36" s="36" t="n">
        <f aca="false">-E32+E35</f>
        <v>-1265</v>
      </c>
      <c r="F36" s="36" t="n">
        <f aca="false">-F32+F35</f>
        <v>214.958159471111</v>
      </c>
      <c r="G36" s="36" t="n">
        <f aca="false">-G32+G35</f>
        <v>234.597880247325</v>
      </c>
      <c r="H36" s="36" t="n">
        <f aca="false">-H32+H35</f>
        <v>256.28616284979</v>
      </c>
      <c r="I36" s="36" t="n">
        <f aca="false">-I32+I35</f>
        <v>280.234026394876</v>
      </c>
      <c r="J36" s="36" t="n">
        <f aca="false">-J32+J35</f>
        <v>224.81123560548</v>
      </c>
      <c r="K36" s="36" t="n">
        <f aca="false">-K32+K35</f>
        <v>335.862952784414</v>
      </c>
      <c r="L36" s="36" t="n">
        <f aca="false">-L32+L35</f>
        <v>368.083306864354</v>
      </c>
      <c r="M36" s="36" t="n">
        <f aca="false">-M32+M35</f>
        <v>403.646959388341</v>
      </c>
      <c r="N36" s="36" t="n">
        <f aca="false">-N32+N35</f>
        <v>442.897636571911</v>
      </c>
      <c r="O36" s="36" t="n">
        <f aca="false">-O32+O35</f>
        <v>381.734195970004</v>
      </c>
      <c r="P36" s="36" t="n">
        <f aca="false">-P32+P35</f>
        <v>534.014703967139</v>
      </c>
      <c r="Q36" s="36" t="n">
        <f aca="false">-Q32+Q35</f>
        <v>586.759477103053</v>
      </c>
      <c r="R36" s="36" t="n">
        <f aca="false">-R32+R35</f>
        <v>644.956406594389</v>
      </c>
      <c r="S36" s="36" t="n">
        <f aca="false">-S32+S35</f>
        <v>709.165326668747</v>
      </c>
      <c r="T36" s="36" t="n">
        <f aca="false">-T32+T35</f>
        <v>646.657424472072</v>
      </c>
      <c r="U36" s="36" t="n">
        <f aca="false">-U32+U35</f>
        <v>858.151207447394</v>
      </c>
      <c r="V36" s="36" t="n">
        <f aca="false">-V32+V35</f>
        <v>944.358814839071</v>
      </c>
      <c r="W36" s="36" t="n">
        <f aca="false">-W32+W35</f>
        <v>1039.45334106872</v>
      </c>
      <c r="X36" s="36" t="n">
        <f aca="false">-X32+X35</f>
        <v>0</v>
      </c>
      <c r="Y36" s="36" t="n">
        <f aca="false">-Y32+Y35</f>
        <v>0</v>
      </c>
      <c r="Z36" s="36" t="n">
        <f aca="false">-Z32+Z35</f>
        <v>0</v>
      </c>
      <c r="AA36" s="36" t="n">
        <f aca="false">-AA32+AA35</f>
        <v>0</v>
      </c>
      <c r="AB36" s="36" t="n">
        <f aca="false">-AB32+AB35</f>
        <v>0</v>
      </c>
      <c r="AC36" s="36" t="n">
        <f aca="false">-AC32+AC35</f>
        <v>0</v>
      </c>
      <c r="AD36" s="36" t="n">
        <f aca="false">-AD32+AD35</f>
        <v>0</v>
      </c>
      <c r="AE36" s="36" t="n">
        <f aca="false">-AE32+AE35</f>
        <v>0</v>
      </c>
      <c r="AF36" s="36" t="n">
        <f aca="false">-AF32+AF35</f>
        <v>0</v>
      </c>
      <c r="AG36" s="36" t="n">
        <f aca="false">-AG32+AG35</f>
        <v>0</v>
      </c>
    </row>
    <row r="38" customFormat="false" ht="15" hidden="false" customHeight="false" outlineLevel="0" collapsed="false">
      <c r="A38" s="4" t="s">
        <v>143</v>
      </c>
    </row>
    <row r="39" customFormat="false" ht="15" hidden="false" customHeight="false" outlineLevel="0" collapsed="false">
      <c r="A39" s="9" t="s">
        <v>144</v>
      </c>
      <c r="C39" s="26" t="n">
        <f aca="false">SUM(D39:AG39)</f>
        <v>1610</v>
      </c>
      <c r="D39" s="33" t="n">
        <f aca="false">D32*Inputs!$C$12</f>
        <v>724.5</v>
      </c>
      <c r="E39" s="33" t="n">
        <f aca="false">E32*Inputs!$C$12</f>
        <v>885.5</v>
      </c>
      <c r="F39" s="33" t="n">
        <f aca="false">F32*Inputs!$C$12</f>
        <v>0</v>
      </c>
      <c r="G39" s="33" t="n">
        <f aca="false">G32*Inputs!$C$12</f>
        <v>0</v>
      </c>
      <c r="H39" s="33" t="n">
        <f aca="false">H32*Inputs!$C$12</f>
        <v>0</v>
      </c>
      <c r="I39" s="33" t="n">
        <f aca="false">I32*Inputs!$C$12</f>
        <v>0</v>
      </c>
      <c r="J39" s="33" t="n">
        <f aca="false">J32*Inputs!$C$12</f>
        <v>0</v>
      </c>
      <c r="K39" s="33" t="n">
        <f aca="false">K32*Inputs!$C$12</f>
        <v>0</v>
      </c>
      <c r="L39" s="33" t="n">
        <f aca="false">L32*Inputs!$C$12</f>
        <v>0</v>
      </c>
      <c r="M39" s="33" t="n">
        <f aca="false">M32*Inputs!$C$12</f>
        <v>0</v>
      </c>
      <c r="N39" s="33" t="n">
        <f aca="false">N32*Inputs!$C$12</f>
        <v>0</v>
      </c>
      <c r="O39" s="33" t="n">
        <f aca="false">O32*Inputs!$C$12</f>
        <v>0</v>
      </c>
      <c r="P39" s="33" t="n">
        <f aca="false">P32*Inputs!$C$12</f>
        <v>0</v>
      </c>
      <c r="Q39" s="33" t="n">
        <f aca="false">Q32*Inputs!$C$12</f>
        <v>0</v>
      </c>
      <c r="R39" s="33" t="n">
        <f aca="false">R32*Inputs!$C$12</f>
        <v>0</v>
      </c>
      <c r="S39" s="33" t="n">
        <f aca="false">S32*Inputs!$C$12</f>
        <v>0</v>
      </c>
      <c r="T39" s="33" t="n">
        <f aca="false">T32*Inputs!$C$12</f>
        <v>0</v>
      </c>
      <c r="U39" s="33" t="n">
        <f aca="false">U32*Inputs!$C$12</f>
        <v>0</v>
      </c>
      <c r="V39" s="33" t="n">
        <f aca="false">V32*Inputs!$C$12</f>
        <v>0</v>
      </c>
      <c r="W39" s="33" t="n">
        <f aca="false">W32*Inputs!$C$12</f>
        <v>0</v>
      </c>
      <c r="X39" s="33" t="n">
        <f aca="false">X32*Inputs!$C$12</f>
        <v>0</v>
      </c>
      <c r="Y39" s="33" t="n">
        <f aca="false">Y32*Inputs!$C$12</f>
        <v>0</v>
      </c>
      <c r="Z39" s="33" t="n">
        <f aca="false">Z32*Inputs!$C$12</f>
        <v>0</v>
      </c>
      <c r="AA39" s="33" t="n">
        <f aca="false">AA32*Inputs!$C$12</f>
        <v>0</v>
      </c>
      <c r="AB39" s="33" t="n">
        <f aca="false">AB32*Inputs!$C$12</f>
        <v>0</v>
      </c>
      <c r="AC39" s="33" t="n">
        <f aca="false">AC32*Inputs!$C$12</f>
        <v>0</v>
      </c>
      <c r="AD39" s="33" t="n">
        <f aca="false">AD32*Inputs!$C$12</f>
        <v>0</v>
      </c>
      <c r="AE39" s="33" t="n">
        <f aca="false">AE32*Inputs!$C$12</f>
        <v>0</v>
      </c>
      <c r="AF39" s="33" t="n">
        <f aca="false">AF32*Inputs!$C$12</f>
        <v>0</v>
      </c>
      <c r="AG39" s="33" t="n">
        <f aca="false">AG32*Inputs!$C$12</f>
        <v>0</v>
      </c>
    </row>
    <row r="40" customFormat="false" ht="15" hidden="false" customHeight="false" outlineLevel="0" collapsed="false">
      <c r="A40" s="9" t="s">
        <v>145</v>
      </c>
      <c r="D40" s="22" t="n">
        <f aca="false">IF(AND(D9=1,D10&gt;Inputs!$C$14,D10&lt;=Inputs!$C$14+Inputs!$C$15),1,0)</f>
        <v>0</v>
      </c>
      <c r="E40" s="22" t="n">
        <f aca="false">IF(AND(E9=1,E10&gt;Inputs!$C$14,E10&lt;=Inputs!$C$14+Inputs!$C$15),1,0)</f>
        <v>0</v>
      </c>
      <c r="F40" s="22" t="n">
        <f aca="false">IF(AND(F9=1,F10&gt;Inputs!$C$14,F10&lt;=Inputs!$C$14+Inputs!$C$15),1,0)</f>
        <v>0</v>
      </c>
      <c r="G40" s="22" t="n">
        <f aca="false">IF(AND(G9=1,G10&gt;Inputs!$C$14,G10&lt;=Inputs!$C$14+Inputs!$C$15),1,0)</f>
        <v>1</v>
      </c>
      <c r="H40" s="22" t="n">
        <f aca="false">IF(AND(H9=1,H10&gt;Inputs!$C$14,H10&lt;=Inputs!$C$14+Inputs!$C$15),1,0)</f>
        <v>1</v>
      </c>
      <c r="I40" s="22" t="n">
        <f aca="false">IF(AND(I9=1,I10&gt;Inputs!$C$14,I10&lt;=Inputs!$C$14+Inputs!$C$15),1,0)</f>
        <v>1</v>
      </c>
      <c r="J40" s="22" t="n">
        <f aca="false">IF(AND(J9=1,J10&gt;Inputs!$C$14,J10&lt;=Inputs!$C$14+Inputs!$C$15),1,0)</f>
        <v>1</v>
      </c>
      <c r="K40" s="22" t="n">
        <f aca="false">IF(AND(K9=1,K10&gt;Inputs!$C$14,K10&lt;=Inputs!$C$14+Inputs!$C$15),1,0)</f>
        <v>1</v>
      </c>
      <c r="L40" s="22" t="n">
        <f aca="false">IF(AND(L9=1,L10&gt;Inputs!$C$14,L10&lt;=Inputs!$C$14+Inputs!$C$15),1,0)</f>
        <v>1</v>
      </c>
      <c r="M40" s="22" t="n">
        <f aca="false">IF(AND(M9=1,M10&gt;Inputs!$C$14,M10&lt;=Inputs!$C$14+Inputs!$C$15),1,0)</f>
        <v>1</v>
      </c>
      <c r="N40" s="22" t="n">
        <f aca="false">IF(AND(N9=1,N10&gt;Inputs!$C$14,N10&lt;=Inputs!$C$14+Inputs!$C$15),1,0)</f>
        <v>1</v>
      </c>
      <c r="O40" s="22" t="n">
        <f aca="false">IF(AND(O9=1,O10&gt;Inputs!$C$14,O10&lt;=Inputs!$C$14+Inputs!$C$15),1,0)</f>
        <v>1</v>
      </c>
      <c r="P40" s="22" t="n">
        <f aca="false">IF(AND(P9=1,P10&gt;Inputs!$C$14,P10&lt;=Inputs!$C$14+Inputs!$C$15),1,0)</f>
        <v>1</v>
      </c>
      <c r="Q40" s="22" t="n">
        <f aca="false">IF(AND(Q9=1,Q10&gt;Inputs!$C$14,Q10&lt;=Inputs!$C$14+Inputs!$C$15),1,0)</f>
        <v>1</v>
      </c>
      <c r="R40" s="22" t="n">
        <f aca="false">IF(AND(R9=1,R10&gt;Inputs!$C$14,R10&lt;=Inputs!$C$14+Inputs!$C$15),1,0)</f>
        <v>1</v>
      </c>
      <c r="S40" s="22" t="n">
        <f aca="false">IF(AND(S9=1,S10&gt;Inputs!$C$14,S10&lt;=Inputs!$C$14+Inputs!$C$15),1,0)</f>
        <v>0</v>
      </c>
      <c r="T40" s="22" t="n">
        <f aca="false">IF(AND(T9=1,T10&gt;Inputs!$C$14,T10&lt;=Inputs!$C$14+Inputs!$C$15),1,0)</f>
        <v>0</v>
      </c>
      <c r="U40" s="22" t="n">
        <f aca="false">IF(AND(U9=1,U10&gt;Inputs!$C$14,U10&lt;=Inputs!$C$14+Inputs!$C$15),1,0)</f>
        <v>0</v>
      </c>
      <c r="V40" s="22" t="n">
        <f aca="false">IF(AND(V9=1,V10&gt;Inputs!$C$14,V10&lt;=Inputs!$C$14+Inputs!$C$15),1,0)</f>
        <v>0</v>
      </c>
      <c r="W40" s="22" t="n">
        <f aca="false">IF(AND(W9=1,W10&gt;Inputs!$C$14,W10&lt;=Inputs!$C$14+Inputs!$C$15),1,0)</f>
        <v>0</v>
      </c>
      <c r="X40" s="22" t="n">
        <f aca="false">IF(AND(X9=1,X10&gt;Inputs!$C$14,X10&lt;=Inputs!$C$14+Inputs!$C$15),1,0)</f>
        <v>0</v>
      </c>
      <c r="Y40" s="22" t="n">
        <f aca="false">IF(AND(Y9=1,Y10&gt;Inputs!$C$14,Y10&lt;=Inputs!$C$14+Inputs!$C$15),1,0)</f>
        <v>0</v>
      </c>
      <c r="Z40" s="22" t="n">
        <f aca="false">IF(AND(Z9=1,Z10&gt;Inputs!$C$14,Z10&lt;=Inputs!$C$14+Inputs!$C$15),1,0)</f>
        <v>0</v>
      </c>
      <c r="AA40" s="22" t="n">
        <f aca="false">IF(AND(AA9=1,AA10&gt;Inputs!$C$14,AA10&lt;=Inputs!$C$14+Inputs!$C$15),1,0)</f>
        <v>0</v>
      </c>
      <c r="AB40" s="22" t="n">
        <f aca="false">IF(AND(AB9=1,AB10&gt;Inputs!$C$14,AB10&lt;=Inputs!$C$14+Inputs!$C$15),1,0)</f>
        <v>0</v>
      </c>
      <c r="AC40" s="22" t="n">
        <f aca="false">IF(AND(AC9=1,AC10&gt;Inputs!$C$14,AC10&lt;=Inputs!$C$14+Inputs!$C$15),1,0)</f>
        <v>0</v>
      </c>
      <c r="AD40" s="22" t="n">
        <f aca="false">IF(AND(AD9=1,AD10&gt;Inputs!$C$14,AD10&lt;=Inputs!$C$14+Inputs!$C$15),1,0)</f>
        <v>0</v>
      </c>
      <c r="AE40" s="22" t="n">
        <f aca="false">IF(AND(AE9=1,AE10&gt;Inputs!$C$14,AE10&lt;=Inputs!$C$14+Inputs!$C$15),1,0)</f>
        <v>0</v>
      </c>
      <c r="AF40" s="22" t="n">
        <f aca="false">IF(AND(AF9=1,AF10&gt;Inputs!$C$14,AF10&lt;=Inputs!$C$14+Inputs!$C$15),1,0)</f>
        <v>0</v>
      </c>
      <c r="AG40" s="22" t="n">
        <f aca="false">IF(AND(AG9=1,AG10&gt;Inputs!$C$14,AG10&lt;=Inputs!$C$14+Inputs!$C$15),1,0)</f>
        <v>0</v>
      </c>
    </row>
    <row r="41" customFormat="false" ht="15" hidden="false" customHeight="false" outlineLevel="0" collapsed="false">
      <c r="A41" s="9" t="s">
        <v>146</v>
      </c>
      <c r="D41" s="22" t="n">
        <f aca="false">D40*(D10-Inputs!$C$14)</f>
        <v>-0</v>
      </c>
      <c r="E41" s="22" t="n">
        <f aca="false">E40*(E10-Inputs!$C$14)</f>
        <v>-0</v>
      </c>
      <c r="F41" s="22" t="n">
        <f aca="false">F40*(F10-Inputs!$C$14)</f>
        <v>0</v>
      </c>
      <c r="G41" s="22" t="n">
        <f aca="false">G40*(G10-Inputs!$C$14)</f>
        <v>1</v>
      </c>
      <c r="H41" s="22" t="n">
        <f aca="false">H40*(H10-Inputs!$C$14)</f>
        <v>2</v>
      </c>
      <c r="I41" s="22" t="n">
        <f aca="false">I40*(I10-Inputs!$C$14)</f>
        <v>3</v>
      </c>
      <c r="J41" s="22" t="n">
        <f aca="false">J40*(J10-Inputs!$C$14)</f>
        <v>4</v>
      </c>
      <c r="K41" s="22" t="n">
        <f aca="false">K40*(K10-Inputs!$C$14)</f>
        <v>5</v>
      </c>
      <c r="L41" s="22" t="n">
        <f aca="false">L40*(L10-Inputs!$C$14)</f>
        <v>6</v>
      </c>
      <c r="M41" s="22" t="n">
        <f aca="false">M40*(M10-Inputs!$C$14)</f>
        <v>7</v>
      </c>
      <c r="N41" s="22" t="n">
        <f aca="false">N40*(N10-Inputs!$C$14)</f>
        <v>8</v>
      </c>
      <c r="O41" s="22" t="n">
        <f aca="false">O40*(O10-Inputs!$C$14)</f>
        <v>9</v>
      </c>
      <c r="P41" s="22" t="n">
        <f aca="false">P40*(P10-Inputs!$C$14)</f>
        <v>10</v>
      </c>
      <c r="Q41" s="22" t="n">
        <f aca="false">Q40*(Q10-Inputs!$C$14)</f>
        <v>11</v>
      </c>
      <c r="R41" s="22" t="n">
        <f aca="false">R40*(R10-Inputs!$C$14)</f>
        <v>12</v>
      </c>
      <c r="S41" s="22" t="n">
        <f aca="false">S40*(S10-Inputs!$C$14)</f>
        <v>0</v>
      </c>
      <c r="T41" s="22" t="n">
        <f aca="false">T40*(T10-Inputs!$C$14)</f>
        <v>0</v>
      </c>
      <c r="U41" s="22" t="n">
        <f aca="false">U40*(U10-Inputs!$C$14)</f>
        <v>0</v>
      </c>
      <c r="V41" s="22" t="n">
        <f aca="false">V40*(V10-Inputs!$C$14)</f>
        <v>0</v>
      </c>
      <c r="W41" s="22" t="n">
        <f aca="false">W40*(W10-Inputs!$C$14)</f>
        <v>0</v>
      </c>
      <c r="X41" s="22" t="n">
        <f aca="false">X40*(X10-Inputs!$C$14)</f>
        <v>-0</v>
      </c>
      <c r="Y41" s="22" t="n">
        <f aca="false">Y40*(Y10-Inputs!$C$14)</f>
        <v>-0</v>
      </c>
      <c r="Z41" s="22" t="n">
        <f aca="false">Z40*(Z10-Inputs!$C$14)</f>
        <v>-0</v>
      </c>
      <c r="AA41" s="22" t="n">
        <f aca="false">AA40*(AA10-Inputs!$C$14)</f>
        <v>-0</v>
      </c>
      <c r="AB41" s="22" t="n">
        <f aca="false">AB40*(AB10-Inputs!$C$14)</f>
        <v>-0</v>
      </c>
      <c r="AC41" s="22" t="n">
        <f aca="false">AC40*(AC10-Inputs!$C$14)</f>
        <v>-0</v>
      </c>
      <c r="AD41" s="22" t="n">
        <f aca="false">AD40*(AD10-Inputs!$C$14)</f>
        <v>-0</v>
      </c>
      <c r="AE41" s="22" t="n">
        <f aca="false">AE40*(AE10-Inputs!$C$14)</f>
        <v>-0</v>
      </c>
      <c r="AF41" s="22" t="n">
        <f aca="false">AF40*(AF10-Inputs!$C$14)</f>
        <v>-0</v>
      </c>
      <c r="AG41" s="22" t="n">
        <f aca="false">AG40*(AG10-Inputs!$C$14)</f>
        <v>-0</v>
      </c>
    </row>
    <row r="42" customFormat="false" ht="15" hidden="false" customHeight="false" outlineLevel="0" collapsed="false">
      <c r="A42" s="9" t="s">
        <v>147</v>
      </c>
      <c r="B42" s="38" t="s">
        <v>148</v>
      </c>
      <c r="C42" s="39" t="n">
        <f aca="false">IF(SUMPRODUCT($D$35:$AG$35,$D$42:$AG$42)&lt;=0,0,Inputs!$C$42/SUMPRODUCT($D$35:$AG$35,$D$42:$AG$42))</f>
        <v>0.651757944565201</v>
      </c>
      <c r="D42" s="40" t="n">
        <f aca="false">IF(D40=1,1/(1+Inputs!$C$13)^D41,0)</f>
        <v>0</v>
      </c>
      <c r="E42" s="40" t="n">
        <f aca="false">IF(E40=1,1/(1+Inputs!$C$13)^E41,0)</f>
        <v>0</v>
      </c>
      <c r="F42" s="40" t="n">
        <f aca="false">IF(F40=1,1/(1+Inputs!$C$13)^F41,0)</f>
        <v>0</v>
      </c>
      <c r="G42" s="40" t="n">
        <f aca="false">IF(G40=1,1/(1+Inputs!$C$13)^G41,0)</f>
        <v>0.91324200913242</v>
      </c>
      <c r="H42" s="40" t="n">
        <f aca="false">IF(H40=1,1/(1+Inputs!$C$13)^H41,0)</f>
        <v>0.834010967244219</v>
      </c>
      <c r="I42" s="40" t="n">
        <f aca="false">IF(I40=1,1/(1+Inputs!$C$13)^I41,0)</f>
        <v>0.761653851364584</v>
      </c>
      <c r="J42" s="40" t="n">
        <f aca="false">IF(J40=1,1/(1+Inputs!$C$13)^J41,0)</f>
        <v>0.695574293483638</v>
      </c>
      <c r="K42" s="40" t="n">
        <f aca="false">IF(K40=1,1/(1+Inputs!$C$13)^K41,0)</f>
        <v>0.635227665281862</v>
      </c>
      <c r="L42" s="40" t="n">
        <f aca="false">IF(L40=1,1/(1+Inputs!$C$13)^L41,0)</f>
        <v>0.580116589298504</v>
      </c>
      <c r="M42" s="40" t="n">
        <f aca="false">IF(M40=1,1/(1+Inputs!$C$13)^M41,0)</f>
        <v>0.529786839542012</v>
      </c>
      <c r="N42" s="40" t="n">
        <f aca="false">IF(N40=1,1/(1+Inputs!$C$13)^N41,0)</f>
        <v>0.483823597755263</v>
      </c>
      <c r="O42" s="40" t="n">
        <f aca="false">IF(O40=1,1/(1+Inputs!$C$13)^O41,0)</f>
        <v>0.441848034479692</v>
      </c>
      <c r="P42" s="40" t="n">
        <f aca="false">IF(P40=1,1/(1+Inputs!$C$13)^P41,0)</f>
        <v>0.403514186739445</v>
      </c>
      <c r="Q42" s="40" t="n">
        <f aca="false">IF(Q40=1,1/(1+Inputs!$C$13)^Q41,0)</f>
        <v>0.368506106611365</v>
      </c>
      <c r="R42" s="40" t="n">
        <f aca="false">IF(R40=1,1/(1+Inputs!$C$13)^R41,0)</f>
        <v>0.336535257179329</v>
      </c>
      <c r="S42" s="40" t="n">
        <f aca="false">IF(S40=1,1/(1+Inputs!$C$13)^S41,0)</f>
        <v>0</v>
      </c>
      <c r="T42" s="40" t="n">
        <f aca="false">IF(T40=1,1/(1+Inputs!$C$13)^T41,0)</f>
        <v>0</v>
      </c>
      <c r="U42" s="40" t="n">
        <f aca="false">IF(U40=1,1/(1+Inputs!$C$13)^U41,0)</f>
        <v>0</v>
      </c>
      <c r="V42" s="40" t="n">
        <f aca="false">IF(V40=1,1/(1+Inputs!$C$13)^V41,0)</f>
        <v>0</v>
      </c>
      <c r="W42" s="40" t="n">
        <f aca="false">IF(W40=1,1/(1+Inputs!$C$13)^W41,0)</f>
        <v>0</v>
      </c>
      <c r="X42" s="40" t="n">
        <f aca="false">IF(X40=1,1/(1+Inputs!$C$13)^X41,0)</f>
        <v>0</v>
      </c>
      <c r="Y42" s="40" t="n">
        <f aca="false">IF(Y40=1,1/(1+Inputs!$C$13)^Y41,0)</f>
        <v>0</v>
      </c>
      <c r="Z42" s="40" t="n">
        <f aca="false">IF(Z40=1,1/(1+Inputs!$C$13)^Z41,0)</f>
        <v>0</v>
      </c>
      <c r="AA42" s="40" t="n">
        <f aca="false">IF(AA40=1,1/(1+Inputs!$C$13)^AA41,0)</f>
        <v>0</v>
      </c>
      <c r="AB42" s="40" t="n">
        <f aca="false">IF(AB40=1,1/(1+Inputs!$C$13)^AB41,0)</f>
        <v>0</v>
      </c>
      <c r="AC42" s="40" t="n">
        <f aca="false">IF(AC40=1,1/(1+Inputs!$C$13)^AC41,0)</f>
        <v>0</v>
      </c>
      <c r="AD42" s="40" t="n">
        <f aca="false">IF(AD40=1,1/(1+Inputs!$C$13)^AD41,0)</f>
        <v>0</v>
      </c>
      <c r="AE42" s="40" t="n">
        <f aca="false">IF(AE40=1,1/(1+Inputs!$C$13)^AE41,0)</f>
        <v>0</v>
      </c>
      <c r="AF42" s="40" t="n">
        <f aca="false">IF(AF40=1,1/(1+Inputs!$C$13)^AF41,0)</f>
        <v>0</v>
      </c>
      <c r="AG42" s="40" t="n">
        <f aca="false">IF(AG40=1,1/(1+Inputs!$C$13)^AG41,0)</f>
        <v>0</v>
      </c>
    </row>
    <row r="43" customFormat="false" ht="15" hidden="false" customHeight="false" outlineLevel="0" collapsed="false">
      <c r="A43" s="9" t="s">
        <v>149</v>
      </c>
      <c r="D43" s="33" t="n">
        <f aca="false">0</f>
        <v>0</v>
      </c>
      <c r="E43" s="33" t="n">
        <f aca="false">D47</f>
        <v>724.5</v>
      </c>
      <c r="F43" s="33" t="n">
        <f aca="false">E47</f>
        <v>1610</v>
      </c>
      <c r="G43" s="33" t="n">
        <f aca="false">F47</f>
        <v>1610</v>
      </c>
      <c r="H43" s="33" t="n">
        <f aca="false">G47</f>
        <v>1545.6</v>
      </c>
      <c r="I43" s="33" t="n">
        <f aca="false">H47</f>
        <v>1465.1</v>
      </c>
      <c r="J43" s="33" t="n">
        <f aca="false">I47</f>
        <v>1368.5</v>
      </c>
      <c r="K43" s="33" t="n">
        <f aca="false">J47</f>
        <v>1263.85</v>
      </c>
      <c r="L43" s="33" t="n">
        <f aca="false">K47</f>
        <v>1151.15</v>
      </c>
      <c r="M43" s="33" t="n">
        <f aca="false">L47</f>
        <v>1030.4</v>
      </c>
      <c r="N43" s="33" t="n">
        <f aca="false">M47</f>
        <v>901.6</v>
      </c>
      <c r="O43" s="33" t="n">
        <f aca="false">N47</f>
        <v>756.7</v>
      </c>
      <c r="P43" s="33" t="n">
        <f aca="false">O47</f>
        <v>595.7</v>
      </c>
      <c r="Q43" s="33" t="n">
        <f aca="false">P47</f>
        <v>418.6</v>
      </c>
      <c r="R43" s="33" t="n">
        <f aca="false">Q47</f>
        <v>225.4</v>
      </c>
      <c r="S43" s="33" t="n">
        <f aca="false">R47</f>
        <v>0</v>
      </c>
      <c r="T43" s="33" t="n">
        <f aca="false">S47</f>
        <v>0</v>
      </c>
      <c r="U43" s="33" t="n">
        <f aca="false">T47</f>
        <v>0</v>
      </c>
      <c r="V43" s="33" t="n">
        <f aca="false">U47</f>
        <v>0</v>
      </c>
      <c r="W43" s="33" t="n">
        <f aca="false">V47</f>
        <v>0</v>
      </c>
      <c r="X43" s="33" t="n">
        <f aca="false">W47</f>
        <v>0</v>
      </c>
      <c r="Y43" s="33" t="n">
        <f aca="false">X47</f>
        <v>0</v>
      </c>
      <c r="Z43" s="33" t="n">
        <f aca="false">Y47</f>
        <v>0</v>
      </c>
      <c r="AA43" s="33" t="n">
        <f aca="false">Z47</f>
        <v>0</v>
      </c>
      <c r="AB43" s="33" t="n">
        <f aca="false">AA47</f>
        <v>0</v>
      </c>
      <c r="AC43" s="33" t="n">
        <f aca="false">AB47</f>
        <v>0</v>
      </c>
      <c r="AD43" s="33" t="n">
        <f aca="false">AC47</f>
        <v>0</v>
      </c>
      <c r="AE43" s="33" t="n">
        <f aca="false">AD47</f>
        <v>0</v>
      </c>
      <c r="AF43" s="33" t="n">
        <f aca="false">AE47</f>
        <v>0</v>
      </c>
      <c r="AG43" s="33" t="n">
        <f aca="false">AF47</f>
        <v>0</v>
      </c>
    </row>
    <row r="44" customFormat="false" ht="15" hidden="false" customHeight="false" outlineLevel="0" collapsed="false">
      <c r="A44" s="9" t="s">
        <v>150</v>
      </c>
      <c r="C44" s="26" t="n">
        <f aca="false">SUM(D44:AG44)</f>
        <v>1324.547</v>
      </c>
      <c r="D44" s="33" t="n">
        <f aca="false">D9*D43*Inputs!$C$13</f>
        <v>0</v>
      </c>
      <c r="E44" s="33" t="n">
        <f aca="false">E9*E43*Inputs!$C$13</f>
        <v>0</v>
      </c>
      <c r="F44" s="33" t="n">
        <f aca="false">F9*F43*Inputs!$C$13</f>
        <v>152.95</v>
      </c>
      <c r="G44" s="33" t="n">
        <f aca="false">G9*G43*Inputs!$C$13</f>
        <v>152.95</v>
      </c>
      <c r="H44" s="33" t="n">
        <f aca="false">H9*H43*Inputs!$C$13</f>
        <v>146.832</v>
      </c>
      <c r="I44" s="33" t="n">
        <f aca="false">I9*I43*Inputs!$C$13</f>
        <v>139.1845</v>
      </c>
      <c r="J44" s="33" t="n">
        <f aca="false">J9*J43*Inputs!$C$13</f>
        <v>130.0075</v>
      </c>
      <c r="K44" s="33" t="n">
        <f aca="false">K9*K43*Inputs!$C$13</f>
        <v>120.06575</v>
      </c>
      <c r="L44" s="33" t="n">
        <f aca="false">L9*L43*Inputs!$C$13</f>
        <v>109.35925</v>
      </c>
      <c r="M44" s="33" t="n">
        <f aca="false">M9*M43*Inputs!$C$13</f>
        <v>97.888</v>
      </c>
      <c r="N44" s="33" t="n">
        <f aca="false">N9*N43*Inputs!$C$13</f>
        <v>85.652</v>
      </c>
      <c r="O44" s="33" t="n">
        <f aca="false">O9*O43*Inputs!$C$13</f>
        <v>71.8865</v>
      </c>
      <c r="P44" s="33" t="n">
        <f aca="false">P9*P43*Inputs!$C$13</f>
        <v>56.5915</v>
      </c>
      <c r="Q44" s="33" t="n">
        <f aca="false">Q9*Q43*Inputs!$C$13</f>
        <v>39.767</v>
      </c>
      <c r="R44" s="33" t="n">
        <f aca="false">R9*R43*Inputs!$C$13</f>
        <v>21.413</v>
      </c>
      <c r="S44" s="33" t="n">
        <f aca="false">S9*S43*Inputs!$C$13</f>
        <v>0</v>
      </c>
      <c r="T44" s="33" t="n">
        <f aca="false">T9*T43*Inputs!$C$13</f>
        <v>0</v>
      </c>
      <c r="U44" s="33" t="n">
        <f aca="false">U9*U43*Inputs!$C$13</f>
        <v>0</v>
      </c>
      <c r="V44" s="33" t="n">
        <f aca="false">V9*V43*Inputs!$C$13</f>
        <v>0</v>
      </c>
      <c r="W44" s="33" t="n">
        <f aca="false">W9*W43*Inputs!$C$13</f>
        <v>0</v>
      </c>
      <c r="X44" s="33" t="n">
        <f aca="false">X9*X43*Inputs!$C$13</f>
        <v>0</v>
      </c>
      <c r="Y44" s="33" t="n">
        <f aca="false">Y9*Y43*Inputs!$C$13</f>
        <v>0</v>
      </c>
      <c r="Z44" s="33" t="n">
        <f aca="false">Z9*Z43*Inputs!$C$13</f>
        <v>0</v>
      </c>
      <c r="AA44" s="33" t="n">
        <f aca="false">AA9*AA43*Inputs!$C$13</f>
        <v>0</v>
      </c>
      <c r="AB44" s="33" t="n">
        <f aca="false">AB9*AB43*Inputs!$C$13</f>
        <v>0</v>
      </c>
      <c r="AC44" s="33" t="n">
        <f aca="false">AC9*AC43*Inputs!$C$13</f>
        <v>0</v>
      </c>
      <c r="AD44" s="33" t="n">
        <f aca="false">AD9*AD43*Inputs!$C$13</f>
        <v>0</v>
      </c>
      <c r="AE44" s="33" t="n">
        <f aca="false">AE9*AE43*Inputs!$C$13</f>
        <v>0</v>
      </c>
      <c r="AF44" s="33" t="n">
        <f aca="false">AF9*AF43*Inputs!$C$13</f>
        <v>0</v>
      </c>
      <c r="AG44" s="33" t="n">
        <f aca="false">AG9*AG43*Inputs!$C$13</f>
        <v>0</v>
      </c>
    </row>
    <row r="45" customFormat="false" ht="15" hidden="false" customHeight="false" outlineLevel="0" collapsed="false">
      <c r="A45" s="9" t="s">
        <v>151</v>
      </c>
      <c r="C45" s="26" t="n">
        <f aca="false">SUM(D45:AG45)</f>
        <v>1610</v>
      </c>
      <c r="D45" s="33" t="n">
        <f aca="false">IF(D40=1,IF(Inputs!$I$6="Sculpted",MIN(D43,D35*$C$42-D44),MIN(D43,Inputs!$C$42*N(INDEX(Inputs!$I$10:$I$34,MIN(25,D41))))),0)</f>
        <v>0</v>
      </c>
      <c r="E45" s="33" t="n">
        <f aca="false">IF(E40=1,IF(Inputs!$I$6="Sculpted",MIN(E43,E35*$C$42-E44),MIN(E43,Inputs!$C$42*N(INDEX(Inputs!$I$10:$I$34,MIN(25,E41))))),0)</f>
        <v>0</v>
      </c>
      <c r="F45" s="33" t="n">
        <f aca="false">IF(F40=1,IF(Inputs!$I$6="Sculpted",MIN(F43,F35*$C$42-F44),MIN(F43,Inputs!$C$42*N(INDEX(Inputs!$I$10:$I$34,MIN(25,F41))))),0)</f>
        <v>0</v>
      </c>
      <c r="G45" s="33" t="n">
        <f aca="false">IF(G40=1,IF(Inputs!$I$6="Sculpted",MIN(G43,G35*$C$42-G44),MIN(G43,Inputs!$C$42*N(INDEX(Inputs!$I$10:$I$34,MIN(25,G41))))),0)</f>
        <v>64.4</v>
      </c>
      <c r="H45" s="33" t="n">
        <f aca="false">IF(H40=1,IF(Inputs!$I$6="Sculpted",MIN(H43,H35*$C$42-H44),MIN(H43,Inputs!$C$42*N(INDEX(Inputs!$I$10:$I$34,MIN(25,H41))))),0)</f>
        <v>80.5</v>
      </c>
      <c r="I45" s="33" t="n">
        <f aca="false">IF(I40=1,IF(Inputs!$I$6="Sculpted",MIN(I43,I35*$C$42-I44),MIN(I43,Inputs!$C$42*N(INDEX(Inputs!$I$10:$I$34,MIN(25,I41))))),0)</f>
        <v>96.6</v>
      </c>
      <c r="J45" s="33" t="n">
        <f aca="false">IF(J40=1,IF(Inputs!$I$6="Sculpted",MIN(J43,J35*$C$42-J44),MIN(J43,Inputs!$C$42*N(INDEX(Inputs!$I$10:$I$34,MIN(25,J41))))),0)</f>
        <v>104.65</v>
      </c>
      <c r="K45" s="33" t="n">
        <f aca="false">IF(K40=1,IF(Inputs!$I$6="Sculpted",MIN(K43,K35*$C$42-K44),MIN(K43,Inputs!$C$42*N(INDEX(Inputs!$I$10:$I$34,MIN(25,K41))))),0)</f>
        <v>112.7</v>
      </c>
      <c r="L45" s="33" t="n">
        <f aca="false">IF(L40=1,IF(Inputs!$I$6="Sculpted",MIN(L43,L35*$C$42-L44),MIN(L43,Inputs!$C$42*N(INDEX(Inputs!$I$10:$I$34,MIN(25,L41))))),0)</f>
        <v>120.75</v>
      </c>
      <c r="M45" s="33" t="n">
        <f aca="false">IF(M40=1,IF(Inputs!$I$6="Sculpted",MIN(M43,M35*$C$42-M44),MIN(M43,Inputs!$C$42*N(INDEX(Inputs!$I$10:$I$34,MIN(25,M41))))),0)</f>
        <v>128.8</v>
      </c>
      <c r="N45" s="33" t="n">
        <f aca="false">IF(N40=1,IF(Inputs!$I$6="Sculpted",MIN(N43,N35*$C$42-N44),MIN(N43,Inputs!$C$42*N(INDEX(Inputs!$I$10:$I$34,MIN(25,N41))))),0)</f>
        <v>144.9</v>
      </c>
      <c r="O45" s="33" t="n">
        <f aca="false">IF(O40=1,IF(Inputs!$I$6="Sculpted",MIN(O43,O35*$C$42-O44),MIN(O43,Inputs!$C$42*N(INDEX(Inputs!$I$10:$I$34,MIN(25,O41))))),0)</f>
        <v>161</v>
      </c>
      <c r="P45" s="33" t="n">
        <f aca="false">IF(P40=1,IF(Inputs!$I$6="Sculpted",MIN(P43,P35*$C$42-P44),MIN(P43,Inputs!$C$42*N(INDEX(Inputs!$I$10:$I$34,MIN(25,P41))))),0)</f>
        <v>177.1</v>
      </c>
      <c r="Q45" s="33" t="n">
        <f aca="false">IF(Q40=1,IF(Inputs!$I$6="Sculpted",MIN(Q43,Q35*$C$42-Q44),MIN(Q43,Inputs!$C$42*N(INDEX(Inputs!$I$10:$I$34,MIN(25,Q41))))),0)</f>
        <v>193.2</v>
      </c>
      <c r="R45" s="33" t="n">
        <f aca="false">IF(R40=1,IF(Inputs!$I$6="Sculpted",MIN(R43,R35*$C$42-R44),MIN(R43,Inputs!$C$42*N(INDEX(Inputs!$I$10:$I$34,MIN(25,R41))))),0)</f>
        <v>225.4</v>
      </c>
      <c r="S45" s="33" t="n">
        <f aca="false">IF(S40=1,IF(Inputs!$I$6="Sculpted",MIN(S43,S35*$C$42-S44),MIN(S43,Inputs!$C$42*N(INDEX(Inputs!$I$10:$I$34,MIN(25,S41))))),0)</f>
        <v>0</v>
      </c>
      <c r="T45" s="33" t="n">
        <f aca="false">IF(T40=1,IF(Inputs!$I$6="Sculpted",MIN(T43,T35*$C$42-T44),MIN(T43,Inputs!$C$42*N(INDEX(Inputs!$I$10:$I$34,MIN(25,T41))))),0)</f>
        <v>0</v>
      </c>
      <c r="U45" s="33" t="n">
        <f aca="false">IF(U40=1,IF(Inputs!$I$6="Sculpted",MIN(U43,U35*$C$42-U44),MIN(U43,Inputs!$C$42*N(INDEX(Inputs!$I$10:$I$34,MIN(25,U41))))),0)</f>
        <v>0</v>
      </c>
      <c r="V45" s="33" t="n">
        <f aca="false">IF(V40=1,IF(Inputs!$I$6="Sculpted",MIN(V43,V35*$C$42-V44),MIN(V43,Inputs!$C$42*N(INDEX(Inputs!$I$10:$I$34,MIN(25,V41))))),0)</f>
        <v>0</v>
      </c>
      <c r="W45" s="33" t="n">
        <f aca="false">IF(W40=1,IF(Inputs!$I$6="Sculpted",MIN(W43,W35*$C$42-W44),MIN(W43,Inputs!$C$42*N(INDEX(Inputs!$I$10:$I$34,MIN(25,W41))))),0)</f>
        <v>0</v>
      </c>
      <c r="X45" s="33" t="n">
        <f aca="false">IF(X40=1,IF(Inputs!$I$6="Sculpted",MIN(X43,X35*$C$42-X44),MIN(X43,Inputs!$C$42*N(INDEX(Inputs!$I$10:$I$34,MIN(25,X41))))),0)</f>
        <v>0</v>
      </c>
      <c r="Y45" s="33" t="n">
        <f aca="false">IF(Y40=1,IF(Inputs!$I$6="Sculpted",MIN(Y43,Y35*$C$42-Y44),MIN(Y43,Inputs!$C$42*N(INDEX(Inputs!$I$10:$I$34,MIN(25,Y41))))),0)</f>
        <v>0</v>
      </c>
      <c r="Z45" s="33" t="n">
        <f aca="false">IF(Z40=1,IF(Inputs!$I$6="Sculpted",MIN(Z43,Z35*$C$42-Z44),MIN(Z43,Inputs!$C$42*N(INDEX(Inputs!$I$10:$I$34,MIN(25,Z41))))),0)</f>
        <v>0</v>
      </c>
      <c r="AA45" s="33" t="n">
        <f aca="false">IF(AA40=1,IF(Inputs!$I$6="Sculpted",MIN(AA43,AA35*$C$42-AA44),MIN(AA43,Inputs!$C$42*N(INDEX(Inputs!$I$10:$I$34,MIN(25,AA41))))),0)</f>
        <v>0</v>
      </c>
      <c r="AB45" s="33" t="n">
        <f aca="false">IF(AB40=1,IF(Inputs!$I$6="Sculpted",MIN(AB43,AB35*$C$42-AB44),MIN(AB43,Inputs!$C$42*N(INDEX(Inputs!$I$10:$I$34,MIN(25,AB41))))),0)</f>
        <v>0</v>
      </c>
      <c r="AC45" s="33" t="n">
        <f aca="false">IF(AC40=1,IF(Inputs!$I$6="Sculpted",MIN(AC43,AC35*$C$42-AC44),MIN(AC43,Inputs!$C$42*N(INDEX(Inputs!$I$10:$I$34,MIN(25,AC41))))),0)</f>
        <v>0</v>
      </c>
      <c r="AD45" s="33" t="n">
        <f aca="false">IF(AD40=1,IF(Inputs!$I$6="Sculpted",MIN(AD43,AD35*$C$42-AD44),MIN(AD43,Inputs!$C$42*N(INDEX(Inputs!$I$10:$I$34,MIN(25,AD41))))),0)</f>
        <v>0</v>
      </c>
      <c r="AE45" s="33" t="n">
        <f aca="false">IF(AE40=1,IF(Inputs!$I$6="Sculpted",MIN(AE43,AE35*$C$42-AE44),MIN(AE43,Inputs!$C$42*N(INDEX(Inputs!$I$10:$I$34,MIN(25,AE41))))),0)</f>
        <v>0</v>
      </c>
      <c r="AF45" s="33" t="n">
        <f aca="false">IF(AF40=1,IF(Inputs!$I$6="Sculpted",MIN(AF43,AF35*$C$42-AF44),MIN(AF43,Inputs!$C$42*N(INDEX(Inputs!$I$10:$I$34,MIN(25,AF41))))),0)</f>
        <v>0</v>
      </c>
      <c r="AG45" s="33" t="n">
        <f aca="false">IF(AG40=1,IF(Inputs!$I$6="Sculpted",MIN(AG43,AG35*$C$42-AG44),MIN(AG43,Inputs!$C$42*N(INDEX(Inputs!$I$10:$I$34,MIN(25,AG41))))),0)</f>
        <v>0</v>
      </c>
    </row>
    <row r="46" customFormat="false" ht="15" hidden="false" customHeight="false" outlineLevel="0" collapsed="false">
      <c r="A46" s="14" t="s">
        <v>152</v>
      </c>
      <c r="C46" s="26" t="n">
        <f aca="false">SUM(D46:AG46)</f>
        <v>2934.547</v>
      </c>
      <c r="D46" s="36" t="n">
        <f aca="false">D44+D45</f>
        <v>0</v>
      </c>
      <c r="E46" s="36" t="n">
        <f aca="false">E44+E45</f>
        <v>0</v>
      </c>
      <c r="F46" s="36" t="n">
        <f aca="false">F44+F45</f>
        <v>152.95</v>
      </c>
      <c r="G46" s="36" t="n">
        <f aca="false">G44+G45</f>
        <v>217.35</v>
      </c>
      <c r="H46" s="36" t="n">
        <f aca="false">H44+H45</f>
        <v>227.332</v>
      </c>
      <c r="I46" s="36" t="n">
        <f aca="false">I44+I45</f>
        <v>235.7845</v>
      </c>
      <c r="J46" s="36" t="n">
        <f aca="false">J44+J45</f>
        <v>234.6575</v>
      </c>
      <c r="K46" s="36" t="n">
        <f aca="false">K44+K45</f>
        <v>232.76575</v>
      </c>
      <c r="L46" s="36" t="n">
        <f aca="false">L44+L45</f>
        <v>230.10925</v>
      </c>
      <c r="M46" s="36" t="n">
        <f aca="false">M44+M45</f>
        <v>226.688</v>
      </c>
      <c r="N46" s="36" t="n">
        <f aca="false">N44+N45</f>
        <v>230.552</v>
      </c>
      <c r="O46" s="36" t="n">
        <f aca="false">O44+O45</f>
        <v>232.8865</v>
      </c>
      <c r="P46" s="36" t="n">
        <f aca="false">P44+P45</f>
        <v>233.6915</v>
      </c>
      <c r="Q46" s="36" t="n">
        <f aca="false">Q44+Q45</f>
        <v>232.967</v>
      </c>
      <c r="R46" s="36" t="n">
        <f aca="false">R44+R45</f>
        <v>246.813</v>
      </c>
      <c r="S46" s="36" t="n">
        <f aca="false">S44+S45</f>
        <v>0</v>
      </c>
      <c r="T46" s="36" t="n">
        <f aca="false">T44+T45</f>
        <v>0</v>
      </c>
      <c r="U46" s="36" t="n">
        <f aca="false">U44+U45</f>
        <v>0</v>
      </c>
      <c r="V46" s="36" t="n">
        <f aca="false">V44+V45</f>
        <v>0</v>
      </c>
      <c r="W46" s="36" t="n">
        <f aca="false">W44+W45</f>
        <v>0</v>
      </c>
      <c r="X46" s="36" t="n">
        <f aca="false">X44+X45</f>
        <v>0</v>
      </c>
      <c r="Y46" s="36" t="n">
        <f aca="false">Y44+Y45</f>
        <v>0</v>
      </c>
      <c r="Z46" s="36" t="n">
        <f aca="false">Z44+Z45</f>
        <v>0</v>
      </c>
      <c r="AA46" s="36" t="n">
        <f aca="false">AA44+AA45</f>
        <v>0</v>
      </c>
      <c r="AB46" s="36" t="n">
        <f aca="false">AB44+AB45</f>
        <v>0</v>
      </c>
      <c r="AC46" s="36" t="n">
        <f aca="false">AC44+AC45</f>
        <v>0</v>
      </c>
      <c r="AD46" s="36" t="n">
        <f aca="false">AD44+AD45</f>
        <v>0</v>
      </c>
      <c r="AE46" s="36" t="n">
        <f aca="false">AE44+AE45</f>
        <v>0</v>
      </c>
      <c r="AF46" s="36" t="n">
        <f aca="false">AF44+AF45</f>
        <v>0</v>
      </c>
      <c r="AG46" s="36" t="n">
        <f aca="false">AG44+AG45</f>
        <v>0</v>
      </c>
    </row>
    <row r="47" customFormat="false" ht="15" hidden="false" customHeight="false" outlineLevel="0" collapsed="false">
      <c r="A47" s="9" t="s">
        <v>153</v>
      </c>
      <c r="D47" s="33" t="n">
        <f aca="false">D43+D39-D45</f>
        <v>724.5</v>
      </c>
      <c r="E47" s="33" t="n">
        <f aca="false">E43+E39-E45</f>
        <v>1610</v>
      </c>
      <c r="F47" s="33" t="n">
        <f aca="false">F43+F39-F45</f>
        <v>1610</v>
      </c>
      <c r="G47" s="33" t="n">
        <f aca="false">G43+G39-G45</f>
        <v>1545.6</v>
      </c>
      <c r="H47" s="33" t="n">
        <f aca="false">H43+H39-H45</f>
        <v>1465.1</v>
      </c>
      <c r="I47" s="33" t="n">
        <f aca="false">I43+I39-I45</f>
        <v>1368.5</v>
      </c>
      <c r="J47" s="33" t="n">
        <f aca="false">J43+J39-J45</f>
        <v>1263.85</v>
      </c>
      <c r="K47" s="33" t="n">
        <f aca="false">K43+K39-K45</f>
        <v>1151.15</v>
      </c>
      <c r="L47" s="33" t="n">
        <f aca="false">L43+L39-L45</f>
        <v>1030.4</v>
      </c>
      <c r="M47" s="33" t="n">
        <f aca="false">M43+M39-M45</f>
        <v>901.6</v>
      </c>
      <c r="N47" s="33" t="n">
        <f aca="false">N43+N39-N45</f>
        <v>756.7</v>
      </c>
      <c r="O47" s="33" t="n">
        <f aca="false">O43+O39-O45</f>
        <v>595.7</v>
      </c>
      <c r="P47" s="33" t="n">
        <f aca="false">P43+P39-P45</f>
        <v>418.6</v>
      </c>
      <c r="Q47" s="33" t="n">
        <f aca="false">Q43+Q39-Q45</f>
        <v>225.4</v>
      </c>
      <c r="R47" s="33" t="n">
        <f aca="false">R43+R39-R45</f>
        <v>0</v>
      </c>
      <c r="S47" s="33" t="n">
        <f aca="false">S43+S39-S45</f>
        <v>0</v>
      </c>
      <c r="T47" s="33" t="n">
        <f aca="false">T43+T39-T45</f>
        <v>0</v>
      </c>
      <c r="U47" s="33" t="n">
        <f aca="false">U43+U39-U45</f>
        <v>0</v>
      </c>
      <c r="V47" s="33" t="n">
        <f aca="false">V43+V39-V45</f>
        <v>0</v>
      </c>
      <c r="W47" s="33" t="n">
        <f aca="false">W43+W39-W45</f>
        <v>0</v>
      </c>
      <c r="X47" s="33" t="n">
        <f aca="false">X43+X39-X45</f>
        <v>0</v>
      </c>
      <c r="Y47" s="33" t="n">
        <f aca="false">Y43+Y39-Y45</f>
        <v>0</v>
      </c>
      <c r="Z47" s="33" t="n">
        <f aca="false">Z43+Z39-Z45</f>
        <v>0</v>
      </c>
      <c r="AA47" s="33" t="n">
        <f aca="false">AA43+AA39-AA45</f>
        <v>0</v>
      </c>
      <c r="AB47" s="33" t="n">
        <f aca="false">AB43+AB39-AB45</f>
        <v>0</v>
      </c>
      <c r="AC47" s="33" t="n">
        <f aca="false">AC43+AC39-AC45</f>
        <v>0</v>
      </c>
      <c r="AD47" s="33" t="n">
        <f aca="false">AD43+AD39-AD45</f>
        <v>0</v>
      </c>
      <c r="AE47" s="33" t="n">
        <f aca="false">AE43+AE39-AE45</f>
        <v>0</v>
      </c>
      <c r="AF47" s="33" t="n">
        <f aca="false">AF43+AF39-AF45</f>
        <v>0</v>
      </c>
      <c r="AG47" s="33" t="n">
        <f aca="false">AG43+AG39-AG45</f>
        <v>0</v>
      </c>
    </row>
    <row r="49" customFormat="false" ht="15" hidden="false" customHeight="false" outlineLevel="0" collapsed="false">
      <c r="A49" s="4" t="s">
        <v>154</v>
      </c>
    </row>
    <row r="50" customFormat="false" ht="15" hidden="false" customHeight="false" outlineLevel="0" collapsed="false">
      <c r="A50" s="9" t="s">
        <v>155</v>
      </c>
      <c r="D50" s="33" t="n">
        <f aca="false">D28-D33-D44</f>
        <v>0</v>
      </c>
      <c r="E50" s="33" t="n">
        <f aca="false">E28-E33-E44</f>
        <v>0</v>
      </c>
      <c r="F50" s="33" t="n">
        <f aca="false">F28-F33-F44</f>
        <v>-36.4485277777778</v>
      </c>
      <c r="G50" s="33" t="n">
        <f aca="false">G28-G33-G44</f>
        <v>-10.2034444227778</v>
      </c>
      <c r="H50" s="33" t="n">
        <f aca="false">H28-H33-H44</f>
        <v>24.8971868077996</v>
      </c>
      <c r="I50" s="33" t="n">
        <f aca="false">I28-I33-I44</f>
        <v>64.546856394454</v>
      </c>
      <c r="J50" s="33" t="n">
        <f aca="false">J28-J33-J44</f>
        <v>-0.339099011515714</v>
      </c>
      <c r="K50" s="33" t="n">
        <f aca="false">K28-K33-K44</f>
        <v>158.004026307778</v>
      </c>
      <c r="L50" s="33" t="n">
        <f aca="false">L28-L33-L44</f>
        <v>211.767445914283</v>
      </c>
      <c r="M50" s="33" t="n">
        <f aca="false">M28-M33-M44</f>
        <v>270.763354514864</v>
      </c>
      <c r="N50" s="33" t="n">
        <f aca="false">N28-N33-N44</f>
        <v>335.451082630603</v>
      </c>
      <c r="O50" s="33" t="n">
        <f aca="false">O28-O33-O44</f>
        <v>267.482243575244</v>
      </c>
      <c r="P50" s="33" t="n">
        <f aca="false">P28-P33-P44</f>
        <v>486.273753086061</v>
      </c>
      <c r="Q50" s="33" t="n">
        <f aca="false">Q28-Q33-Q44</f>
        <v>573.582501984812</v>
      </c>
      <c r="R50" s="33" t="n">
        <f aca="false">R28-R33-R44</f>
        <v>669.706613021984</v>
      </c>
      <c r="S50" s="33" t="n">
        <f aca="false">S28-S33-S44</f>
        <v>776.923707626375</v>
      </c>
      <c r="T50" s="33" t="n">
        <f aca="false">T28-T33-T44</f>
        <v>693.392728637875</v>
      </c>
      <c r="U50" s="33" t="n">
        <f aca="false">U28-U33-U44</f>
        <v>976.017518801604</v>
      </c>
      <c r="V50" s="33" t="n">
        <f aca="false">V28-V33-V44</f>
        <v>1091.21904674644</v>
      </c>
      <c r="W50" s="33" t="n">
        <f aca="false">W28-W33-W44</f>
        <v>1218.29640166098</v>
      </c>
      <c r="X50" s="33" t="n">
        <f aca="false">X28-X33-X44</f>
        <v>0</v>
      </c>
      <c r="Y50" s="33" t="n">
        <f aca="false">Y28-Y33-Y44</f>
        <v>0</v>
      </c>
      <c r="Z50" s="33" t="n">
        <f aca="false">Z28-Z33-Z44</f>
        <v>0</v>
      </c>
      <c r="AA50" s="33" t="n">
        <f aca="false">AA28-AA33-AA44</f>
        <v>0</v>
      </c>
      <c r="AB50" s="33" t="n">
        <f aca="false">AB28-AB33-AB44</f>
        <v>0</v>
      </c>
      <c r="AC50" s="33" t="n">
        <f aca="false">AC28-AC33-AC44</f>
        <v>0</v>
      </c>
      <c r="AD50" s="33" t="n">
        <f aca="false">AD28-AD33-AD44</f>
        <v>0</v>
      </c>
      <c r="AE50" s="33" t="n">
        <f aca="false">AE28-AE33-AE44</f>
        <v>0</v>
      </c>
      <c r="AF50" s="33" t="n">
        <f aca="false">AF28-AF33-AF44</f>
        <v>0</v>
      </c>
      <c r="AG50" s="33" t="n">
        <f aca="false">AG28-AG33-AG44</f>
        <v>0</v>
      </c>
    </row>
    <row r="51" customFormat="false" ht="15" hidden="false" customHeight="false" outlineLevel="0" collapsed="false">
      <c r="A51" s="9" t="s">
        <v>156</v>
      </c>
      <c r="D51" s="33" t="n">
        <f aca="false">0</f>
        <v>0</v>
      </c>
      <c r="E51" s="33" t="n">
        <f aca="false">D53</f>
        <v>0</v>
      </c>
      <c r="F51" s="33" t="n">
        <f aca="false">E53</f>
        <v>0</v>
      </c>
      <c r="G51" s="33" t="n">
        <f aca="false">F53</f>
        <v>36.4485277777778</v>
      </c>
      <c r="H51" s="33" t="n">
        <f aca="false">G53</f>
        <v>46.6519722005555</v>
      </c>
      <c r="I51" s="33" t="n">
        <f aca="false">H53</f>
        <v>21.7547853927559</v>
      </c>
      <c r="J51" s="33" t="n">
        <f aca="false">I53</f>
        <v>0</v>
      </c>
      <c r="K51" s="33" t="n">
        <f aca="false">J53</f>
        <v>0.339099011515714</v>
      </c>
      <c r="L51" s="33" t="n">
        <f aca="false">K53</f>
        <v>0</v>
      </c>
      <c r="M51" s="33" t="n">
        <f aca="false">L53</f>
        <v>0</v>
      </c>
      <c r="N51" s="33" t="n">
        <f aca="false">M53</f>
        <v>0</v>
      </c>
      <c r="O51" s="33" t="n">
        <f aca="false">N53</f>
        <v>0</v>
      </c>
      <c r="P51" s="33" t="n">
        <f aca="false">O53</f>
        <v>0</v>
      </c>
      <c r="Q51" s="33" t="n">
        <f aca="false">P53</f>
        <v>0</v>
      </c>
      <c r="R51" s="33" t="n">
        <f aca="false">Q53</f>
        <v>0</v>
      </c>
      <c r="S51" s="33" t="n">
        <f aca="false">R53</f>
        <v>0</v>
      </c>
      <c r="T51" s="33" t="n">
        <f aca="false">S53</f>
        <v>0</v>
      </c>
      <c r="U51" s="33" t="n">
        <f aca="false">T53</f>
        <v>0</v>
      </c>
      <c r="V51" s="33" t="n">
        <f aca="false">U53</f>
        <v>0</v>
      </c>
      <c r="W51" s="33" t="n">
        <f aca="false">V53</f>
        <v>0</v>
      </c>
      <c r="X51" s="33" t="n">
        <f aca="false">W53</f>
        <v>0</v>
      </c>
      <c r="Y51" s="33" t="n">
        <f aca="false">X53</f>
        <v>0</v>
      </c>
      <c r="Z51" s="33" t="n">
        <f aca="false">Y53</f>
        <v>0</v>
      </c>
      <c r="AA51" s="33" t="n">
        <f aca="false">Z53</f>
        <v>0</v>
      </c>
      <c r="AB51" s="33" t="n">
        <f aca="false">AA53</f>
        <v>0</v>
      </c>
      <c r="AC51" s="33" t="n">
        <f aca="false">AB53</f>
        <v>0</v>
      </c>
      <c r="AD51" s="33" t="n">
        <f aca="false">AC53</f>
        <v>0</v>
      </c>
      <c r="AE51" s="33" t="n">
        <f aca="false">AD53</f>
        <v>0</v>
      </c>
      <c r="AF51" s="33" t="n">
        <f aca="false">AE53</f>
        <v>0</v>
      </c>
      <c r="AG51" s="33" t="n">
        <f aca="false">AF53</f>
        <v>0</v>
      </c>
    </row>
    <row r="52" customFormat="false" ht="15" hidden="false" customHeight="false" outlineLevel="0" collapsed="false">
      <c r="A52" s="9" t="s">
        <v>157</v>
      </c>
      <c r="D52" s="33" t="n">
        <f aca="false">MIN(D51,MAX(0,D50))</f>
        <v>0</v>
      </c>
      <c r="E52" s="33" t="n">
        <f aca="false">MIN(E51,MAX(0,E50))</f>
        <v>0</v>
      </c>
      <c r="F52" s="33" t="n">
        <f aca="false">MIN(F51,MAX(0,F50))</f>
        <v>0</v>
      </c>
      <c r="G52" s="33" t="n">
        <f aca="false">MIN(G51,MAX(0,G50))</f>
        <v>0</v>
      </c>
      <c r="H52" s="33" t="n">
        <f aca="false">MIN(H51,MAX(0,H50))</f>
        <v>24.8971868077996</v>
      </c>
      <c r="I52" s="33" t="n">
        <f aca="false">MIN(I51,MAX(0,I50))</f>
        <v>21.7547853927559</v>
      </c>
      <c r="J52" s="33" t="n">
        <f aca="false">MIN(J51,MAX(0,J50))</f>
        <v>0</v>
      </c>
      <c r="K52" s="33" t="n">
        <f aca="false">MIN(K51,MAX(0,K50))</f>
        <v>0.339099011515714</v>
      </c>
      <c r="L52" s="33" t="n">
        <f aca="false">MIN(L51,MAX(0,L50))</f>
        <v>0</v>
      </c>
      <c r="M52" s="33" t="n">
        <f aca="false">MIN(M51,MAX(0,M50))</f>
        <v>0</v>
      </c>
      <c r="N52" s="33" t="n">
        <f aca="false">MIN(N51,MAX(0,N50))</f>
        <v>0</v>
      </c>
      <c r="O52" s="33" t="n">
        <f aca="false">MIN(O51,MAX(0,O50))</f>
        <v>0</v>
      </c>
      <c r="P52" s="33" t="n">
        <f aca="false">MIN(P51,MAX(0,P50))</f>
        <v>0</v>
      </c>
      <c r="Q52" s="33" t="n">
        <f aca="false">MIN(Q51,MAX(0,Q50))</f>
        <v>0</v>
      </c>
      <c r="R52" s="33" t="n">
        <f aca="false">MIN(R51,MAX(0,R50))</f>
        <v>0</v>
      </c>
      <c r="S52" s="33" t="n">
        <f aca="false">MIN(S51,MAX(0,S50))</f>
        <v>0</v>
      </c>
      <c r="T52" s="33" t="n">
        <f aca="false">MIN(T51,MAX(0,T50))</f>
        <v>0</v>
      </c>
      <c r="U52" s="33" t="n">
        <f aca="false">MIN(U51,MAX(0,U50))</f>
        <v>0</v>
      </c>
      <c r="V52" s="33" t="n">
        <f aca="false">MIN(V51,MAX(0,V50))</f>
        <v>0</v>
      </c>
      <c r="W52" s="33" t="n">
        <f aca="false">MIN(W51,MAX(0,W50))</f>
        <v>0</v>
      </c>
      <c r="X52" s="33" t="n">
        <f aca="false">MIN(X51,MAX(0,X50))</f>
        <v>0</v>
      </c>
      <c r="Y52" s="33" t="n">
        <f aca="false">MIN(Y51,MAX(0,Y50))</f>
        <v>0</v>
      </c>
      <c r="Z52" s="33" t="n">
        <f aca="false">MIN(Z51,MAX(0,Z50))</f>
        <v>0</v>
      </c>
      <c r="AA52" s="33" t="n">
        <f aca="false">MIN(AA51,MAX(0,AA50))</f>
        <v>0</v>
      </c>
      <c r="AB52" s="33" t="n">
        <f aca="false">MIN(AB51,MAX(0,AB50))</f>
        <v>0</v>
      </c>
      <c r="AC52" s="33" t="n">
        <f aca="false">MIN(AC51,MAX(0,AC50))</f>
        <v>0</v>
      </c>
      <c r="AD52" s="33" t="n">
        <f aca="false">MIN(AD51,MAX(0,AD50))</f>
        <v>0</v>
      </c>
      <c r="AE52" s="33" t="n">
        <f aca="false">MIN(AE51,MAX(0,AE50))</f>
        <v>0</v>
      </c>
      <c r="AF52" s="33" t="n">
        <f aca="false">MIN(AF51,MAX(0,AF50))</f>
        <v>0</v>
      </c>
      <c r="AG52" s="33" t="n">
        <f aca="false">MIN(AG51,MAX(0,AG50))</f>
        <v>0</v>
      </c>
    </row>
    <row r="53" customFormat="false" ht="15" hidden="false" customHeight="false" outlineLevel="0" collapsed="false">
      <c r="A53" s="9" t="s">
        <v>158</v>
      </c>
      <c r="D53" s="33" t="n">
        <f aca="false">D51-D52+MAX(0,-D50)</f>
        <v>0</v>
      </c>
      <c r="E53" s="33" t="n">
        <f aca="false">E51-E52+MAX(0,-E50)</f>
        <v>0</v>
      </c>
      <c r="F53" s="33" t="n">
        <f aca="false">F51-F52+MAX(0,-F50)</f>
        <v>36.4485277777778</v>
      </c>
      <c r="G53" s="33" t="n">
        <f aca="false">G51-G52+MAX(0,-G50)</f>
        <v>46.6519722005555</v>
      </c>
      <c r="H53" s="33" t="n">
        <f aca="false">H51-H52+MAX(0,-H50)</f>
        <v>21.7547853927559</v>
      </c>
      <c r="I53" s="33" t="n">
        <f aca="false">I51-I52+MAX(0,-I50)</f>
        <v>0</v>
      </c>
      <c r="J53" s="33" t="n">
        <f aca="false">J51-J52+MAX(0,-J50)</f>
        <v>0.339099011515714</v>
      </c>
      <c r="K53" s="33" t="n">
        <f aca="false">K51-K52+MAX(0,-K50)</f>
        <v>0</v>
      </c>
      <c r="L53" s="33" t="n">
        <f aca="false">L51-L52+MAX(0,-L50)</f>
        <v>0</v>
      </c>
      <c r="M53" s="33" t="n">
        <f aca="false">M51-M52+MAX(0,-M50)</f>
        <v>0</v>
      </c>
      <c r="N53" s="33" t="n">
        <f aca="false">N51-N52+MAX(0,-N50)</f>
        <v>0</v>
      </c>
      <c r="O53" s="33" t="n">
        <f aca="false">O51-O52+MAX(0,-O50)</f>
        <v>0</v>
      </c>
      <c r="P53" s="33" t="n">
        <f aca="false">P51-P52+MAX(0,-P50)</f>
        <v>0</v>
      </c>
      <c r="Q53" s="33" t="n">
        <f aca="false">Q51-Q52+MAX(0,-Q50)</f>
        <v>0</v>
      </c>
      <c r="R53" s="33" t="n">
        <f aca="false">R51-R52+MAX(0,-R50)</f>
        <v>0</v>
      </c>
      <c r="S53" s="33" t="n">
        <f aca="false">S51-S52+MAX(0,-S50)</f>
        <v>0</v>
      </c>
      <c r="T53" s="33" t="n">
        <f aca="false">T51-T52+MAX(0,-T50)</f>
        <v>0</v>
      </c>
      <c r="U53" s="33" t="n">
        <f aca="false">U51-U52+MAX(0,-U50)</f>
        <v>0</v>
      </c>
      <c r="V53" s="33" t="n">
        <f aca="false">V51-V52+MAX(0,-V50)</f>
        <v>0</v>
      </c>
      <c r="W53" s="33" t="n">
        <f aca="false">W51-W52+MAX(0,-W50)</f>
        <v>0</v>
      </c>
      <c r="X53" s="33" t="n">
        <f aca="false">X51-X52+MAX(0,-X50)</f>
        <v>0</v>
      </c>
      <c r="Y53" s="33" t="n">
        <f aca="false">Y51-Y52+MAX(0,-Y50)</f>
        <v>0</v>
      </c>
      <c r="Z53" s="33" t="n">
        <f aca="false">Z51-Z52+MAX(0,-Z50)</f>
        <v>0</v>
      </c>
      <c r="AA53" s="33" t="n">
        <f aca="false">AA51-AA52+MAX(0,-AA50)</f>
        <v>0</v>
      </c>
      <c r="AB53" s="33" t="n">
        <f aca="false">AB51-AB52+MAX(0,-AB50)</f>
        <v>0</v>
      </c>
      <c r="AC53" s="33" t="n">
        <f aca="false">AC51-AC52+MAX(0,-AC50)</f>
        <v>0</v>
      </c>
      <c r="AD53" s="33" t="n">
        <f aca="false">AD51-AD52+MAX(0,-AD50)</f>
        <v>0</v>
      </c>
      <c r="AE53" s="33" t="n">
        <f aca="false">AE51-AE52+MAX(0,-AE50)</f>
        <v>0</v>
      </c>
      <c r="AF53" s="33" t="n">
        <f aca="false">AF51-AF52+MAX(0,-AF50)</f>
        <v>0</v>
      </c>
      <c r="AG53" s="33" t="n">
        <f aca="false">AG51-AG52+MAX(0,-AG50)</f>
        <v>0</v>
      </c>
    </row>
    <row r="54" customFormat="false" ht="15" hidden="false" customHeight="false" outlineLevel="0" collapsed="false">
      <c r="A54" s="9" t="s">
        <v>159</v>
      </c>
      <c r="C54" s="26" t="n">
        <f aca="false">SUM(D54:AG54)</f>
        <v>1955.88918923089</v>
      </c>
      <c r="D54" s="33" t="n">
        <f aca="false">(MAX(0,D50)-D52)*Inputs!$C$19</f>
        <v>0</v>
      </c>
      <c r="E54" s="33" t="n">
        <f aca="false">(MAX(0,E50)-E52)*Inputs!$C$19</f>
        <v>0</v>
      </c>
      <c r="F54" s="33" t="n">
        <f aca="false">(MAX(0,F50)-F52)*Inputs!$C$19</f>
        <v>0</v>
      </c>
      <c r="G54" s="33" t="n">
        <f aca="false">(MAX(0,G50)-G52)*Inputs!$C$19</f>
        <v>0</v>
      </c>
      <c r="H54" s="33" t="n">
        <f aca="false">(MAX(0,H50)-H52)*Inputs!$C$19</f>
        <v>0</v>
      </c>
      <c r="I54" s="33" t="n">
        <f aca="false">(MAX(0,I50)-I52)*Inputs!$C$19</f>
        <v>10.7699084297074</v>
      </c>
      <c r="J54" s="33" t="n">
        <f aca="false">(MAX(0,J50)-J52)*Inputs!$C$19</f>
        <v>0</v>
      </c>
      <c r="K54" s="33" t="n">
        <f aca="false">(MAX(0,K50)-K52)*Inputs!$C$19</f>
        <v>39.6811089019233</v>
      </c>
      <c r="L54" s="33" t="n">
        <f aca="false">(MAX(0,L50)-L52)*Inputs!$C$19</f>
        <v>53.2976307877069</v>
      </c>
      <c r="M54" s="33" t="n">
        <f aca="false">(MAX(0,M50)-M52)*Inputs!$C$19</f>
        <v>68.145721064301</v>
      </c>
      <c r="N54" s="33" t="n">
        <f aca="false">(MAX(0,N50)-N52)*Inputs!$C$19</f>
        <v>84.4263284764702</v>
      </c>
      <c r="O54" s="33" t="n">
        <f aca="false">(MAX(0,O50)-O52)*Inputs!$C$19</f>
        <v>67.3199310630173</v>
      </c>
      <c r="P54" s="33" t="n">
        <f aca="false">(MAX(0,P50)-P52)*Inputs!$C$19</f>
        <v>122.3853781767</v>
      </c>
      <c r="Q54" s="33" t="n">
        <f aca="false">(MAX(0,Q50)-Q52)*Inputs!$C$19</f>
        <v>144.359244099538</v>
      </c>
      <c r="R54" s="33" t="n">
        <f aca="false">(MAX(0,R50)-R52)*Inputs!$C$19</f>
        <v>168.551760365373</v>
      </c>
      <c r="S54" s="33" t="n">
        <f aca="false">(MAX(0,S50)-S52)*Inputs!$C$19</f>
        <v>195.536158735406</v>
      </c>
      <c r="T54" s="33" t="n">
        <f aca="false">(MAX(0,T50)-T52)*Inputs!$C$19</f>
        <v>174.51308194358</v>
      </c>
      <c r="U54" s="33" t="n">
        <f aca="false">(MAX(0,U50)-U52)*Inputs!$C$19</f>
        <v>245.644089131988</v>
      </c>
      <c r="V54" s="33" t="n">
        <f aca="false">(MAX(0,V50)-V52)*Inputs!$C$19</f>
        <v>274.638009685143</v>
      </c>
      <c r="W54" s="33" t="n">
        <f aca="false">(MAX(0,W50)-W52)*Inputs!$C$19</f>
        <v>306.620838370036</v>
      </c>
      <c r="X54" s="33" t="n">
        <f aca="false">(MAX(0,X50)-X52)*Inputs!$C$19</f>
        <v>0</v>
      </c>
      <c r="Y54" s="33" t="n">
        <f aca="false">(MAX(0,Y50)-Y52)*Inputs!$C$19</f>
        <v>0</v>
      </c>
      <c r="Z54" s="33" t="n">
        <f aca="false">(MAX(0,Z50)-Z52)*Inputs!$C$19</f>
        <v>0</v>
      </c>
      <c r="AA54" s="33" t="n">
        <f aca="false">(MAX(0,AA50)-AA52)*Inputs!$C$19</f>
        <v>0</v>
      </c>
      <c r="AB54" s="33" t="n">
        <f aca="false">(MAX(0,AB50)-AB52)*Inputs!$C$19</f>
        <v>0</v>
      </c>
      <c r="AC54" s="33" t="n">
        <f aca="false">(MAX(0,AC50)-AC52)*Inputs!$C$19</f>
        <v>0</v>
      </c>
      <c r="AD54" s="33" t="n">
        <f aca="false">(MAX(0,AD50)-AD52)*Inputs!$C$19</f>
        <v>0</v>
      </c>
      <c r="AE54" s="33" t="n">
        <f aca="false">(MAX(0,AE50)-AE52)*Inputs!$C$19</f>
        <v>0</v>
      </c>
      <c r="AF54" s="33" t="n">
        <f aca="false">(MAX(0,AF50)-AF52)*Inputs!$C$19</f>
        <v>0</v>
      </c>
      <c r="AG54" s="33" t="n">
        <f aca="false">(MAX(0,AG50)-AG52)*Inputs!$C$19</f>
        <v>0</v>
      </c>
    </row>
    <row r="55" customFormat="false" ht="15" hidden="false" customHeight="false" outlineLevel="0" collapsed="false">
      <c r="A55" s="9" t="s">
        <v>160</v>
      </c>
      <c r="C55" s="26" t="n">
        <f aca="false">SUM(D55:AG55)</f>
        <v>5815.44420726819</v>
      </c>
      <c r="D55" s="33" t="n">
        <f aca="false">D50-D54</f>
        <v>0</v>
      </c>
      <c r="E55" s="33" t="n">
        <f aca="false">E50-E54</f>
        <v>0</v>
      </c>
      <c r="F55" s="33" t="n">
        <f aca="false">F50-F54</f>
        <v>-36.4485277777778</v>
      </c>
      <c r="G55" s="33" t="n">
        <f aca="false">G50-G54</f>
        <v>-10.2034444227778</v>
      </c>
      <c r="H55" s="33" t="n">
        <f aca="false">H50-H54</f>
        <v>24.8971868077996</v>
      </c>
      <c r="I55" s="33" t="n">
        <f aca="false">I50-I54</f>
        <v>53.7769479647466</v>
      </c>
      <c r="J55" s="33" t="n">
        <f aca="false">J50-J54</f>
        <v>-0.339099011515714</v>
      </c>
      <c r="K55" s="33" t="n">
        <f aca="false">K50-K54</f>
        <v>118.322917405855</v>
      </c>
      <c r="L55" s="33" t="n">
        <f aca="false">L50-L54</f>
        <v>158.469815126577</v>
      </c>
      <c r="M55" s="33" t="n">
        <f aca="false">M50-M54</f>
        <v>202.617633450563</v>
      </c>
      <c r="N55" s="33" t="n">
        <f aca="false">N50-N54</f>
        <v>251.024754154133</v>
      </c>
      <c r="O55" s="33" t="n">
        <f aca="false">O50-O54</f>
        <v>200.162312512226</v>
      </c>
      <c r="P55" s="33" t="n">
        <f aca="false">P50-P54</f>
        <v>363.888374909361</v>
      </c>
      <c r="Q55" s="33" t="n">
        <f aca="false">Q50-Q54</f>
        <v>429.223257885275</v>
      </c>
      <c r="R55" s="33" t="n">
        <f aca="false">R50-R54</f>
        <v>501.154852656611</v>
      </c>
      <c r="S55" s="33" t="n">
        <f aca="false">S50-S54</f>
        <v>581.387548890969</v>
      </c>
      <c r="T55" s="33" t="n">
        <f aca="false">T50-T54</f>
        <v>518.879646694295</v>
      </c>
      <c r="U55" s="33" t="n">
        <f aca="false">U50-U54</f>
        <v>730.373429669616</v>
      </c>
      <c r="V55" s="33" t="n">
        <f aca="false">V50-V54</f>
        <v>816.581037061293</v>
      </c>
      <c r="W55" s="33" t="n">
        <f aca="false">W50-W54</f>
        <v>911.675563290945</v>
      </c>
      <c r="X55" s="33" t="n">
        <f aca="false">X50-X54</f>
        <v>0</v>
      </c>
      <c r="Y55" s="33" t="n">
        <f aca="false">Y50-Y54</f>
        <v>0</v>
      </c>
      <c r="Z55" s="33" t="n">
        <f aca="false">Z50-Z54</f>
        <v>0</v>
      </c>
      <c r="AA55" s="33" t="n">
        <f aca="false">AA50-AA54</f>
        <v>0</v>
      </c>
      <c r="AB55" s="33" t="n">
        <f aca="false">AB50-AB54</f>
        <v>0</v>
      </c>
      <c r="AC55" s="33" t="n">
        <f aca="false">AC50-AC54</f>
        <v>0</v>
      </c>
      <c r="AD55" s="33" t="n">
        <f aca="false">AD50-AD54</f>
        <v>0</v>
      </c>
      <c r="AE55" s="33" t="n">
        <f aca="false">AE50-AE54</f>
        <v>0</v>
      </c>
      <c r="AF55" s="33" t="n">
        <f aca="false">AF50-AF54</f>
        <v>0</v>
      </c>
      <c r="AG55" s="33" t="n">
        <f aca="false">AG50-AG54</f>
        <v>0</v>
      </c>
    </row>
    <row r="57" customFormat="false" ht="15" hidden="false" customHeight="false" outlineLevel="0" collapsed="false">
      <c r="A57" s="4" t="s">
        <v>161</v>
      </c>
    </row>
    <row r="58" customFormat="false" ht="15" hidden="false" customHeight="false" outlineLevel="0" collapsed="false">
      <c r="A58" s="14" t="s">
        <v>162</v>
      </c>
      <c r="C58" s="26" t="n">
        <f aca="false">SUM(D58:AG58)</f>
        <v>9439.99120726819</v>
      </c>
      <c r="D58" s="36" t="n">
        <f aca="false">D28-D54</f>
        <v>0</v>
      </c>
      <c r="E58" s="36" t="n">
        <f aca="false">E28-E54</f>
        <v>0</v>
      </c>
      <c r="F58" s="36" t="n">
        <f aca="false">F28-F54</f>
        <v>244.27925</v>
      </c>
      <c r="G58" s="36" t="n">
        <f aca="false">G28-G54</f>
        <v>270.524333355</v>
      </c>
      <c r="H58" s="36" t="n">
        <f aca="false">H28-H54</f>
        <v>299.506964585577</v>
      </c>
      <c r="I58" s="36" t="n">
        <f aca="false">I28-I54</f>
        <v>320.739225742524</v>
      </c>
      <c r="J58" s="36" t="n">
        <f aca="false">J28-J54</f>
        <v>257.446178766262</v>
      </c>
      <c r="K58" s="36" t="n">
        <f aca="false">K28-K54</f>
        <v>366.166445183632</v>
      </c>
      <c r="L58" s="36" t="n">
        <f aca="false">L28-L54</f>
        <v>395.606842904354</v>
      </c>
      <c r="M58" s="36" t="n">
        <f aca="false">M28-M54</f>
        <v>428.283411228341</v>
      </c>
      <c r="N58" s="36" t="n">
        <f aca="false">N28-N54</f>
        <v>464.454531931911</v>
      </c>
      <c r="O58" s="36" t="n">
        <f aca="false">O28-O54</f>
        <v>399.826590290004</v>
      </c>
      <c r="P58" s="36" t="n">
        <f aca="false">P28-P54</f>
        <v>548.257652687139</v>
      </c>
      <c r="Q58" s="36" t="n">
        <f aca="false">Q28-Q54</f>
        <v>596.768035663053</v>
      </c>
      <c r="R58" s="36" t="n">
        <f aca="false">R28-R54</f>
        <v>650.345630434389</v>
      </c>
      <c r="S58" s="36" t="n">
        <f aca="false">S28-S54</f>
        <v>709.165326668747</v>
      </c>
      <c r="T58" s="36" t="n">
        <f aca="false">T28-T54</f>
        <v>646.657424472072</v>
      </c>
      <c r="U58" s="36" t="n">
        <f aca="false">U28-U54</f>
        <v>858.151207447394</v>
      </c>
      <c r="V58" s="36" t="n">
        <f aca="false">V28-V54</f>
        <v>944.358814839071</v>
      </c>
      <c r="W58" s="36" t="n">
        <f aca="false">W28-W54</f>
        <v>1039.45334106872</v>
      </c>
      <c r="X58" s="36" t="n">
        <f aca="false">X28-X54</f>
        <v>0</v>
      </c>
      <c r="Y58" s="36" t="n">
        <f aca="false">Y28-Y54</f>
        <v>0</v>
      </c>
      <c r="Z58" s="36" t="n">
        <f aca="false">Z28-Z54</f>
        <v>0</v>
      </c>
      <c r="AA58" s="36" t="n">
        <f aca="false">AA28-AA54</f>
        <v>0</v>
      </c>
      <c r="AB58" s="36" t="n">
        <f aca="false">AB28-AB54</f>
        <v>0</v>
      </c>
      <c r="AC58" s="36" t="n">
        <f aca="false">AC28-AC54</f>
        <v>0</v>
      </c>
      <c r="AD58" s="36" t="n">
        <f aca="false">AD28-AD54</f>
        <v>0</v>
      </c>
      <c r="AE58" s="36" t="n">
        <f aca="false">AE28-AE54</f>
        <v>0</v>
      </c>
      <c r="AF58" s="36" t="n">
        <f aca="false">AF28-AF54</f>
        <v>0</v>
      </c>
      <c r="AG58" s="36" t="n">
        <f aca="false">AG28-AG54</f>
        <v>0</v>
      </c>
    </row>
    <row r="59" customFormat="false" ht="15" hidden="false" customHeight="false" outlineLevel="0" collapsed="false">
      <c r="A59" s="14" t="s">
        <v>163</v>
      </c>
      <c r="B59" s="34" t="s">
        <v>164</v>
      </c>
      <c r="D59" s="41" t="n">
        <f aca="false">IF(D46&lt;0.0001,0,D58/D46)</f>
        <v>0</v>
      </c>
      <c r="E59" s="41" t="n">
        <f aca="false">IF(E46&lt;0.0001,0,E58/E46)</f>
        <v>0</v>
      </c>
      <c r="F59" s="41" t="n">
        <f aca="false">IF(F46&lt;0.0001,0,F58/F46)</f>
        <v>1.59711833932658</v>
      </c>
      <c r="G59" s="41" t="n">
        <f aca="false">IF(G46&lt;0.0001,0,G58/G46)</f>
        <v>1.24464841663216</v>
      </c>
      <c r="H59" s="41" t="n">
        <f aca="false">IF(H46&lt;0.0001,0,H58/H46)</f>
        <v>1.31748704355558</v>
      </c>
      <c r="I59" s="41" t="n">
        <f aca="false">IF(I46&lt;0.0001,0,I58/I46)</f>
        <v>1.36030666028736</v>
      </c>
      <c r="J59" s="41" t="n">
        <f aca="false">IF(J46&lt;0.0001,0,J58/J46)</f>
        <v>1.09711464055597</v>
      </c>
      <c r="K59" s="41" t="n">
        <f aca="false">IF(K46&lt;0.0001,0,K58/K46)</f>
        <v>1.57311135845215</v>
      </c>
      <c r="L59" s="41" t="n">
        <f aca="false">IF(L46&lt;0.0001,0,L58/L46)</f>
        <v>1.71921312552344</v>
      </c>
      <c r="M59" s="41" t="n">
        <f aca="false">IF(M46&lt;0.0001,0,M58/M46)</f>
        <v>1.88930782056545</v>
      </c>
      <c r="N59" s="41" t="n">
        <f aca="false">IF(N46&lt;0.0001,0,N58/N46)</f>
        <v>2.01453265177448</v>
      </c>
      <c r="O59" s="41" t="n">
        <f aca="false">IF(O46&lt;0.0001,0,O58/O46)</f>
        <v>1.71683025976175</v>
      </c>
      <c r="P59" s="41" t="n">
        <f aca="false">IF(P46&lt;0.0001,0,P58/P46)</f>
        <v>2.34607443012321</v>
      </c>
      <c r="Q59" s="41" t="n">
        <f aca="false">IF(Q46&lt;0.0001,0,Q58/Q46)</f>
        <v>2.56159900613843</v>
      </c>
      <c r="R59" s="41" t="n">
        <f aca="false">IF(R46&lt;0.0001,0,R58/R46)</f>
        <v>2.63497315957583</v>
      </c>
      <c r="S59" s="41" t="n">
        <f aca="false">IF(S46&lt;0.0001,0,S58/S46)</f>
        <v>0</v>
      </c>
      <c r="T59" s="41" t="n">
        <f aca="false">IF(T46&lt;0.0001,0,T58/T46)</f>
        <v>0</v>
      </c>
      <c r="U59" s="41" t="n">
        <f aca="false">IF(U46&lt;0.0001,0,U58/U46)</f>
        <v>0</v>
      </c>
      <c r="V59" s="41" t="n">
        <f aca="false">IF(V46&lt;0.0001,0,V58/V46)</f>
        <v>0</v>
      </c>
      <c r="W59" s="41" t="n">
        <f aca="false">IF(W46&lt;0.0001,0,W58/W46)</f>
        <v>0</v>
      </c>
      <c r="X59" s="41" t="n">
        <f aca="false">IF(X46&lt;0.0001,0,X58/X46)</f>
        <v>0</v>
      </c>
      <c r="Y59" s="41" t="n">
        <f aca="false">IF(Y46&lt;0.0001,0,Y58/Y46)</f>
        <v>0</v>
      </c>
      <c r="Z59" s="41" t="n">
        <f aca="false">IF(Z46&lt;0.0001,0,Z58/Z46)</f>
        <v>0</v>
      </c>
      <c r="AA59" s="41" t="n">
        <f aca="false">IF(AA46&lt;0.0001,0,AA58/AA46)</f>
        <v>0</v>
      </c>
      <c r="AB59" s="41" t="n">
        <f aca="false">IF(AB46&lt;0.0001,0,AB58/AB46)</f>
        <v>0</v>
      </c>
      <c r="AC59" s="41" t="n">
        <f aca="false">IF(AC46&lt;0.0001,0,AC58/AC46)</f>
        <v>0</v>
      </c>
      <c r="AD59" s="41" t="n">
        <f aca="false">IF(AD46&lt;0.0001,0,AD58/AD46)</f>
        <v>0</v>
      </c>
      <c r="AE59" s="41" t="n">
        <f aca="false">IF(AE46&lt;0.0001,0,AE58/AE46)</f>
        <v>0</v>
      </c>
      <c r="AF59" s="41" t="n">
        <f aca="false">IF(AF46&lt;0.0001,0,AF58/AF46)</f>
        <v>0</v>
      </c>
      <c r="AG59" s="41" t="n">
        <f aca="false">IF(AG46&lt;0.0001,0,AG58/AG46)</f>
        <v>0</v>
      </c>
    </row>
    <row r="60" customFormat="false" ht="15" hidden="false" customHeight="false" outlineLevel="0" collapsed="false">
      <c r="A60" s="9" t="s">
        <v>165</v>
      </c>
      <c r="C60" s="26" t="n">
        <f aca="false">SUM(D60:AG60)</f>
        <v>690</v>
      </c>
      <c r="D60" s="33" t="n">
        <f aca="false">D32*(1-Inputs!$C$12)</f>
        <v>310.5</v>
      </c>
      <c r="E60" s="33" t="n">
        <f aca="false">E32*(1-Inputs!$C$12)</f>
        <v>379.5</v>
      </c>
      <c r="F60" s="33" t="n">
        <f aca="false">F32*(1-Inputs!$C$12)</f>
        <v>0</v>
      </c>
      <c r="G60" s="33" t="n">
        <f aca="false">G32*(1-Inputs!$C$12)</f>
        <v>0</v>
      </c>
      <c r="H60" s="33" t="n">
        <f aca="false">H32*(1-Inputs!$C$12)</f>
        <v>0</v>
      </c>
      <c r="I60" s="33" t="n">
        <f aca="false">I32*(1-Inputs!$C$12)</f>
        <v>0</v>
      </c>
      <c r="J60" s="33" t="n">
        <f aca="false">J32*(1-Inputs!$C$12)</f>
        <v>0</v>
      </c>
      <c r="K60" s="33" t="n">
        <f aca="false">K32*(1-Inputs!$C$12)</f>
        <v>0</v>
      </c>
      <c r="L60" s="33" t="n">
        <f aca="false">L32*(1-Inputs!$C$12)</f>
        <v>0</v>
      </c>
      <c r="M60" s="33" t="n">
        <f aca="false">M32*(1-Inputs!$C$12)</f>
        <v>0</v>
      </c>
      <c r="N60" s="33" t="n">
        <f aca="false">N32*(1-Inputs!$C$12)</f>
        <v>0</v>
      </c>
      <c r="O60" s="33" t="n">
        <f aca="false">O32*(1-Inputs!$C$12)</f>
        <v>0</v>
      </c>
      <c r="P60" s="33" t="n">
        <f aca="false">P32*(1-Inputs!$C$12)</f>
        <v>0</v>
      </c>
      <c r="Q60" s="33" t="n">
        <f aca="false">Q32*(1-Inputs!$C$12)</f>
        <v>0</v>
      </c>
      <c r="R60" s="33" t="n">
        <f aca="false">R32*(1-Inputs!$C$12)</f>
        <v>0</v>
      </c>
      <c r="S60" s="33" t="n">
        <f aca="false">S32*(1-Inputs!$C$12)</f>
        <v>0</v>
      </c>
      <c r="T60" s="33" t="n">
        <f aca="false">T32*(1-Inputs!$C$12)</f>
        <v>0</v>
      </c>
      <c r="U60" s="33" t="n">
        <f aca="false">U32*(1-Inputs!$C$12)</f>
        <v>0</v>
      </c>
      <c r="V60" s="33" t="n">
        <f aca="false">V32*(1-Inputs!$C$12)</f>
        <v>0</v>
      </c>
      <c r="W60" s="33" t="n">
        <f aca="false">W32*(1-Inputs!$C$12)</f>
        <v>0</v>
      </c>
      <c r="X60" s="33" t="n">
        <f aca="false">X32*(1-Inputs!$C$12)</f>
        <v>0</v>
      </c>
      <c r="Y60" s="33" t="n">
        <f aca="false">Y32*(1-Inputs!$C$12)</f>
        <v>0</v>
      </c>
      <c r="Z60" s="33" t="n">
        <f aca="false">Z32*(1-Inputs!$C$12)</f>
        <v>0</v>
      </c>
      <c r="AA60" s="33" t="n">
        <f aca="false">AA32*(1-Inputs!$C$12)</f>
        <v>0</v>
      </c>
      <c r="AB60" s="33" t="n">
        <f aca="false">AB32*(1-Inputs!$C$12)</f>
        <v>0</v>
      </c>
      <c r="AC60" s="33" t="n">
        <f aca="false">AC32*(1-Inputs!$C$12)</f>
        <v>0</v>
      </c>
      <c r="AD60" s="33" t="n">
        <f aca="false">AD32*(1-Inputs!$C$12)</f>
        <v>0</v>
      </c>
      <c r="AE60" s="33" t="n">
        <f aca="false">AE32*(1-Inputs!$C$12)</f>
        <v>0</v>
      </c>
      <c r="AF60" s="33" t="n">
        <f aca="false">AF32*(1-Inputs!$C$12)</f>
        <v>0</v>
      </c>
      <c r="AG60" s="33" t="n">
        <f aca="false">AG32*(1-Inputs!$C$12)</f>
        <v>0</v>
      </c>
    </row>
    <row r="61" customFormat="false" ht="15" hidden="false" customHeight="false" outlineLevel="0" collapsed="false">
      <c r="A61" s="14" t="s">
        <v>166</v>
      </c>
      <c r="C61" s="26" t="n">
        <f aca="false">SUM(D61:AG61)</f>
        <v>5815.44420726819</v>
      </c>
      <c r="D61" s="36" t="n">
        <f aca="false">-D60+D58-D46</f>
        <v>-310.5</v>
      </c>
      <c r="E61" s="36" t="n">
        <f aca="false">-E60+E58-E46</f>
        <v>-379.5</v>
      </c>
      <c r="F61" s="36" t="n">
        <f aca="false">-F60+F58-F46</f>
        <v>91.32925</v>
      </c>
      <c r="G61" s="36" t="n">
        <f aca="false">-G60+G58-G46</f>
        <v>53.174333355</v>
      </c>
      <c r="H61" s="36" t="n">
        <f aca="false">-H60+H58-H46</f>
        <v>72.1749645855774</v>
      </c>
      <c r="I61" s="36" t="n">
        <f aca="false">-I60+I58-I46</f>
        <v>84.9547257425244</v>
      </c>
      <c r="J61" s="36" t="n">
        <f aca="false">-J60+J58-J46</f>
        <v>22.7886787662621</v>
      </c>
      <c r="K61" s="36" t="n">
        <f aca="false">-K60+K58-K46</f>
        <v>133.400695183632</v>
      </c>
      <c r="L61" s="36" t="n">
        <f aca="false">-L60+L58-L46</f>
        <v>165.497592904354</v>
      </c>
      <c r="M61" s="36" t="n">
        <f aca="false">-M60+M58-M46</f>
        <v>201.595411228341</v>
      </c>
      <c r="N61" s="36" t="n">
        <f aca="false">-N60+N58-N46</f>
        <v>233.902531931911</v>
      </c>
      <c r="O61" s="36" t="n">
        <f aca="false">-O60+O58-O46</f>
        <v>166.940090290004</v>
      </c>
      <c r="P61" s="36" t="n">
        <f aca="false">-P60+P58-P46</f>
        <v>314.566152687139</v>
      </c>
      <c r="Q61" s="36" t="n">
        <f aca="false">-Q60+Q58-Q46</f>
        <v>363.801035663053</v>
      </c>
      <c r="R61" s="36" t="n">
        <f aca="false">-R60+R58-R46</f>
        <v>403.532630434389</v>
      </c>
      <c r="S61" s="36" t="n">
        <f aca="false">-S60+S58-S46</f>
        <v>709.165326668747</v>
      </c>
      <c r="T61" s="36" t="n">
        <f aca="false">-T60+T58-T46</f>
        <v>646.657424472072</v>
      </c>
      <c r="U61" s="36" t="n">
        <f aca="false">-U60+U58-U46</f>
        <v>858.151207447394</v>
      </c>
      <c r="V61" s="36" t="n">
        <f aca="false">-V60+V58-V46</f>
        <v>944.358814839071</v>
      </c>
      <c r="W61" s="36" t="n">
        <f aca="false">-W60+W58-W46</f>
        <v>1039.45334106872</v>
      </c>
      <c r="X61" s="36" t="n">
        <f aca="false">-X60+X58-X46</f>
        <v>0</v>
      </c>
      <c r="Y61" s="36" t="n">
        <f aca="false">-Y60+Y58-Y46</f>
        <v>0</v>
      </c>
      <c r="Z61" s="36" t="n">
        <f aca="false">-Z60+Z58-Z46</f>
        <v>0</v>
      </c>
      <c r="AA61" s="36" t="n">
        <f aca="false">-AA60+AA58-AA46</f>
        <v>0</v>
      </c>
      <c r="AB61" s="36" t="n">
        <f aca="false">-AB60+AB58-AB46</f>
        <v>0</v>
      </c>
      <c r="AC61" s="36" t="n">
        <f aca="false">-AC60+AC58-AC46</f>
        <v>0</v>
      </c>
      <c r="AD61" s="36" t="n">
        <f aca="false">-AD60+AD58-AD46</f>
        <v>0</v>
      </c>
      <c r="AE61" s="36" t="n">
        <f aca="false">-AE60+AE58-AE46</f>
        <v>0</v>
      </c>
      <c r="AF61" s="36" t="n">
        <f aca="false">-AF60+AF58-AF46</f>
        <v>0</v>
      </c>
      <c r="AG61" s="36" t="n">
        <f aca="false">-AG60+AG58-AG46</f>
        <v>0</v>
      </c>
    </row>
    <row r="62" customFormat="false" ht="15" hidden="false" customHeight="false" outlineLevel="0" collapsed="false">
      <c r="A62" s="9" t="s">
        <v>167</v>
      </c>
      <c r="D62" s="33" t="n">
        <f aca="false">D61</f>
        <v>-310.5</v>
      </c>
      <c r="E62" s="33" t="n">
        <f aca="false">D62+E61</f>
        <v>-690</v>
      </c>
      <c r="F62" s="33" t="n">
        <f aca="false">E62+F61</f>
        <v>-598.67075</v>
      </c>
      <c r="G62" s="33" t="n">
        <f aca="false">F62+G61</f>
        <v>-545.496416645</v>
      </c>
      <c r="H62" s="33" t="n">
        <f aca="false">G62+H61</f>
        <v>-473.321452059423</v>
      </c>
      <c r="I62" s="33" t="n">
        <f aca="false">H62+I61</f>
        <v>-388.366726316898</v>
      </c>
      <c r="J62" s="33" t="n">
        <f aca="false">I62+J61</f>
        <v>-365.578047550636</v>
      </c>
      <c r="K62" s="33" t="n">
        <f aca="false">J62+K61</f>
        <v>-232.177352367004</v>
      </c>
      <c r="L62" s="33" t="n">
        <f aca="false">K62+L61</f>
        <v>-66.6797594626495</v>
      </c>
      <c r="M62" s="33" t="n">
        <f aca="false">L62+M61</f>
        <v>134.915651765691</v>
      </c>
      <c r="N62" s="33" t="n">
        <f aca="false">M62+N61</f>
        <v>368.818183697602</v>
      </c>
      <c r="O62" s="33" t="n">
        <f aca="false">N62+O61</f>
        <v>535.758273987606</v>
      </c>
      <c r="P62" s="33" t="n">
        <f aca="false">O62+P61</f>
        <v>850.324426674745</v>
      </c>
      <c r="Q62" s="33" t="n">
        <f aca="false">P62+Q61</f>
        <v>1214.1254623378</v>
      </c>
      <c r="R62" s="33" t="n">
        <f aca="false">Q62+R61</f>
        <v>1617.65809277219</v>
      </c>
      <c r="S62" s="33" t="n">
        <f aca="false">R62+S61</f>
        <v>2326.82341944093</v>
      </c>
      <c r="T62" s="33" t="n">
        <f aca="false">S62+T61</f>
        <v>2973.48084391301</v>
      </c>
      <c r="U62" s="33" t="n">
        <f aca="false">T62+U61</f>
        <v>3831.6320513604</v>
      </c>
      <c r="V62" s="33" t="n">
        <f aca="false">U62+V61</f>
        <v>4775.99086619947</v>
      </c>
      <c r="W62" s="33" t="n">
        <f aca="false">V62+W61</f>
        <v>5815.44420726819</v>
      </c>
      <c r="X62" s="33" t="n">
        <f aca="false">W62+X61</f>
        <v>5815.44420726819</v>
      </c>
      <c r="Y62" s="33" t="n">
        <f aca="false">X62+Y61</f>
        <v>5815.44420726819</v>
      </c>
      <c r="Z62" s="33" t="n">
        <f aca="false">Y62+Z61</f>
        <v>5815.44420726819</v>
      </c>
      <c r="AA62" s="33" t="n">
        <f aca="false">Z62+AA61</f>
        <v>5815.44420726819</v>
      </c>
      <c r="AB62" s="33" t="n">
        <f aca="false">AA62+AB61</f>
        <v>5815.44420726819</v>
      </c>
      <c r="AC62" s="33" t="n">
        <f aca="false">AB62+AC61</f>
        <v>5815.44420726819</v>
      </c>
      <c r="AD62" s="33" t="n">
        <f aca="false">AC62+AD61</f>
        <v>5815.44420726819</v>
      </c>
      <c r="AE62" s="33" t="n">
        <f aca="false">AD62+AE61</f>
        <v>5815.44420726819</v>
      </c>
      <c r="AF62" s="33" t="n">
        <f aca="false">AE62+AF61</f>
        <v>5815.44420726819</v>
      </c>
      <c r="AG62" s="33" t="n">
        <f aca="false">AF62+AG61</f>
        <v>5815.44420726819</v>
      </c>
    </row>
    <row r="63" customFormat="false" ht="15" hidden="false" customHeight="false" outlineLevel="0" collapsed="false">
      <c r="A63" s="9" t="s">
        <v>168</v>
      </c>
      <c r="D63" s="22" t="str">
        <f aca="false">""</f>
        <v/>
      </c>
      <c r="E63" s="22" t="str">
        <f aca="false">IF(AND(E62&gt;=0,D62&lt;0),E6,"")</f>
        <v/>
      </c>
      <c r="F63" s="22" t="str">
        <f aca="false">IF(AND(F62&gt;=0,E62&lt;0),F6,"")</f>
        <v/>
      </c>
      <c r="G63" s="22" t="str">
        <f aca="false">IF(AND(G62&gt;=0,F62&lt;0),G6,"")</f>
        <v/>
      </c>
      <c r="H63" s="22" t="str">
        <f aca="false">IF(AND(H62&gt;=0,G62&lt;0),H6,"")</f>
        <v/>
      </c>
      <c r="I63" s="22" t="str">
        <f aca="false">IF(AND(I62&gt;=0,H62&lt;0),I6,"")</f>
        <v/>
      </c>
      <c r="J63" s="22" t="str">
        <f aca="false">IF(AND(J62&gt;=0,I62&lt;0),J6,"")</f>
        <v/>
      </c>
      <c r="K63" s="22" t="str">
        <f aca="false">IF(AND(K62&gt;=0,J62&lt;0),K6,"")</f>
        <v/>
      </c>
      <c r="L63" s="22" t="str">
        <f aca="false">IF(AND(L62&gt;=0,K62&lt;0),L6,"")</f>
        <v/>
      </c>
      <c r="M63" s="22" t="n">
        <f aca="false">IF(AND(M62&gt;=0,L62&lt;0),M6,"")</f>
        <v>10</v>
      </c>
      <c r="N63" s="22" t="str">
        <f aca="false">IF(AND(N62&gt;=0,M62&lt;0),N6,"")</f>
        <v/>
      </c>
      <c r="O63" s="22" t="str">
        <f aca="false">IF(AND(O62&gt;=0,N62&lt;0),O6,"")</f>
        <v/>
      </c>
      <c r="P63" s="22" t="str">
        <f aca="false">IF(AND(P62&gt;=0,O62&lt;0),P6,"")</f>
        <v/>
      </c>
      <c r="Q63" s="22" t="str">
        <f aca="false">IF(AND(Q62&gt;=0,P62&lt;0),Q6,"")</f>
        <v/>
      </c>
      <c r="R63" s="22" t="str">
        <f aca="false">IF(AND(R62&gt;=0,Q62&lt;0),R6,"")</f>
        <v/>
      </c>
      <c r="S63" s="22" t="str">
        <f aca="false">IF(AND(S62&gt;=0,R62&lt;0),S6,"")</f>
        <v/>
      </c>
      <c r="T63" s="22" t="str">
        <f aca="false">IF(AND(T62&gt;=0,S62&lt;0),T6,"")</f>
        <v/>
      </c>
      <c r="U63" s="22" t="str">
        <f aca="false">IF(AND(U62&gt;=0,T62&lt;0),U6,"")</f>
        <v/>
      </c>
      <c r="V63" s="22" t="str">
        <f aca="false">IF(AND(V62&gt;=0,U62&lt;0),V6,"")</f>
        <v/>
      </c>
      <c r="W63" s="22" t="str">
        <f aca="false">IF(AND(W62&gt;=0,V62&lt;0),W6,"")</f>
        <v/>
      </c>
      <c r="X63" s="22" t="str">
        <f aca="false">IF(AND(X62&gt;=0,W62&lt;0),X6,"")</f>
        <v/>
      </c>
      <c r="Y63" s="22" t="str">
        <f aca="false">IF(AND(Y62&gt;=0,X62&lt;0),Y6,"")</f>
        <v/>
      </c>
      <c r="Z63" s="22" t="str">
        <f aca="false">IF(AND(Z62&gt;=0,Y62&lt;0),Z6,"")</f>
        <v/>
      </c>
      <c r="AA63" s="22" t="str">
        <f aca="false">IF(AND(AA62&gt;=0,Z62&lt;0),AA6,"")</f>
        <v/>
      </c>
      <c r="AB63" s="22" t="str">
        <f aca="false">IF(AND(AB62&gt;=0,AA62&lt;0),AB6,"")</f>
        <v/>
      </c>
      <c r="AC63" s="22" t="str">
        <f aca="false">IF(AND(AC62&gt;=0,AB62&lt;0),AC6,"")</f>
        <v/>
      </c>
      <c r="AD63" s="22" t="str">
        <f aca="false">IF(AND(AD62&gt;=0,AC62&lt;0),AD6,"")</f>
        <v/>
      </c>
      <c r="AE63" s="22" t="str">
        <f aca="false">IF(AND(AE62&gt;=0,AD62&lt;0),AE6,"")</f>
        <v/>
      </c>
      <c r="AF63" s="22" t="str">
        <f aca="false">IF(AND(AF62&gt;=0,AE62&lt;0),AF6,"")</f>
        <v/>
      </c>
      <c r="AG63" s="22" t="str">
        <f aca="false">IF(AND(AG62&gt;=0,AF62&lt;0),AG6,"")</f>
        <v/>
      </c>
    </row>
    <row r="65" customFormat="false" ht="15" hidden="false" customHeight="false" outlineLevel="0" collapsed="false">
      <c r="A65" s="4" t="s">
        <v>169</v>
      </c>
    </row>
    <row r="66" customFormat="false" ht="15" hidden="false" customHeight="false" outlineLevel="0" collapsed="false">
      <c r="A66" s="10" t="s">
        <v>170</v>
      </c>
      <c r="B66" s="10"/>
      <c r="C66" s="42" t="str">
        <f aca="false">IF(ABS(Inputs!F10-1)&lt;0.0001,"OK","CHECK")</f>
        <v>OK</v>
      </c>
    </row>
    <row r="67" customFormat="false" ht="15" hidden="false" customHeight="false" outlineLevel="0" collapsed="false">
      <c r="A67" s="10" t="s">
        <v>171</v>
      </c>
      <c r="B67" s="10"/>
      <c r="C67" s="42" t="str">
        <f aca="false">IF(ABS(C32-Inputs!C9)&lt;0.01,"OK","CHECK")</f>
        <v>OK</v>
      </c>
    </row>
    <row r="68" customFormat="false" ht="15" hidden="false" customHeight="false" outlineLevel="0" collapsed="false">
      <c r="A68" s="10" t="s">
        <v>172</v>
      </c>
      <c r="B68" s="10"/>
      <c r="C68" s="42" t="str">
        <f aca="false">IF(ABS(AG47)&lt;0.01,"OK","CHECK")</f>
        <v>OK</v>
      </c>
    </row>
    <row r="69" customFormat="false" ht="15" hidden="false" customHeight="false" outlineLevel="0" collapsed="false">
      <c r="A69" s="10" t="s">
        <v>173</v>
      </c>
      <c r="B69" s="10"/>
      <c r="C69" s="42" t="str">
        <f aca="false">IF(AND(Inputs!C14+Inputs!C15&lt;=Inputs!C40,Inputs!C15&lt;=25),"OK","CHECK")</f>
        <v>OK</v>
      </c>
    </row>
    <row r="70" customFormat="false" ht="15" hidden="false" customHeight="false" outlineLevel="0" collapsed="false">
      <c r="A70" s="10" t="s">
        <v>174</v>
      </c>
      <c r="B70" s="10"/>
      <c r="C70" s="42" t="str">
        <f aca="false">IF(COUNTIF(D45:AG45,"&lt;-0.001")=0,"OK","CHECK")</f>
        <v>OK</v>
      </c>
    </row>
    <row r="71" customFormat="false" ht="15" hidden="false" customHeight="false" outlineLevel="0" collapsed="false">
      <c r="A71" s="10" t="s">
        <v>175</v>
      </c>
      <c r="B71" s="10"/>
      <c r="C71" s="42" t="str">
        <f aca="false">IF(OR(Inputs!I6="Sculpted",AND(ABS(Inputs!I35-1)&lt;0.0001,COUNT(Inputs!I10:I34)&lt;=Inputs!C15)),"OK","CHECK")</f>
        <v>OK</v>
      </c>
    </row>
    <row r="72" customFormat="false" ht="15" hidden="false" customHeight="false" outlineLevel="0" collapsed="false">
      <c r="A72" s="10" t="s">
        <v>176</v>
      </c>
      <c r="B72" s="10"/>
      <c r="C72" s="42" t="str">
        <f aca="false">IF(AND(Inputs!C8&lt;=30,Inputs!C7&lt;=4,Inputs!C7&gt;=1),"OK","CHECK")</f>
        <v>OK</v>
      </c>
    </row>
    <row r="73" customFormat="false" ht="15" hidden="false" customHeight="false" outlineLevel="0" collapsed="false">
      <c r="A73" s="10" t="s">
        <v>177</v>
      </c>
      <c r="B73" s="10"/>
      <c r="C73" s="42" t="str">
        <f aca="false">IF(Inputs!C42&lt;=Inputs!F21+0.01,"OK","CHECK")</f>
        <v>OK</v>
      </c>
    </row>
  </sheetData>
  <mergeCells count="8">
    <mergeCell ref="A66:B66"/>
    <mergeCell ref="A67:B67"/>
    <mergeCell ref="A68:B68"/>
    <mergeCell ref="A69:B69"/>
    <mergeCell ref="A70:B70"/>
    <mergeCell ref="A71:B71"/>
    <mergeCell ref="A72:B72"/>
    <mergeCell ref="A73:B73"/>
  </mergeCells>
  <conditionalFormatting sqref="C66:C73">
    <cfRule type="cellIs" priority="2" operator="equal" aboveAverage="0" equalAverage="0" bottom="0" percent="0" rank="0" text="" dxfId="0">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2026-10-25T20:15:12Z</dcterms:created>
  <dc:creator>sachinnagpal.in</dc:creator>
  <dc:description/>
  <dc:language>en-US</dc:language>
  <cp:lastModifiedBy/>
  <dcterms:modified xsi:type="dcterms:W3CDTF">2026-10-25T20:15:12Z</dcterms:modified>
  <cp:revision>0</cp:revision>
  <dc:subject/>
  <dc:title>M-Toll-Road-SPV-Financial-Model.xlsx</dc:title>
</cp:coreProperties>
</file>

<file path=docProps/custom.xml><?xml version="1.0" encoding="utf-8"?>
<Properties xmlns="http://schemas.openxmlformats.org/officeDocument/2006/custom-properties" xmlns:vt="http://schemas.openxmlformats.org/officeDocument/2006/docPropsVTypes"/>
</file>