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Inputs" sheetId="2" state="visible" r:id="rId4"/>
    <sheet name="Annuity Schedule" sheetId="3" state="visible" r:id="rId5"/>
    <sheet name="Cash Flow"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<sst xmlns="http://schemas.openxmlformats.org/spreadsheetml/2006/main" count="122" uniqueCount="110">
  <si>
    <t xml:space="preserve">Template L: HAM (Hybrid Annuity Model) Annuity Schedule</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</si>
  <si>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</si>
  <si>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</si>
  <si>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</si>
  <si>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Works out what the authority pays a road developer under a Hybrid Annuity Model concession: (1) construction support (40% of the Bid Project Cost in the sample) paid in instalments as construction milestones are reached, (2) the balance 'completion cost' repaid in half-yearly annuities over the operation period with interest on the reducing balance, and (3) half-yearly O&amp;M payments. All amounts are inflated by a Price Index Multiple. A simple developer view adds EPC and O&amp;M costs to give a pre-tax project IRR.</t>
  </si>
  <si>
    <t xml:space="preserve">How to use it (step by step)</t>
  </si>
  <si>
    <t xml:space="preserve">Step 1</t>
  </si>
  <si>
    <t xml:space="preserve">Go to 'Inputs'. Type the Bid Project Cost (₹ crore), bid base date, appointed date, construction period, the inflation inputs for the Price Index Multiple (WPI and CPI with their weights), the interest rate on the annuity balance (reference rate + spread), the number of annuities and the O&amp;M bid amount.</t>
  </si>
  <si>
    <t xml:space="preserve">Step 2</t>
  </si>
  <si>
    <t xml:space="preserve">In the instalments table on 'Inputs', type each construction-support instalment as a % of Bid Project Cost and the date you expect to reach that milestone. The sample uses five instalments of 8% each.</t>
  </si>
  <si>
    <t xml:space="preserve">Step 3</t>
  </si>
  <si>
    <t xml:space="preserve">Optional developer view: type your EPC cost and the % of O&amp;M payments you expect to spend on actual O&amp;M.</t>
  </si>
  <si>
    <t xml:space="preserve">Step 4</t>
  </si>
  <si>
    <t xml:space="preserve">Open 'Annuity Schedule' for the 30 half-yearly payments: principal annuity, interest, O&amp;M payment and total.</t>
  </si>
  <si>
    <t xml:space="preserve">Step 5</t>
  </si>
  <si>
    <t xml:space="preserve">Open 'Cash Flow' for the half-yearly cash flows and the project IRR. Check that the checks on 'Cash Flow' read OK.</t>
  </si>
  <si>
    <t xml:space="preserve">Tabs in this file</t>
  </si>
  <si>
    <t xml:space="preserve">Inputs</t>
  </si>
  <si>
    <t xml:space="preserve">Bid Project Cost, dates, inflation, interest, O&amp;M and the construction-support instalments.</t>
  </si>
  <si>
    <t xml:space="preserve">Annuity Schedule</t>
  </si>
  <si>
    <t xml:space="preserve">Half-yearly annuity, interest and O&amp;M payments after COD.</t>
  </si>
  <si>
    <t xml:space="preserve">Cash Flow</t>
  </si>
  <si>
    <t xml:space="preserve">Half-yearly cash flows from appointed date, developer view, project IRR and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</si>
  <si>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</si>
  <si>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</si>
  <si>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</si>
  <si>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</si>
  <si>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</si>
  <si>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</si>
  <si>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</si>
  <si>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</si>
  <si>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</si>
  <si>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Price Index Multiple (PIM) at a date = (1 + blended inflation) ^ (years since base date). Blended inflation = WPI weight x WPI + CPI weight x CPI. Real concessions use actual monthly index values; replace the formula with actual PIMs once known.</t>
  </si>
  <si>
    <t xml:space="preserve">Construction support instalment = instalment % x Bid Project Cost x PIM at the milestone date.</t>
  </si>
  <si>
    <t xml:space="preserve">Completion cost = (100% - total construction support %) x Bid Project Cost x PIM at the commercial operation date (COD). It is repaid in equal half-yearly instalments.</t>
  </si>
  <si>
    <t xml:space="preserve">Interest each half-year = opening balance of completion cost x annual rate / 2. The reference rate has changed across versions of the model agreement (for example bank rate + 3% earlier, MCLR-linked later). Use your concession agreement.</t>
  </si>
  <si>
    <t xml:space="preserve">O&amp;M payment each half-year = annual O&amp;M bid / 2 x PIM at the payment date.</t>
  </si>
  <si>
    <t xml:space="preserve">Not covered: bonus for early completion, damages, change of scope, tax, financing. Figures are illustrative only and do not represent any real project or the authority's actual payments.</t>
  </si>
  <si>
    <t xml:space="preserve">Version</t>
  </si>
  <si>
    <t xml:space="preserve">v1.0, October 2026. Works in Excel 2010 or later, Excel for Microsoft 365, LibreOffice and Google Sheets. Amounts in Indian Rupees (₹).</t>
  </si>
  <si>
    <t xml:space="preserve">HAM Inputs (₹ crore)</t>
  </si>
  <si>
    <t xml:space="preserve">For computation and reconciliation assistance only; not a substitute for formal statutory audit or legal tax advice.</t>
  </si>
  <si>
    <t xml:space="preserve">Sample project is illustrative only.</t>
  </si>
  <si>
    <t xml:space="preserve">Bid Project Cost, BPC (₹ crore, at base date)</t>
  </si>
  <si>
    <t xml:space="preserve">Bid base date</t>
  </si>
  <si>
    <t xml:space="preserve">Appointed date (construction starts)</t>
  </si>
  <si>
    <t xml:space="preserve">Construction period (months)</t>
  </si>
  <si>
    <t xml:space="preserve">WPI inflation (annual)</t>
  </si>
  <si>
    <t xml:space="preserve">CPI inflation (annual)</t>
  </si>
  <si>
    <t xml:space="preserve">WPI weight in PIM</t>
  </si>
  <si>
    <t xml:space="preserve">CPI weight in PIM</t>
  </si>
  <si>
    <t xml:space="preserve">Reference interest rate (annual)</t>
  </si>
  <si>
    <t xml:space="preserve">Spread over reference rate</t>
  </si>
  <si>
    <t xml:space="preserve">Number of half-yearly annuities</t>
  </si>
  <si>
    <t xml:space="preserve">O&amp;M bid amount (₹ crore per year, at base date)</t>
  </si>
  <si>
    <t xml:space="preserve">Developer view: EPC cost (₹ crore, nominal)</t>
  </si>
  <si>
    <t xml:space="preserve">Developer view: actual O&amp;M cost as % of O&amp;M payments</t>
  </si>
  <si>
    <t xml:space="preserve">Derived</t>
  </si>
  <si>
    <t xml:space="preserve">Scheduled COD (commercial operation date)</t>
  </si>
  <si>
    <t xml:space="preserve">Blended PIM inflation (annual)</t>
  </si>
  <si>
    <t xml:space="preserve">Interest rate on annuity balance (annual)</t>
  </si>
  <si>
    <t xml:space="preserve">PIM at COD</t>
  </si>
  <si>
    <t xml:space="preserve">Total construction support %</t>
  </si>
  <si>
    <t xml:space="preserve">Completion cost (₹ crore, at COD)</t>
  </si>
  <si>
    <t xml:space="preserve">Construction half-years</t>
  </si>
  <si>
    <t xml:space="preserve">Construction-support instalments</t>
  </si>
  <si>
    <t xml:space="preserve">Milestone</t>
  </si>
  <si>
    <t xml:space="preserve">Milestone date</t>
  </si>
  <si>
    <t xml:space="preserve">% of BPC</t>
  </si>
  <si>
    <t xml:space="preserve">PIM at date</t>
  </si>
  <si>
    <t xml:space="preserve">Amount (₹ crore)</t>
  </si>
  <si>
    <t xml:space="preserve">10% physical progress</t>
  </si>
  <si>
    <t xml:space="preserve">30% physical progress</t>
  </si>
  <si>
    <t xml:space="preserve">50% physical progress</t>
  </si>
  <si>
    <t xml:space="preserve">75% physical progress</t>
  </si>
  <si>
    <t xml:space="preserve">90% physical progress</t>
  </si>
  <si>
    <t xml:space="preserve">TOTAL</t>
  </si>
  <si>
    <t xml:space="preserve">Annuity, Interest and O&amp;M Payments after COD (₹ crore)</t>
  </si>
  <si>
    <t xml:space="preserve">No.</t>
  </si>
  <si>
    <t xml:space="preserve">Payment date</t>
  </si>
  <si>
    <t xml:space="preserve">Opening completion cost</t>
  </si>
  <si>
    <t xml:space="preserve">Annuity (principal)</t>
  </si>
  <si>
    <t xml:space="preserve">Interest</t>
  </si>
  <si>
    <t xml:space="preserve">Closing balance</t>
  </si>
  <si>
    <t xml:space="preserve">O&amp;M payment</t>
  </si>
  <si>
    <t xml:space="preserve">Total payment from authority</t>
  </si>
  <si>
    <t xml:space="preserve">Active?</t>
  </si>
  <si>
    <t xml:space="preserve">Up to 60 annuities supported; rows after the last annuity show zero.</t>
  </si>
  <si>
    <t xml:space="preserve">Half-Yearly Cash Flow from Appointed Date (₹ crore)</t>
  </si>
  <si>
    <t xml:space="preserve">Half-year</t>
  </si>
  <si>
    <t xml:space="preserve">From</t>
  </si>
  <si>
    <t xml:space="preserve">To</t>
  </si>
  <si>
    <t xml:space="preserve">Construction support received</t>
  </si>
  <si>
    <t xml:space="preserve">Annuity + interest received</t>
  </si>
  <si>
    <t xml:space="preserve">O&amp;M payment received</t>
  </si>
  <si>
    <t xml:space="preserve">Total from authority</t>
  </si>
  <si>
    <t xml:space="preserve">EPC cost (developer)</t>
  </si>
  <si>
    <t xml:space="preserve">O&amp;M cost (developer)</t>
  </si>
  <si>
    <t xml:space="preserve">Net project cash flow</t>
  </si>
  <si>
    <t xml:space="preserve">Developer view (pre-tax, before financing)</t>
  </si>
  <si>
    <t xml:space="preserve">Project IRR (half-yearly)</t>
  </si>
  <si>
    <t xml:space="preserve">Project IRR (annualised)</t>
  </si>
  <si>
    <t xml:space="preserve">Simplified: EPC cost spread evenly over construction half-years; no tax, working capital, financing or bonus. For a full model see Template M.</t>
  </si>
  <si>
    <t xml:space="preserve">Checks</t>
  </si>
  <si>
    <t xml:space="preserve">Construction support received = instalments on Inputs (all milestone dates fall in the timeline)</t>
  </si>
  <si>
    <t xml:space="preserve">Annuity principal repaid = completion cost</t>
  </si>
  <si>
    <t xml:space="preserve">Completion cost fully repaid (closing balance nil after last annuity)</t>
  </si>
  <si>
    <t xml:space="preserve">All annuity and O&amp;M receipts fall in the timeline</t>
  </si>
  <si>
    <t xml:space="preserve">Construction support % is not above 100%</t>
  </si>
  <si>
    <t xml:space="preserve">Milestone dates are on or before COD</t>
  </si>
</sst>
</file>

<file path=xl/styles.xml><?xml version="1.0" encoding="utf-8"?>
<styleSheet xmlns="http://schemas.openxmlformats.org/spreadsheetml/2006/main">
  <numFmts count="7">
    <numFmt numFmtId="164" formatCode="General"/>
    <numFmt numFmtId="165" formatCode="#,##0.00;\(#,##0.00\);\-"/>
    <numFmt numFmtId="166" formatCode="dd\-mmm\-yyyy"/>
    <numFmt numFmtId="167" formatCode="0"/>
    <numFmt numFmtId="168" formatCode="0.00%;\(0.00%\);\-"/>
    <numFmt numFmtId="169" formatCode="0.0%;\(0.0%\);\-"/>
    <numFmt numFmtId="170" formatCode="0.0000"/>
  </numFmts>
  <fonts count="15">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7" fontId="10" fillId="3" borderId="1" xfId="0" applyFont="true" applyBorder="true" applyAlignment="false" applyProtection="false">
      <alignment horizontal="general" vertical="bottom" textRotation="0" wrapText="false" indent="0" shrinkToFit="false"/>
      <protection locked="true" hidden="false"/>
    </xf>
    <xf numFmtId="168" fontId="10" fillId="3" borderId="1" xfId="0" applyFont="true" applyBorder="true" applyAlignment="false" applyProtection="false">
      <alignment horizontal="general" vertical="bottom" textRotation="0" wrapText="false" indent="0" shrinkToFit="false"/>
      <protection locked="true" hidden="false"/>
    </xf>
    <xf numFmtId="169" fontId="10" fillId="3"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8" fontId="8" fillId="0" borderId="1" xfId="0" applyFont="true" applyBorder="true" applyAlignment="false" applyProtection="false">
      <alignment horizontal="general" vertical="bottom" textRotation="0" wrapText="false" indent="0" shrinkToFit="false"/>
      <protection locked="true" hidden="false"/>
    </xf>
    <xf numFmtId="170" fontId="8" fillId="0" borderId="1" xfId="0" applyFont="true" applyBorder="true" applyAlignment="false" applyProtection="false">
      <alignment horizontal="general" vertical="bottom" textRotation="0" wrapText="false" indent="0" shrinkToFit="false"/>
      <protection locked="true" hidden="false"/>
    </xf>
    <xf numFmtId="169" fontId="8" fillId="0" borderId="1" xfId="0" applyFont="true" applyBorder="tru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4" fontId="9" fillId="6" borderId="1" xfId="0" applyFont="true" applyBorder="true" applyAlignment="false" applyProtection="false">
      <alignment horizontal="general" vertical="bottom" textRotation="0" wrapText="false" indent="0" shrinkToFit="false"/>
      <protection locked="true" hidden="false"/>
    </xf>
    <xf numFmtId="169" fontId="9" fillId="6" borderId="1" xfId="0" applyFont="true" applyBorder="true" applyAlignment="false" applyProtection="false">
      <alignment horizontal="general" vertical="bottom" textRotation="0" wrapText="false" indent="0" shrinkToFit="false"/>
      <protection locked="true" hidden="false"/>
    </xf>
    <xf numFmtId="165" fontId="9" fillId="6" borderId="1" xfId="0" applyFont="true" applyBorder="true" applyAlignment="false" applyProtection="false">
      <alignment horizontal="general" vertical="bottom" textRotation="0" wrapText="false" indent="0" shrinkToFit="false"/>
      <protection locked="true" hidden="false"/>
    </xf>
    <xf numFmtId="165" fontId="11" fillId="0" borderId="1" xfId="0" applyFont="true" applyBorder="true" applyAlignment="false" applyProtection="false">
      <alignment horizontal="general" vertical="bottom" textRotation="0" wrapText="false" indent="0" shrinkToFit="false"/>
      <protection locked="true" hidden="false"/>
    </xf>
    <xf numFmtId="165" fontId="9" fillId="0" borderId="1" xfId="0" applyFont="true" applyBorder="true" applyAlignment="false" applyProtection="false">
      <alignment horizontal="general" vertical="bottom" textRotation="0" wrapText="false" indent="0" shrinkToFit="false"/>
      <protection locked="true" hidden="false"/>
    </xf>
    <xf numFmtId="168" fontId="9" fillId="6"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ont>
        <name val="Arial"/>
        <charset val="1"/>
        <family val="0"/>
        <color rgb="FFBFBFBF"/>
      </font>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CE4D6"/>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5"/>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75" hidden="false" customHeight="true" outlineLevel="0" collapsed="false">
      <c r="B7" s="5" t="s">
        <v>4</v>
      </c>
      <c r="C7" s="5"/>
    </row>
    <row r="9" customFormat="false" ht="15" hidden="false" customHeight="false" outlineLevel="0" collapsed="false">
      <c r="B9" s="4" t="s">
        <v>5</v>
      </c>
    </row>
    <row r="10" customFormat="false" ht="60" hidden="false" customHeight="true" outlineLevel="0" collapsed="false">
      <c r="B10" s="6" t="s">
        <v>6</v>
      </c>
      <c r="C10" s="7" t="s">
        <v>7</v>
      </c>
    </row>
    <row r="11" customFormat="false" ht="45"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4" customFormat="false" ht="30" hidden="false" customHeight="true" outlineLevel="0" collapsed="false">
      <c r="B14" s="6" t="s">
        <v>14</v>
      </c>
      <c r="C14" s="7" t="s">
        <v>15</v>
      </c>
    </row>
    <row r="16" customFormat="false" ht="15" hidden="false" customHeight="false" outlineLevel="0" collapsed="false">
      <c r="B16" s="4" t="s">
        <v>16</v>
      </c>
    </row>
    <row r="17" customFormat="false" ht="15" hidden="false" customHeight="true" outlineLevel="0" collapsed="false">
      <c r="B17" s="6" t="s">
        <v>17</v>
      </c>
      <c r="C17" s="7"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1" customFormat="false" ht="15" hidden="false" customHeight="false" outlineLevel="0" collapsed="false">
      <c r="B21" s="4" t="s">
        <v>23</v>
      </c>
    </row>
    <row r="22" customFormat="false" ht="15" hidden="false" customHeight="false" outlineLevel="0" collapsed="false">
      <c r="B22" s="8" t="s">
        <v>24</v>
      </c>
      <c r="C22" s="9" t="s">
        <v>25</v>
      </c>
    </row>
    <row r="23" customFormat="false" ht="15" hidden="false" customHeight="false" outlineLevel="0" collapsed="false">
      <c r="B23" s="10" t="s">
        <v>24</v>
      </c>
      <c r="C23" s="9" t="s">
        <v>26</v>
      </c>
    </row>
    <row r="24" customFormat="false" ht="15" hidden="false" customHeight="false" outlineLevel="0" collapsed="false">
      <c r="B24" s="11" t="s">
        <v>24</v>
      </c>
      <c r="C24" s="9" t="s">
        <v>27</v>
      </c>
    </row>
    <row r="25" customFormat="false" ht="15" hidden="false" customHeight="false" outlineLevel="0" collapsed="false">
      <c r="B25" s="12" t="s">
        <v>28</v>
      </c>
      <c r="C25" s="9" t="s">
        <v>29</v>
      </c>
    </row>
    <row r="27" customFormat="false" ht="15" hidden="false" customHeight="false" outlineLevel="0" collapsed="false">
      <c r="B27" s="4" t="s">
        <v>30</v>
      </c>
    </row>
    <row r="28" customFormat="false" ht="45" hidden="false" customHeight="true" outlineLevel="0" collapsed="false">
      <c r="B28" s="13" t="s">
        <v>31</v>
      </c>
      <c r="C28" s="7" t="s">
        <v>32</v>
      </c>
    </row>
    <row r="29" customFormat="false" ht="15" hidden="false" customHeight="true" outlineLevel="0" collapsed="false">
      <c r="B29" s="13" t="s">
        <v>31</v>
      </c>
      <c r="C29" s="7" t="s">
        <v>33</v>
      </c>
    </row>
    <row r="30" customFormat="false" ht="30" hidden="false" customHeight="true" outlineLevel="0" collapsed="false">
      <c r="B30" s="13" t="s">
        <v>31</v>
      </c>
      <c r="C30" s="7" t="s">
        <v>34</v>
      </c>
    </row>
    <row r="31" customFormat="false" ht="45" hidden="false" customHeight="true" outlineLevel="0" collapsed="false">
      <c r="B31" s="13" t="s">
        <v>31</v>
      </c>
      <c r="C31" s="7" t="s">
        <v>35</v>
      </c>
    </row>
    <row r="32" customFormat="false" ht="15" hidden="false" customHeight="true" outlineLevel="0" collapsed="false">
      <c r="B32" s="13" t="s">
        <v>31</v>
      </c>
      <c r="C32" s="7" t="s">
        <v>36</v>
      </c>
    </row>
    <row r="33" customFormat="false" ht="30" hidden="false" customHeight="true" outlineLevel="0" collapsed="false">
      <c r="B33" s="13" t="s">
        <v>31</v>
      </c>
      <c r="C33" s="7" t="s">
        <v>37</v>
      </c>
    </row>
    <row r="35" customFormat="false" ht="15" hidden="false" customHeight="false" outlineLevel="0" collapsed="false">
      <c r="B35" s="14" t="s">
        <v>38</v>
      </c>
      <c r="C35" s="9" t="s">
        <v>39</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4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52"/>
    <col collapsed="false" customWidth="true" hidden="false" outlineLevel="0" max="2" min="2" style="0" width="14"/>
    <col collapsed="false" customWidth="true" hidden="false" outlineLevel="0" max="3" min="3" style="0" width="16"/>
    <col collapsed="false" customWidth="true" hidden="false" outlineLevel="0" max="4" min="4" style="0" width="12"/>
    <col collapsed="false" customWidth="true" hidden="false" outlineLevel="0" max="5" min="5" style="0" width="16"/>
  </cols>
  <sheetData>
    <row r="1" customFormat="false" ht="17.35" hidden="false" customHeight="false" outlineLevel="0" collapsed="false">
      <c r="A1" s="15" t="s">
        <v>40</v>
      </c>
    </row>
    <row r="2" customFormat="false" ht="15" hidden="false" customHeight="false" outlineLevel="0" collapsed="false">
      <c r="A2" s="16" t="s">
        <v>41</v>
      </c>
    </row>
    <row r="3" customFormat="false" ht="15" hidden="false" customHeight="false" outlineLevel="0" collapsed="false">
      <c r="A3" s="2" t="s">
        <v>42</v>
      </c>
    </row>
    <row r="5" customFormat="false" ht="15" hidden="false" customHeight="false" outlineLevel="0" collapsed="false">
      <c r="A5" s="14" t="s">
        <v>43</v>
      </c>
      <c r="C5" s="17" t="n">
        <v>1000</v>
      </c>
    </row>
    <row r="6" customFormat="false" ht="15" hidden="false" customHeight="false" outlineLevel="0" collapsed="false">
      <c r="A6" s="14" t="s">
        <v>44</v>
      </c>
      <c r="C6" s="18" t="n">
        <v>45658</v>
      </c>
    </row>
    <row r="7" customFormat="false" ht="15" hidden="false" customHeight="false" outlineLevel="0" collapsed="false">
      <c r="A7" s="14" t="s">
        <v>45</v>
      </c>
      <c r="C7" s="18" t="n">
        <v>45839</v>
      </c>
    </row>
    <row r="8" customFormat="false" ht="15" hidden="false" customHeight="false" outlineLevel="0" collapsed="false">
      <c r="A8" s="14" t="s">
        <v>46</v>
      </c>
      <c r="C8" s="19" t="n">
        <v>24</v>
      </c>
    </row>
    <row r="9" customFormat="false" ht="15" hidden="false" customHeight="false" outlineLevel="0" collapsed="false">
      <c r="A9" s="14" t="s">
        <v>47</v>
      </c>
      <c r="C9" s="20" t="n">
        <v>0.035</v>
      </c>
    </row>
    <row r="10" customFormat="false" ht="15" hidden="false" customHeight="false" outlineLevel="0" collapsed="false">
      <c r="A10" s="14" t="s">
        <v>48</v>
      </c>
      <c r="C10" s="20" t="n">
        <v>0.05</v>
      </c>
    </row>
    <row r="11" customFormat="false" ht="15" hidden="false" customHeight="false" outlineLevel="0" collapsed="false">
      <c r="A11" s="14" t="s">
        <v>49</v>
      </c>
      <c r="C11" s="21" t="n">
        <v>0.7</v>
      </c>
    </row>
    <row r="12" customFormat="false" ht="15" hidden="false" customHeight="false" outlineLevel="0" collapsed="false">
      <c r="A12" s="14" t="s">
        <v>50</v>
      </c>
      <c r="C12" s="21" t="n">
        <v>0.3</v>
      </c>
    </row>
    <row r="13" customFormat="false" ht="15" hidden="false" customHeight="false" outlineLevel="0" collapsed="false">
      <c r="A13" s="14" t="s">
        <v>51</v>
      </c>
      <c r="C13" s="20" t="n">
        <v>0.0875</v>
      </c>
    </row>
    <row r="14" customFormat="false" ht="15" hidden="false" customHeight="false" outlineLevel="0" collapsed="false">
      <c r="A14" s="14" t="s">
        <v>52</v>
      </c>
      <c r="C14" s="20" t="n">
        <v>0.0125</v>
      </c>
    </row>
    <row r="15" customFormat="false" ht="15" hidden="false" customHeight="false" outlineLevel="0" collapsed="false">
      <c r="A15" s="14" t="s">
        <v>53</v>
      </c>
      <c r="C15" s="19" t="n">
        <v>30</v>
      </c>
    </row>
    <row r="16" customFormat="false" ht="15" hidden="false" customHeight="false" outlineLevel="0" collapsed="false">
      <c r="A16" s="14" t="s">
        <v>54</v>
      </c>
      <c r="C16" s="17" t="n">
        <v>5</v>
      </c>
    </row>
    <row r="17" customFormat="false" ht="15" hidden="false" customHeight="false" outlineLevel="0" collapsed="false">
      <c r="A17" s="14" t="s">
        <v>55</v>
      </c>
      <c r="C17" s="17" t="n">
        <v>900</v>
      </c>
    </row>
    <row r="18" customFormat="false" ht="15" hidden="false" customHeight="false" outlineLevel="0" collapsed="false">
      <c r="A18" s="14" t="s">
        <v>56</v>
      </c>
      <c r="C18" s="21" t="n">
        <v>0.8</v>
      </c>
    </row>
    <row r="20" customFormat="false" ht="15" hidden="false" customHeight="false" outlineLevel="0" collapsed="false">
      <c r="A20" s="4" t="s">
        <v>57</v>
      </c>
    </row>
    <row r="21" customFormat="false" ht="15" hidden="false" customHeight="false" outlineLevel="0" collapsed="false">
      <c r="A21" s="9" t="s">
        <v>58</v>
      </c>
      <c r="C21" s="22" t="n">
        <f aca="false">EDATE(C7,C8)</f>
        <v>46569</v>
      </c>
    </row>
    <row r="22" customFormat="false" ht="15" hidden="false" customHeight="false" outlineLevel="0" collapsed="false">
      <c r="A22" s="9" t="s">
        <v>59</v>
      </c>
      <c r="C22" s="23" t="n">
        <f aca="false">C11*C9+C12*C10</f>
        <v>0.0395</v>
      </c>
    </row>
    <row r="23" customFormat="false" ht="15" hidden="false" customHeight="false" outlineLevel="0" collapsed="false">
      <c r="A23" s="9" t="s">
        <v>60</v>
      </c>
      <c r="C23" s="23" t="n">
        <f aca="false">C13+C14</f>
        <v>0.1</v>
      </c>
    </row>
    <row r="24" customFormat="false" ht="15" hidden="false" customHeight="false" outlineLevel="0" collapsed="false">
      <c r="A24" s="9" t="s">
        <v>61</v>
      </c>
      <c r="C24" s="24" t="n">
        <f aca="false">(1+C22)^((C21-C6)/365)</f>
        <v>1.10151925301762</v>
      </c>
    </row>
    <row r="25" customFormat="false" ht="15" hidden="false" customHeight="false" outlineLevel="0" collapsed="false">
      <c r="A25" s="9" t="s">
        <v>62</v>
      </c>
      <c r="C25" s="25" t="n">
        <f aca="false">SUM(C31:C40)</f>
        <v>0.4</v>
      </c>
    </row>
    <row r="26" customFormat="false" ht="15" hidden="false" customHeight="false" outlineLevel="0" collapsed="false">
      <c r="A26" s="9" t="s">
        <v>63</v>
      </c>
      <c r="C26" s="26" t="n">
        <f aca="false">(1-C25)*C5*C24</f>
        <v>660.911551810574</v>
      </c>
    </row>
    <row r="27" customFormat="false" ht="15" hidden="false" customHeight="false" outlineLevel="0" collapsed="false">
      <c r="A27" s="9" t="s">
        <v>64</v>
      </c>
      <c r="C27" s="27" t="n">
        <f aca="false">ROUNDUP(C8/6,0)</f>
        <v>4</v>
      </c>
    </row>
    <row r="29" customFormat="false" ht="15" hidden="false" customHeight="false" outlineLevel="0" collapsed="false">
      <c r="A29" s="4" t="s">
        <v>65</v>
      </c>
    </row>
    <row r="30" customFormat="false" ht="30" hidden="false" customHeight="true" outlineLevel="0" collapsed="false">
      <c r="A30" s="28" t="s">
        <v>66</v>
      </c>
      <c r="B30" s="28" t="s">
        <v>67</v>
      </c>
      <c r="C30" s="28" t="s">
        <v>68</v>
      </c>
      <c r="D30" s="28" t="s">
        <v>69</v>
      </c>
      <c r="E30" s="28" t="s">
        <v>70</v>
      </c>
    </row>
    <row r="31" customFormat="false" ht="15" hidden="false" customHeight="false" outlineLevel="0" collapsed="false">
      <c r="A31" s="8" t="s">
        <v>71</v>
      </c>
      <c r="B31" s="18" t="n">
        <v>46006</v>
      </c>
      <c r="C31" s="21" t="n">
        <v>0.08</v>
      </c>
      <c r="D31" s="24" t="n">
        <f aca="false">IF(B31="",0,(1+$C$22)^((B31-$C$6)/365))</f>
        <v>1.03762609962574</v>
      </c>
      <c r="E31" s="26" t="n">
        <f aca="false">N(C31)*$C$5*D31</f>
        <v>83.0100879700592</v>
      </c>
    </row>
    <row r="32" customFormat="false" ht="15" hidden="false" customHeight="false" outlineLevel="0" collapsed="false">
      <c r="A32" s="8" t="s">
        <v>72</v>
      </c>
      <c r="B32" s="18" t="n">
        <v>46142</v>
      </c>
      <c r="C32" s="21" t="n">
        <v>0.08</v>
      </c>
      <c r="D32" s="24" t="n">
        <f aca="false">IF(B32="",0,(1+$C$22)^((B32-$C$6)/365))</f>
        <v>1.05271240239173</v>
      </c>
      <c r="E32" s="26" t="n">
        <f aca="false">N(C32)*$C$5*D32</f>
        <v>84.2169921913382</v>
      </c>
    </row>
    <row r="33" customFormat="false" ht="15" hidden="false" customHeight="false" outlineLevel="0" collapsed="false">
      <c r="A33" s="8" t="s">
        <v>73</v>
      </c>
      <c r="B33" s="18" t="n">
        <v>46295</v>
      </c>
      <c r="C33" s="21" t="n">
        <v>0.08</v>
      </c>
      <c r="D33" s="24" t="n">
        <f aca="false">IF(B33="",0,(1+$C$22)^((B33-$C$6)/365))</f>
        <v>1.06994683534934</v>
      </c>
      <c r="E33" s="26" t="n">
        <f aca="false">N(C33)*$C$5*D33</f>
        <v>85.5957468279473</v>
      </c>
    </row>
    <row r="34" customFormat="false" ht="15" hidden="false" customHeight="false" outlineLevel="0" collapsed="false">
      <c r="A34" s="8" t="s">
        <v>74</v>
      </c>
      <c r="B34" s="18" t="n">
        <v>46418</v>
      </c>
      <c r="C34" s="21" t="n">
        <v>0.08</v>
      </c>
      <c r="D34" s="24" t="n">
        <f aca="false">IF(B34="",0,(1+$C$22)^((B34-$C$6)/365))</f>
        <v>1.08400634043474</v>
      </c>
      <c r="E34" s="26" t="n">
        <f aca="false">N(C34)*$C$5*D34</f>
        <v>86.7205072347788</v>
      </c>
    </row>
    <row r="35" customFormat="false" ht="15" hidden="false" customHeight="false" outlineLevel="0" collapsed="false">
      <c r="A35" s="8" t="s">
        <v>75</v>
      </c>
      <c r="B35" s="18" t="n">
        <v>46522</v>
      </c>
      <c r="C35" s="21" t="n">
        <v>0.08</v>
      </c>
      <c r="D35" s="24" t="n">
        <f aca="false">IF(B35="",0,(1+$C$22)^((B35-$C$6)/365))</f>
        <v>1.09603809898254</v>
      </c>
      <c r="E35" s="26" t="n">
        <f aca="false">N(C35)*$C$5*D35</f>
        <v>87.6830479186029</v>
      </c>
    </row>
    <row r="36" customFormat="false" ht="15" hidden="false" customHeight="false" outlineLevel="0" collapsed="false">
      <c r="A36" s="8"/>
      <c r="B36" s="18"/>
      <c r="C36" s="21"/>
      <c r="D36" s="24" t="n">
        <f aca="false">IF(B36="",0,(1+$C$22)^((B36-$C$6)/365))</f>
        <v>0</v>
      </c>
      <c r="E36" s="26" t="n">
        <f aca="false">N(C36)*$C$5*D36</f>
        <v>0</v>
      </c>
    </row>
    <row r="37" customFormat="false" ht="15" hidden="false" customHeight="false" outlineLevel="0" collapsed="false">
      <c r="A37" s="8"/>
      <c r="B37" s="18"/>
      <c r="C37" s="21"/>
      <c r="D37" s="24" t="n">
        <f aca="false">IF(B37="",0,(1+$C$22)^((B37-$C$6)/365))</f>
        <v>0</v>
      </c>
      <c r="E37" s="26" t="n">
        <f aca="false">N(C37)*$C$5*D37</f>
        <v>0</v>
      </c>
    </row>
    <row r="38" customFormat="false" ht="15" hidden="false" customHeight="false" outlineLevel="0" collapsed="false">
      <c r="A38" s="8"/>
      <c r="B38" s="18"/>
      <c r="C38" s="21"/>
      <c r="D38" s="24" t="n">
        <f aca="false">IF(B38="",0,(1+$C$22)^((B38-$C$6)/365))</f>
        <v>0</v>
      </c>
      <c r="E38" s="26" t="n">
        <f aca="false">N(C38)*$C$5*D38</f>
        <v>0</v>
      </c>
    </row>
    <row r="39" customFormat="false" ht="15" hidden="false" customHeight="false" outlineLevel="0" collapsed="false">
      <c r="A39" s="8"/>
      <c r="B39" s="18"/>
      <c r="C39" s="21"/>
      <c r="D39" s="24" t="n">
        <f aca="false">IF(B39="",0,(1+$C$22)^((B39-$C$6)/365))</f>
        <v>0</v>
      </c>
      <c r="E39" s="26" t="n">
        <f aca="false">N(C39)*$C$5*D39</f>
        <v>0</v>
      </c>
    </row>
    <row r="40" customFormat="false" ht="15" hidden="false" customHeight="false" outlineLevel="0" collapsed="false">
      <c r="A40" s="8"/>
      <c r="B40" s="18"/>
      <c r="C40" s="21"/>
      <c r="D40" s="24" t="n">
        <f aca="false">IF(B40="",0,(1+$C$22)^((B40-$C$6)/365))</f>
        <v>0</v>
      </c>
      <c r="E40" s="26" t="n">
        <f aca="false">N(C40)*$C$5*D40</f>
        <v>0</v>
      </c>
    </row>
    <row r="41" customFormat="false" ht="15" hidden="false" customHeight="false" outlineLevel="0" collapsed="false">
      <c r="A41" s="29" t="s">
        <v>76</v>
      </c>
      <c r="C41" s="30" t="n">
        <f aca="false">SUM(C31:C40)</f>
        <v>0.4</v>
      </c>
      <c r="E41" s="31" t="n">
        <f aca="false">SUM(E31:E40)</f>
        <v>427.226382142726</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J6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5" topLeftCell="C6" activePane="bottomRight" state="frozen"/>
      <selection pane="topLeft" activeCell="A1" activeCellId="0" sqref="A1"/>
      <selection pane="topRight" activeCell="C1" activeCellId="0" sqref="C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6"/>
    <col collapsed="false" customWidth="true" hidden="false" outlineLevel="0" max="2" min="2" style="0" width="13"/>
    <col collapsed="false" customWidth="true" hidden="false" outlineLevel="0" max="6" min="3" style="0" width="15"/>
    <col collapsed="false" customWidth="true" hidden="false" outlineLevel="0" max="7" min="7" style="0" width="10"/>
    <col collapsed="false" customWidth="true" hidden="false" outlineLevel="0" max="9" min="8" style="0" width="15"/>
    <col collapsed="false" customWidth="true" hidden="false" outlineLevel="0" max="10" min="10" style="0" width="8"/>
  </cols>
  <sheetData>
    <row r="1" customFormat="false" ht="17.35" hidden="false" customHeight="false" outlineLevel="0" collapsed="false">
      <c r="A1" s="15" t="s">
        <v>77</v>
      </c>
    </row>
    <row r="2" customFormat="false" ht="15" hidden="false" customHeight="false" outlineLevel="0" collapsed="false">
      <c r="A2" s="16" t="s">
        <v>41</v>
      </c>
    </row>
    <row r="5" customFormat="false" ht="43.5" hidden="false" customHeight="true" outlineLevel="0" collapsed="false">
      <c r="A5" s="28" t="s">
        <v>78</v>
      </c>
      <c r="B5" s="28" t="s">
        <v>79</v>
      </c>
      <c r="C5" s="28" t="s">
        <v>80</v>
      </c>
      <c r="D5" s="28" t="s">
        <v>81</v>
      </c>
      <c r="E5" s="28" t="s">
        <v>82</v>
      </c>
      <c r="F5" s="28" t="s">
        <v>83</v>
      </c>
      <c r="G5" s="28" t="s">
        <v>69</v>
      </c>
      <c r="H5" s="28" t="s">
        <v>84</v>
      </c>
      <c r="I5" s="28" t="s">
        <v>85</v>
      </c>
      <c r="J5" s="28" t="s">
        <v>86</v>
      </c>
    </row>
    <row r="6" customFormat="false" ht="15" hidden="false" customHeight="false" outlineLevel="0" collapsed="false">
      <c r="A6" s="27" t="n">
        <v>1</v>
      </c>
      <c r="B6" s="22" t="n">
        <f aca="false">EDATE(Inputs!$C$21,6*A6)</f>
        <v>46753</v>
      </c>
      <c r="C6" s="32" t="n">
        <f aca="false">Inputs!$C$26</f>
        <v>660.911551810574</v>
      </c>
      <c r="D6" s="26" t="n">
        <f aca="false">IF(J6="Yes",Inputs!$C$26/Inputs!$C$15,0)</f>
        <v>22.0303850603525</v>
      </c>
      <c r="E6" s="26" t="n">
        <f aca="false">IF(J6="Yes",C6*Inputs!$C$23/2,0)</f>
        <v>33.0455775905287</v>
      </c>
      <c r="F6" s="26" t="n">
        <f aca="false">C6-D6</f>
        <v>638.881166750222</v>
      </c>
      <c r="G6" s="24" t="n">
        <f aca="false">(1+Inputs!$C$22)^((B6-Inputs!$C$6)/365)</f>
        <v>1.123242379875</v>
      </c>
      <c r="H6" s="26" t="n">
        <f aca="false">IF(J6="Yes",Inputs!$C$16/2*G6,0)</f>
        <v>2.8081059496875</v>
      </c>
      <c r="I6" s="33" t="n">
        <f aca="false">D6+E6+H6</f>
        <v>57.8840686005687</v>
      </c>
      <c r="J6" s="10" t="str">
        <f aca="false">IF(A6&lt;=Inputs!$C$15,"Yes","No")</f>
        <v>Yes</v>
      </c>
    </row>
    <row r="7" customFormat="false" ht="15" hidden="false" customHeight="false" outlineLevel="0" collapsed="false">
      <c r="A7" s="27" t="n">
        <v>2</v>
      </c>
      <c r="B7" s="22" t="n">
        <f aca="false">EDATE(Inputs!$C$21,6*A7)</f>
        <v>46935</v>
      </c>
      <c r="C7" s="26" t="n">
        <f aca="false">F6</f>
        <v>638.881166750222</v>
      </c>
      <c r="D7" s="26" t="n">
        <f aca="false">IF(J7="Yes",Inputs!$C$26/Inputs!$C$15,0)</f>
        <v>22.0303850603525</v>
      </c>
      <c r="E7" s="26" t="n">
        <f aca="false">IF(J7="Yes",C7*Inputs!$C$23/2,0)</f>
        <v>31.9440583375111</v>
      </c>
      <c r="F7" s="26" t="n">
        <f aca="false">C7-D7</f>
        <v>616.850781689869</v>
      </c>
      <c r="G7" s="24" t="n">
        <f aca="false">(1+Inputs!$C$22)^((B7-Inputs!$C$6)/365)</f>
        <v>1.14515079937807</v>
      </c>
      <c r="H7" s="26" t="n">
        <f aca="false">IF(J7="Yes",Inputs!$C$16/2*G7,0)</f>
        <v>2.86287699844519</v>
      </c>
      <c r="I7" s="33" t="n">
        <f aca="false">D7+E7+H7</f>
        <v>56.8373203963088</v>
      </c>
      <c r="J7" s="10" t="str">
        <f aca="false">IF(A7&lt;=Inputs!$C$15,"Yes","No")</f>
        <v>Yes</v>
      </c>
    </row>
    <row r="8" customFormat="false" ht="15" hidden="false" customHeight="false" outlineLevel="0" collapsed="false">
      <c r="A8" s="27" t="n">
        <v>3</v>
      </c>
      <c r="B8" s="22" t="n">
        <f aca="false">EDATE(Inputs!$C$21,6*A8)</f>
        <v>47119</v>
      </c>
      <c r="C8" s="26" t="n">
        <f aca="false">F7</f>
        <v>616.850781689869</v>
      </c>
      <c r="D8" s="26" t="n">
        <f aca="false">IF(J8="Yes",Inputs!$C$26/Inputs!$C$15,0)</f>
        <v>22.0303850603525</v>
      </c>
      <c r="E8" s="26" t="n">
        <f aca="false">IF(J8="Yes",C8*Inputs!$C$23/2,0)</f>
        <v>30.8425390844935</v>
      </c>
      <c r="F8" s="26" t="n">
        <f aca="false">C8-D8</f>
        <v>594.820396629517</v>
      </c>
      <c r="G8" s="24" t="n">
        <f aca="false">(1+Inputs!$C$22)^((B8-Inputs!$C$6)/365)</f>
        <v>1.16773438656238</v>
      </c>
      <c r="H8" s="26" t="n">
        <f aca="false">IF(J8="Yes",Inputs!$C$16/2*G8,0)</f>
        <v>2.91933596640595</v>
      </c>
      <c r="I8" s="33" t="n">
        <f aca="false">D8+E8+H8</f>
        <v>55.7922601112519</v>
      </c>
      <c r="J8" s="10" t="str">
        <f aca="false">IF(A8&lt;=Inputs!$C$15,"Yes","No")</f>
        <v>Yes</v>
      </c>
    </row>
    <row r="9" customFormat="false" ht="15" hidden="false" customHeight="false" outlineLevel="0" collapsed="false">
      <c r="A9" s="27" t="n">
        <v>4</v>
      </c>
      <c r="B9" s="22" t="n">
        <f aca="false">EDATE(Inputs!$C$21,6*A9)</f>
        <v>47300</v>
      </c>
      <c r="C9" s="26" t="n">
        <f aca="false">F8</f>
        <v>594.820396629517</v>
      </c>
      <c r="D9" s="26" t="n">
        <f aca="false">IF(J9="Yes",Inputs!$C$26/Inputs!$C$15,0)</f>
        <v>22.0303850603525</v>
      </c>
      <c r="E9" s="26" t="n">
        <f aca="false">IF(J9="Yes",C9*Inputs!$C$23/2,0)</f>
        <v>29.7410198314758</v>
      </c>
      <c r="F9" s="26" t="n">
        <f aca="false">C9-D9</f>
        <v>572.790011569164</v>
      </c>
      <c r="G9" s="24" t="n">
        <f aca="false">(1+Inputs!$C$22)^((B9-Inputs!$C$6)/365)</f>
        <v>1.19038425595351</v>
      </c>
      <c r="H9" s="26" t="n">
        <f aca="false">IF(J9="Yes",Inputs!$C$16/2*G9,0)</f>
        <v>2.97596063988377</v>
      </c>
      <c r="I9" s="33" t="n">
        <f aca="false">D9+E9+H9</f>
        <v>54.7473655317121</v>
      </c>
      <c r="J9" s="10" t="str">
        <f aca="false">IF(A9&lt;=Inputs!$C$15,"Yes","No")</f>
        <v>Yes</v>
      </c>
    </row>
    <row r="10" customFormat="false" ht="15" hidden="false" customHeight="false" outlineLevel="0" collapsed="false">
      <c r="A10" s="27" t="n">
        <v>5</v>
      </c>
      <c r="B10" s="22" t="n">
        <f aca="false">EDATE(Inputs!$C$21,6*A10)</f>
        <v>47484</v>
      </c>
      <c r="C10" s="26" t="n">
        <f aca="false">F9</f>
        <v>572.790011569164</v>
      </c>
      <c r="D10" s="26" t="n">
        <f aca="false">IF(J10="Yes",Inputs!$C$26/Inputs!$C$15,0)</f>
        <v>22.0303850603525</v>
      </c>
      <c r="E10" s="26" t="n">
        <f aca="false">IF(J10="Yes",C10*Inputs!$C$23/2,0)</f>
        <v>28.6395005784582</v>
      </c>
      <c r="F10" s="26" t="n">
        <f aca="false">C10-D10</f>
        <v>550.759626508812</v>
      </c>
      <c r="G10" s="24" t="n">
        <f aca="false">(1+Inputs!$C$22)^((B10-Inputs!$C$6)/365)</f>
        <v>1.2138598948316</v>
      </c>
      <c r="H10" s="26" t="n">
        <f aca="false">IF(J10="Yes",Inputs!$C$16/2*G10,0)</f>
        <v>3.03464973707899</v>
      </c>
      <c r="I10" s="33" t="n">
        <f aca="false">D10+E10+H10</f>
        <v>53.7045353758897</v>
      </c>
      <c r="J10" s="10" t="str">
        <f aca="false">IF(A10&lt;=Inputs!$C$15,"Yes","No")</f>
        <v>Yes</v>
      </c>
    </row>
    <row r="11" customFormat="false" ht="15" hidden="false" customHeight="false" outlineLevel="0" collapsed="false">
      <c r="A11" s="27" t="n">
        <v>6</v>
      </c>
      <c r="B11" s="22" t="n">
        <f aca="false">EDATE(Inputs!$C$21,6*A11)</f>
        <v>47665</v>
      </c>
      <c r="C11" s="26" t="n">
        <f aca="false">F10</f>
        <v>550.759626508812</v>
      </c>
      <c r="D11" s="26" t="n">
        <f aca="false">IF(J11="Yes",Inputs!$C$26/Inputs!$C$15,0)</f>
        <v>22.0303850603525</v>
      </c>
      <c r="E11" s="26" t="n">
        <f aca="false">IF(J11="Yes",C11*Inputs!$C$23/2,0)</f>
        <v>27.5379813254406</v>
      </c>
      <c r="F11" s="26" t="n">
        <f aca="false">C11-D11</f>
        <v>528.729241448459</v>
      </c>
      <c r="G11" s="24" t="n">
        <f aca="false">(1+Inputs!$C$22)^((B11-Inputs!$C$6)/365)</f>
        <v>1.23740443406367</v>
      </c>
      <c r="H11" s="26" t="n">
        <f aca="false">IF(J11="Yes",Inputs!$C$16/2*G11,0)</f>
        <v>3.09351108515918</v>
      </c>
      <c r="I11" s="33" t="n">
        <f aca="false">D11+E11+H11</f>
        <v>52.6618774709522</v>
      </c>
      <c r="J11" s="10" t="str">
        <f aca="false">IF(A11&lt;=Inputs!$C$15,"Yes","No")</f>
        <v>Yes</v>
      </c>
    </row>
    <row r="12" customFormat="false" ht="15" hidden="false" customHeight="false" outlineLevel="0" collapsed="false">
      <c r="A12" s="27" t="n">
        <v>7</v>
      </c>
      <c r="B12" s="22" t="n">
        <f aca="false">EDATE(Inputs!$C$21,6*A12)</f>
        <v>47849</v>
      </c>
      <c r="C12" s="26" t="n">
        <f aca="false">F11</f>
        <v>528.729241448459</v>
      </c>
      <c r="D12" s="26" t="n">
        <f aca="false">IF(J12="Yes",Inputs!$C$26/Inputs!$C$15,0)</f>
        <v>22.0303850603525</v>
      </c>
      <c r="E12" s="26" t="n">
        <f aca="false">IF(J12="Yes",C12*Inputs!$C$23/2,0)</f>
        <v>26.436462072423</v>
      </c>
      <c r="F12" s="26" t="n">
        <f aca="false">C12-D12</f>
        <v>506.698856388107</v>
      </c>
      <c r="G12" s="24" t="n">
        <f aca="false">(1+Inputs!$C$22)^((B12-Inputs!$C$6)/365)</f>
        <v>1.26180736067744</v>
      </c>
      <c r="H12" s="26" t="n">
        <f aca="false">IF(J12="Yes",Inputs!$C$16/2*G12,0)</f>
        <v>3.15451840169361</v>
      </c>
      <c r="I12" s="33" t="n">
        <f aca="false">D12+E12+H12</f>
        <v>51.621365534469</v>
      </c>
      <c r="J12" s="10" t="str">
        <f aca="false">IF(A12&lt;=Inputs!$C$15,"Yes","No")</f>
        <v>Yes</v>
      </c>
    </row>
    <row r="13" customFormat="false" ht="15" hidden="false" customHeight="false" outlineLevel="0" collapsed="false">
      <c r="A13" s="27" t="n">
        <v>8</v>
      </c>
      <c r="B13" s="22" t="n">
        <f aca="false">EDATE(Inputs!$C$21,6*A13)</f>
        <v>48030</v>
      </c>
      <c r="C13" s="26" t="n">
        <f aca="false">F12</f>
        <v>506.698856388107</v>
      </c>
      <c r="D13" s="26" t="n">
        <f aca="false">IF(J13="Yes",Inputs!$C$26/Inputs!$C$15,0)</f>
        <v>22.0303850603525</v>
      </c>
      <c r="E13" s="26" t="n">
        <f aca="false">IF(J13="Yes",C13*Inputs!$C$23/2,0)</f>
        <v>25.3349428194053</v>
      </c>
      <c r="F13" s="26" t="n">
        <f aca="false">C13-D13</f>
        <v>484.668471327754</v>
      </c>
      <c r="G13" s="24" t="n">
        <f aca="false">(1+Inputs!$C$22)^((B13-Inputs!$C$6)/365)</f>
        <v>1.28628190920919</v>
      </c>
      <c r="H13" s="26" t="n">
        <f aca="false">IF(J13="Yes",Inputs!$C$16/2*G13,0)</f>
        <v>3.21570477302297</v>
      </c>
      <c r="I13" s="33" t="n">
        <f aca="false">D13+E13+H13</f>
        <v>50.5810326527808</v>
      </c>
      <c r="J13" s="10" t="str">
        <f aca="false">IF(A13&lt;=Inputs!$C$15,"Yes","No")</f>
        <v>Yes</v>
      </c>
    </row>
    <row r="14" customFormat="false" ht="15" hidden="false" customHeight="false" outlineLevel="0" collapsed="false">
      <c r="A14" s="27" t="n">
        <v>9</v>
      </c>
      <c r="B14" s="22" t="n">
        <f aca="false">EDATE(Inputs!$C$21,6*A14)</f>
        <v>48214</v>
      </c>
      <c r="C14" s="26" t="n">
        <f aca="false">F13</f>
        <v>484.668471327754</v>
      </c>
      <c r="D14" s="26" t="n">
        <f aca="false">IF(J14="Yes",Inputs!$C$26/Inputs!$C$15,0)</f>
        <v>22.0303850603525</v>
      </c>
      <c r="E14" s="26" t="n">
        <f aca="false">IF(J14="Yes",C14*Inputs!$C$23/2,0)</f>
        <v>24.2334235663877</v>
      </c>
      <c r="F14" s="26" t="n">
        <f aca="false">C14-D14</f>
        <v>462.638086267402</v>
      </c>
      <c r="G14" s="24" t="n">
        <f aca="false">(1+Inputs!$C$22)^((B14-Inputs!$C$6)/365)</f>
        <v>1.3116487514242</v>
      </c>
      <c r="H14" s="26" t="n">
        <f aca="false">IF(J14="Yes",Inputs!$C$16/2*G14,0)</f>
        <v>3.27912187856051</v>
      </c>
      <c r="I14" s="33" t="n">
        <f aca="false">D14+E14+H14</f>
        <v>49.5429305053007</v>
      </c>
      <c r="J14" s="10" t="str">
        <f aca="false">IF(A14&lt;=Inputs!$C$15,"Yes","No")</f>
        <v>Yes</v>
      </c>
    </row>
    <row r="15" customFormat="false" ht="15" hidden="false" customHeight="false" outlineLevel="0" collapsed="false">
      <c r="A15" s="27" t="n">
        <v>10</v>
      </c>
      <c r="B15" s="22" t="n">
        <f aca="false">EDATE(Inputs!$C$21,6*A15)</f>
        <v>48396</v>
      </c>
      <c r="C15" s="26" t="n">
        <f aca="false">F14</f>
        <v>462.638086267402</v>
      </c>
      <c r="D15" s="26" t="n">
        <f aca="false">IF(J15="Yes",Inputs!$C$26/Inputs!$C$15,0)</f>
        <v>22.0303850603525</v>
      </c>
      <c r="E15" s="26" t="n">
        <f aca="false">IF(J15="Yes",C15*Inputs!$C$23/2,0)</f>
        <v>23.1319043133701</v>
      </c>
      <c r="F15" s="26" t="n">
        <f aca="false">C15-D15</f>
        <v>440.607701207049</v>
      </c>
      <c r="G15" s="24" t="n">
        <f aca="false">(1+Inputs!$C$22)^((B15-Inputs!$C$6)/365)</f>
        <v>1.33723196623318</v>
      </c>
      <c r="H15" s="26" t="n">
        <f aca="false">IF(J15="Yes",Inputs!$C$16/2*G15,0)</f>
        <v>3.34307991558294</v>
      </c>
      <c r="I15" s="33" t="n">
        <f aca="false">D15+E15+H15</f>
        <v>48.5053692893055</v>
      </c>
      <c r="J15" s="10" t="str">
        <f aca="false">IF(A15&lt;=Inputs!$C$15,"Yes","No")</f>
        <v>Yes</v>
      </c>
    </row>
    <row r="16" customFormat="false" ht="15" hidden="false" customHeight="false" outlineLevel="0" collapsed="false">
      <c r="A16" s="27" t="n">
        <v>11</v>
      </c>
      <c r="B16" s="22" t="n">
        <f aca="false">EDATE(Inputs!$C$21,6*A16)</f>
        <v>48580</v>
      </c>
      <c r="C16" s="26" t="n">
        <f aca="false">F15</f>
        <v>440.607701207049</v>
      </c>
      <c r="D16" s="26" t="n">
        <f aca="false">IF(J16="Yes",Inputs!$C$26/Inputs!$C$15,0)</f>
        <v>22.0303850603525</v>
      </c>
      <c r="E16" s="26" t="n">
        <f aca="false">IF(J16="Yes",C16*Inputs!$C$23/2,0)</f>
        <v>22.0303850603525</v>
      </c>
      <c r="F16" s="26" t="n">
        <f aca="false">C16-D16</f>
        <v>418.577316146697</v>
      </c>
      <c r="G16" s="24" t="n">
        <f aca="false">(1+Inputs!$C$22)^((B16-Inputs!$C$6)/365)</f>
        <v>1.36360359756022</v>
      </c>
      <c r="H16" s="26" t="n">
        <f aca="false">IF(J16="Yes",Inputs!$C$16/2*G16,0)</f>
        <v>3.40900899390055</v>
      </c>
      <c r="I16" s="33" t="n">
        <f aca="false">D16+E16+H16</f>
        <v>47.4697791146055</v>
      </c>
      <c r="J16" s="10" t="str">
        <f aca="false">IF(A16&lt;=Inputs!$C$15,"Yes","No")</f>
        <v>Yes</v>
      </c>
    </row>
    <row r="17" customFormat="false" ht="15" hidden="false" customHeight="false" outlineLevel="0" collapsed="false">
      <c r="A17" s="27" t="n">
        <v>12</v>
      </c>
      <c r="B17" s="22" t="n">
        <f aca="false">EDATE(Inputs!$C$21,6*A17)</f>
        <v>48761</v>
      </c>
      <c r="C17" s="26" t="n">
        <f aca="false">F16</f>
        <v>418.577316146697</v>
      </c>
      <c r="D17" s="26" t="n">
        <f aca="false">IF(J17="Yes",Inputs!$C$26/Inputs!$C$15,0)</f>
        <v>22.0303850603525</v>
      </c>
      <c r="E17" s="26" t="n">
        <f aca="false">IF(J17="Yes",C17*Inputs!$C$23/2,0)</f>
        <v>20.9288658073348</v>
      </c>
      <c r="F17" s="26" t="n">
        <f aca="false">C17-D17</f>
        <v>396.546931086344</v>
      </c>
      <c r="G17" s="24" t="n">
        <f aca="false">(1+Inputs!$C$22)^((B17-Inputs!$C$6)/365)</f>
        <v>1.39005262889939</v>
      </c>
      <c r="H17" s="26" t="n">
        <f aca="false">IF(J17="Yes",Inputs!$C$16/2*G17,0)</f>
        <v>3.47513157224847</v>
      </c>
      <c r="I17" s="33" t="n">
        <f aca="false">D17+E17+H17</f>
        <v>46.4343824399358</v>
      </c>
      <c r="J17" s="10" t="str">
        <f aca="false">IF(A17&lt;=Inputs!$C$15,"Yes","No")</f>
        <v>Yes</v>
      </c>
    </row>
    <row r="18" customFormat="false" ht="15" hidden="false" customHeight="false" outlineLevel="0" collapsed="false">
      <c r="A18" s="27" t="n">
        <v>13</v>
      </c>
      <c r="B18" s="22" t="n">
        <f aca="false">EDATE(Inputs!$C$21,6*A18)</f>
        <v>48945</v>
      </c>
      <c r="C18" s="26" t="n">
        <f aca="false">F17</f>
        <v>396.546931086344</v>
      </c>
      <c r="D18" s="26" t="n">
        <f aca="false">IF(J18="Yes",Inputs!$C$26/Inputs!$C$15,0)</f>
        <v>22.0303850603525</v>
      </c>
      <c r="E18" s="26" t="n">
        <f aca="false">IF(J18="Yes",C18*Inputs!$C$23/2,0)</f>
        <v>19.8273465543172</v>
      </c>
      <c r="F18" s="26" t="n">
        <f aca="false">C18-D18</f>
        <v>374.516546025992</v>
      </c>
      <c r="G18" s="24" t="n">
        <f aca="false">(1+Inputs!$C$22)^((B18-Inputs!$C$6)/365)</f>
        <v>1.41746593966385</v>
      </c>
      <c r="H18" s="26" t="n">
        <f aca="false">IF(J18="Yes",Inputs!$C$16/2*G18,0)</f>
        <v>3.54366484915962</v>
      </c>
      <c r="I18" s="33" t="n">
        <f aca="false">D18+E18+H18</f>
        <v>45.4013964638293</v>
      </c>
      <c r="J18" s="10" t="str">
        <f aca="false">IF(A18&lt;=Inputs!$C$15,"Yes","No")</f>
        <v>Yes</v>
      </c>
    </row>
    <row r="19" customFormat="false" ht="15" hidden="false" customHeight="false" outlineLevel="0" collapsed="false">
      <c r="A19" s="27" t="n">
        <v>14</v>
      </c>
      <c r="B19" s="22" t="n">
        <f aca="false">EDATE(Inputs!$C$21,6*A19)</f>
        <v>49126</v>
      </c>
      <c r="C19" s="26" t="n">
        <f aca="false">F18</f>
        <v>374.516546025992</v>
      </c>
      <c r="D19" s="26" t="n">
        <f aca="false">IF(J19="Yes",Inputs!$C$26/Inputs!$C$15,0)</f>
        <v>22.0303850603525</v>
      </c>
      <c r="E19" s="26" t="n">
        <f aca="false">IF(J19="Yes",C19*Inputs!$C$23/2,0)</f>
        <v>18.7258273012996</v>
      </c>
      <c r="F19" s="26" t="n">
        <f aca="false">C19-D19</f>
        <v>352.486160965639</v>
      </c>
      <c r="G19" s="24" t="n">
        <f aca="false">(1+Inputs!$C$22)^((B19-Inputs!$C$6)/365)</f>
        <v>1.44495970774091</v>
      </c>
      <c r="H19" s="26" t="n">
        <f aca="false">IF(J19="Yes",Inputs!$C$16/2*G19,0)</f>
        <v>3.61239926935228</v>
      </c>
      <c r="I19" s="33" t="n">
        <f aca="false">D19+E19+H19</f>
        <v>44.3686116310043</v>
      </c>
      <c r="J19" s="10" t="str">
        <f aca="false">IF(A19&lt;=Inputs!$C$15,"Yes","No")</f>
        <v>Yes</v>
      </c>
    </row>
    <row r="20" customFormat="false" ht="15" hidden="false" customHeight="false" outlineLevel="0" collapsed="false">
      <c r="A20" s="27" t="n">
        <v>15</v>
      </c>
      <c r="B20" s="22" t="n">
        <f aca="false">EDATE(Inputs!$C$21,6*A20)</f>
        <v>49310</v>
      </c>
      <c r="C20" s="26" t="n">
        <f aca="false">F19</f>
        <v>352.486160965639</v>
      </c>
      <c r="D20" s="26" t="n">
        <f aca="false">IF(J20="Yes",Inputs!$C$26/Inputs!$C$15,0)</f>
        <v>22.0303850603525</v>
      </c>
      <c r="E20" s="26" t="n">
        <f aca="false">IF(J20="Yes",C20*Inputs!$C$23/2,0)</f>
        <v>17.624308048282</v>
      </c>
      <c r="F20" s="26" t="n">
        <f aca="false">C20-D20</f>
        <v>330.455775905287</v>
      </c>
      <c r="G20" s="24" t="n">
        <f aca="false">(1+Inputs!$C$22)^((B20-Inputs!$C$6)/365)</f>
        <v>1.47345584428057</v>
      </c>
      <c r="H20" s="26" t="n">
        <f aca="false">IF(J20="Yes",Inputs!$C$16/2*G20,0)</f>
        <v>3.68363961070143</v>
      </c>
      <c r="I20" s="33" t="n">
        <f aca="false">D20+E20+H20</f>
        <v>43.3383327193359</v>
      </c>
      <c r="J20" s="10" t="str">
        <f aca="false">IF(A20&lt;=Inputs!$C$15,"Yes","No")</f>
        <v>Yes</v>
      </c>
    </row>
    <row r="21" customFormat="false" ht="15" hidden="false" customHeight="false" outlineLevel="0" collapsed="false">
      <c r="A21" s="27" t="n">
        <v>16</v>
      </c>
      <c r="B21" s="22" t="n">
        <f aca="false">EDATE(Inputs!$C$21,6*A21)</f>
        <v>49491</v>
      </c>
      <c r="C21" s="26" t="n">
        <f aca="false">F20</f>
        <v>330.455775905287</v>
      </c>
      <c r="D21" s="26" t="n">
        <f aca="false">IF(J21="Yes",Inputs!$C$26/Inputs!$C$15,0)</f>
        <v>22.0303850603525</v>
      </c>
      <c r="E21" s="26" t="n">
        <f aca="false">IF(J21="Yes",C21*Inputs!$C$23/2,0)</f>
        <v>16.5227887952643</v>
      </c>
      <c r="F21" s="26" t="n">
        <f aca="false">C21-D21</f>
        <v>308.425390844934</v>
      </c>
      <c r="G21" s="24" t="n">
        <f aca="false">(1+Inputs!$C$22)^((B21-Inputs!$C$6)/365)</f>
        <v>1.50203561619668</v>
      </c>
      <c r="H21" s="26" t="n">
        <f aca="false">IF(J21="Yes",Inputs!$C$16/2*G21,0)</f>
        <v>3.7550890404917</v>
      </c>
      <c r="I21" s="33" t="n">
        <f aca="false">D21+E21+H21</f>
        <v>42.3082628961085</v>
      </c>
      <c r="J21" s="10" t="str">
        <f aca="false">IF(A21&lt;=Inputs!$C$15,"Yes","No")</f>
        <v>Yes</v>
      </c>
    </row>
    <row r="22" customFormat="false" ht="15" hidden="false" customHeight="false" outlineLevel="0" collapsed="false">
      <c r="A22" s="27" t="n">
        <v>17</v>
      </c>
      <c r="B22" s="22" t="n">
        <f aca="false">EDATE(Inputs!$C$21,6*A22)</f>
        <v>49675</v>
      </c>
      <c r="C22" s="26" t="n">
        <f aca="false">F21</f>
        <v>308.425390844934</v>
      </c>
      <c r="D22" s="26" t="n">
        <f aca="false">IF(J22="Yes",Inputs!$C$26/Inputs!$C$15,0)</f>
        <v>22.0303850603525</v>
      </c>
      <c r="E22" s="26" t="n">
        <f aca="false">IF(J22="Yes",C22*Inputs!$C$23/2,0)</f>
        <v>15.4212695422467</v>
      </c>
      <c r="F22" s="26" t="n">
        <f aca="false">C22-D22</f>
        <v>286.395005784582</v>
      </c>
      <c r="G22" s="24" t="n">
        <f aca="false">(1+Inputs!$C$22)^((B22-Inputs!$C$6)/365)</f>
        <v>1.53165735012965</v>
      </c>
      <c r="H22" s="26" t="n">
        <f aca="false">IF(J22="Yes",Inputs!$C$16/2*G22,0)</f>
        <v>3.82914337532414</v>
      </c>
      <c r="I22" s="33" t="n">
        <f aca="false">D22+E22+H22</f>
        <v>41.2807979779233</v>
      </c>
      <c r="J22" s="10" t="str">
        <f aca="false">IF(A22&lt;=Inputs!$C$15,"Yes","No")</f>
        <v>Yes</v>
      </c>
    </row>
    <row r="23" customFormat="false" ht="15" hidden="false" customHeight="false" outlineLevel="0" collapsed="false">
      <c r="A23" s="27" t="n">
        <v>18</v>
      </c>
      <c r="B23" s="22" t="n">
        <f aca="false">EDATE(Inputs!$C$21,6*A23)</f>
        <v>49857</v>
      </c>
      <c r="C23" s="26" t="n">
        <f aca="false">F22</f>
        <v>286.395005784582</v>
      </c>
      <c r="D23" s="26" t="n">
        <f aca="false">IF(J23="Yes",Inputs!$C$26/Inputs!$C$15,0)</f>
        <v>22.0303850603525</v>
      </c>
      <c r="E23" s="26" t="n">
        <f aca="false">IF(J23="Yes",C23*Inputs!$C$23/2,0)</f>
        <v>14.3197502892291</v>
      </c>
      <c r="F23" s="26" t="n">
        <f aca="false">C23-D23</f>
        <v>264.364620724229</v>
      </c>
      <c r="G23" s="24" t="n">
        <f aca="false">(1+Inputs!$C$22)^((B23-Inputs!$C$6)/365)</f>
        <v>1.5615317497809</v>
      </c>
      <c r="H23" s="26" t="n">
        <f aca="false">IF(J23="Yes",Inputs!$C$16/2*G23,0)</f>
        <v>3.90382937445226</v>
      </c>
      <c r="I23" s="33" t="n">
        <f aca="false">D23+E23+H23</f>
        <v>40.2539647240338</v>
      </c>
      <c r="J23" s="10" t="str">
        <f aca="false">IF(A23&lt;=Inputs!$C$15,"Yes","No")</f>
        <v>Yes</v>
      </c>
    </row>
    <row r="24" customFormat="false" ht="15" hidden="false" customHeight="false" outlineLevel="0" collapsed="false">
      <c r="A24" s="27" t="n">
        <v>19</v>
      </c>
      <c r="B24" s="22" t="n">
        <f aca="false">EDATE(Inputs!$C$21,6*A24)</f>
        <v>50041</v>
      </c>
      <c r="C24" s="26" t="n">
        <f aca="false">F23</f>
        <v>264.364620724229</v>
      </c>
      <c r="D24" s="26" t="n">
        <f aca="false">IF(J24="Yes",Inputs!$C$26/Inputs!$C$15,0)</f>
        <v>22.0303850603525</v>
      </c>
      <c r="E24" s="26" t="n">
        <f aca="false">IF(J24="Yes",C24*Inputs!$C$23/2,0)</f>
        <v>13.2182310362115</v>
      </c>
      <c r="F24" s="26" t="n">
        <f aca="false">C24-D24</f>
        <v>242.334235663877</v>
      </c>
      <c r="G24" s="24" t="n">
        <f aca="false">(1+Inputs!$C$22)^((B24-Inputs!$C$6)/365)</f>
        <v>1.59232681051124</v>
      </c>
      <c r="H24" s="26" t="n">
        <f aca="false">IF(J24="Yes",Inputs!$C$16/2*G24,0)</f>
        <v>3.9808170262781</v>
      </c>
      <c r="I24" s="33" t="n">
        <f aca="false">D24+E24+H24</f>
        <v>39.229433122842</v>
      </c>
      <c r="J24" s="10" t="str">
        <f aca="false">IF(A24&lt;=Inputs!$C$15,"Yes","No")</f>
        <v>Yes</v>
      </c>
    </row>
    <row r="25" customFormat="false" ht="15" hidden="false" customHeight="false" outlineLevel="0" collapsed="false">
      <c r="A25" s="27" t="n">
        <v>20</v>
      </c>
      <c r="B25" s="22" t="n">
        <f aca="false">EDATE(Inputs!$C$21,6*A25)</f>
        <v>50222</v>
      </c>
      <c r="C25" s="26" t="n">
        <f aca="false">F24</f>
        <v>242.334235663877</v>
      </c>
      <c r="D25" s="26" t="n">
        <f aca="false">IF(J25="Yes",Inputs!$C$26/Inputs!$C$15,0)</f>
        <v>22.0303850603525</v>
      </c>
      <c r="E25" s="26" t="n">
        <f aca="false">IF(J25="Yes",C25*Inputs!$C$23/2,0)</f>
        <v>12.1167117831938</v>
      </c>
      <c r="F25" s="26" t="n">
        <f aca="false">C25-D25</f>
        <v>220.303850603524</v>
      </c>
      <c r="G25" s="24" t="n">
        <f aca="false">(1+Inputs!$C$22)^((B25-Inputs!$C$6)/365)</f>
        <v>1.62321225389725</v>
      </c>
      <c r="H25" s="26" t="n">
        <f aca="false">IF(J25="Yes",Inputs!$C$16/2*G25,0)</f>
        <v>4.05803063474313</v>
      </c>
      <c r="I25" s="33" t="n">
        <f aca="false">D25+E25+H25</f>
        <v>38.2051274782894</v>
      </c>
      <c r="J25" s="10" t="str">
        <f aca="false">IF(A25&lt;=Inputs!$C$15,"Yes","No")</f>
        <v>Yes</v>
      </c>
    </row>
    <row r="26" customFormat="false" ht="15" hidden="false" customHeight="false" outlineLevel="0" collapsed="false">
      <c r="A26" s="27" t="n">
        <v>21</v>
      </c>
      <c r="B26" s="22" t="n">
        <f aca="false">EDATE(Inputs!$C$21,6*A26)</f>
        <v>50406</v>
      </c>
      <c r="C26" s="26" t="n">
        <f aca="false">F25</f>
        <v>220.303850603524</v>
      </c>
      <c r="D26" s="26" t="n">
        <f aca="false">IF(J26="Yes",Inputs!$C$26/Inputs!$C$15,0)</f>
        <v>22.0303850603525</v>
      </c>
      <c r="E26" s="26" t="n">
        <f aca="false">IF(J26="Yes",C26*Inputs!$C$23/2,0)</f>
        <v>11.0151925301762</v>
      </c>
      <c r="F26" s="26" t="n">
        <f aca="false">C26-D26</f>
        <v>198.273465543172</v>
      </c>
      <c r="G26" s="24" t="n">
        <f aca="false">(1+Inputs!$C$22)^((B26-Inputs!$C$6)/365)</f>
        <v>1.65522371952643</v>
      </c>
      <c r="H26" s="26" t="n">
        <f aca="false">IF(J26="Yes",Inputs!$C$16/2*G26,0)</f>
        <v>4.13805929881609</v>
      </c>
      <c r="I26" s="33" t="n">
        <f aca="false">D26+E26+H26</f>
        <v>37.1836368893448</v>
      </c>
      <c r="J26" s="10" t="str">
        <f aca="false">IF(A26&lt;=Inputs!$C$15,"Yes","No")</f>
        <v>Yes</v>
      </c>
    </row>
    <row r="27" customFormat="false" ht="15" hidden="false" customHeight="false" outlineLevel="0" collapsed="false">
      <c r="A27" s="27" t="n">
        <v>22</v>
      </c>
      <c r="B27" s="22" t="n">
        <f aca="false">EDATE(Inputs!$C$21,6*A27)</f>
        <v>50587</v>
      </c>
      <c r="C27" s="26" t="n">
        <f aca="false">F26</f>
        <v>198.273465543172</v>
      </c>
      <c r="D27" s="26" t="n">
        <f aca="false">IF(J27="Yes",Inputs!$C$26/Inputs!$C$15,0)</f>
        <v>22.0303850603525</v>
      </c>
      <c r="E27" s="26" t="n">
        <f aca="false">IF(J27="Yes",C27*Inputs!$C$23/2,0)</f>
        <v>9.91367327715859</v>
      </c>
      <c r="F27" s="26" t="n">
        <f aca="false">C27-D27</f>
        <v>176.243080482819</v>
      </c>
      <c r="G27" s="24" t="n">
        <f aca="false">(1+Inputs!$C$22)^((B27-Inputs!$C$6)/365)</f>
        <v>1.68732913792619</v>
      </c>
      <c r="H27" s="26" t="n">
        <f aca="false">IF(J27="Yes",Inputs!$C$16/2*G27,0)</f>
        <v>4.21832284481548</v>
      </c>
      <c r="I27" s="33" t="n">
        <f aca="false">D27+E27+H27</f>
        <v>36.1623811823266</v>
      </c>
      <c r="J27" s="10" t="str">
        <f aca="false">IF(A27&lt;=Inputs!$C$15,"Yes","No")</f>
        <v>Yes</v>
      </c>
    </row>
    <row r="28" customFormat="false" ht="15" hidden="false" customHeight="false" outlineLevel="0" collapsed="false">
      <c r="A28" s="27" t="n">
        <v>23</v>
      </c>
      <c r="B28" s="22" t="n">
        <f aca="false">EDATE(Inputs!$C$21,6*A28)</f>
        <v>50771</v>
      </c>
      <c r="C28" s="26" t="n">
        <f aca="false">F27</f>
        <v>176.243080482819</v>
      </c>
      <c r="D28" s="26" t="n">
        <f aca="false">IF(J28="Yes",Inputs!$C$26/Inputs!$C$15,0)</f>
        <v>22.0303850603525</v>
      </c>
      <c r="E28" s="26" t="n">
        <f aca="false">IF(J28="Yes",C28*Inputs!$C$23/2,0)</f>
        <v>8.81215402414097</v>
      </c>
      <c r="F28" s="26" t="n">
        <f aca="false">C28-D28</f>
        <v>154.212695422467</v>
      </c>
      <c r="G28" s="24" t="n">
        <f aca="false">(1+Inputs!$C$22)^((B28-Inputs!$C$6)/365)</f>
        <v>1.72060505644773</v>
      </c>
      <c r="H28" s="26" t="n">
        <f aca="false">IF(J28="Yes",Inputs!$C$16/2*G28,0)</f>
        <v>4.30151264111932</v>
      </c>
      <c r="I28" s="33" t="n">
        <f aca="false">D28+E28+H28</f>
        <v>35.1440517256128</v>
      </c>
      <c r="J28" s="10" t="str">
        <f aca="false">IF(A28&lt;=Inputs!$C$15,"Yes","No")</f>
        <v>Yes</v>
      </c>
    </row>
    <row r="29" customFormat="false" ht="15" hidden="false" customHeight="false" outlineLevel="0" collapsed="false">
      <c r="A29" s="27" t="n">
        <v>24</v>
      </c>
      <c r="B29" s="22" t="n">
        <f aca="false">EDATE(Inputs!$C$21,6*A29)</f>
        <v>50952</v>
      </c>
      <c r="C29" s="26" t="n">
        <f aca="false">F28</f>
        <v>154.212695422467</v>
      </c>
      <c r="D29" s="26" t="n">
        <f aca="false">IF(J29="Yes",Inputs!$C$26/Inputs!$C$15,0)</f>
        <v>22.0303850603525</v>
      </c>
      <c r="E29" s="26" t="n">
        <f aca="false">IF(J29="Yes",C29*Inputs!$C$23/2,0)</f>
        <v>7.71063477112334</v>
      </c>
      <c r="F29" s="26" t="n">
        <f aca="false">C29-D29</f>
        <v>132.182310362114</v>
      </c>
      <c r="G29" s="24" t="n">
        <f aca="false">(1+Inputs!$C$22)^((B29-Inputs!$C$6)/365)</f>
        <v>1.75397863887428</v>
      </c>
      <c r="H29" s="26" t="n">
        <f aca="false">IF(J29="Yes",Inputs!$C$16/2*G29,0)</f>
        <v>4.38494659718569</v>
      </c>
      <c r="I29" s="33" t="n">
        <f aca="false">D29+E29+H29</f>
        <v>34.1259664286615</v>
      </c>
      <c r="J29" s="10" t="str">
        <f aca="false">IF(A29&lt;=Inputs!$C$15,"Yes","No")</f>
        <v>Yes</v>
      </c>
    </row>
    <row r="30" customFormat="false" ht="15" hidden="false" customHeight="false" outlineLevel="0" collapsed="false">
      <c r="A30" s="27" t="n">
        <v>25</v>
      </c>
      <c r="B30" s="22" t="n">
        <f aca="false">EDATE(Inputs!$C$21,6*A30)</f>
        <v>51136</v>
      </c>
      <c r="C30" s="26" t="n">
        <f aca="false">F29</f>
        <v>132.182310362114</v>
      </c>
      <c r="D30" s="26" t="n">
        <f aca="false">IF(J30="Yes",Inputs!$C$26/Inputs!$C$15,0)</f>
        <v>22.0303850603525</v>
      </c>
      <c r="E30" s="26" t="n">
        <f aca="false">IF(J30="Yes",C30*Inputs!$C$23/2,0)</f>
        <v>6.60911551810572</v>
      </c>
      <c r="F30" s="26" t="n">
        <f aca="false">C30-D30</f>
        <v>110.151925301762</v>
      </c>
      <c r="G30" s="24" t="n">
        <f aca="false">(1+Inputs!$C$22)^((B30-Inputs!$C$6)/365)</f>
        <v>1.78856895617741</v>
      </c>
      <c r="H30" s="26" t="n">
        <f aca="false">IF(J30="Yes",Inputs!$C$16/2*G30,0)</f>
        <v>4.47142239044354</v>
      </c>
      <c r="I30" s="33" t="n">
        <f aca="false">D30+E30+H30</f>
        <v>33.1109229689017</v>
      </c>
      <c r="J30" s="10" t="str">
        <f aca="false">IF(A30&lt;=Inputs!$C$15,"Yes","No")</f>
        <v>Yes</v>
      </c>
    </row>
    <row r="31" customFormat="false" ht="15" hidden="false" customHeight="false" outlineLevel="0" collapsed="false">
      <c r="A31" s="27" t="n">
        <v>26</v>
      </c>
      <c r="B31" s="22" t="n">
        <f aca="false">EDATE(Inputs!$C$21,6*A31)</f>
        <v>51318</v>
      </c>
      <c r="C31" s="26" t="n">
        <f aca="false">F30</f>
        <v>110.151925301762</v>
      </c>
      <c r="D31" s="26" t="n">
        <f aca="false">IF(J31="Yes",Inputs!$C$26/Inputs!$C$15,0)</f>
        <v>22.0303850603525</v>
      </c>
      <c r="E31" s="26" t="n">
        <f aca="false">IF(J31="Yes",C31*Inputs!$C$23/2,0)</f>
        <v>5.5075962650881</v>
      </c>
      <c r="F31" s="26" t="n">
        <f aca="false">C31-D31</f>
        <v>88.1215402414094</v>
      </c>
      <c r="G31" s="24" t="n">
        <f aca="false">(1+Inputs!$C$22)^((B31-Inputs!$C$6)/365)</f>
        <v>1.82345431992809</v>
      </c>
      <c r="H31" s="26" t="n">
        <f aca="false">IF(J31="Yes",Inputs!$C$16/2*G31,0)</f>
        <v>4.55863579982022</v>
      </c>
      <c r="I31" s="33" t="n">
        <f aca="false">D31+E31+H31</f>
        <v>32.0966171252608</v>
      </c>
      <c r="J31" s="10" t="str">
        <f aca="false">IF(A31&lt;=Inputs!$C$15,"Yes","No")</f>
        <v>Yes</v>
      </c>
    </row>
    <row r="32" customFormat="false" ht="15" hidden="false" customHeight="false" outlineLevel="0" collapsed="false">
      <c r="A32" s="27" t="n">
        <v>27</v>
      </c>
      <c r="B32" s="22" t="n">
        <f aca="false">EDATE(Inputs!$C$21,6*A32)</f>
        <v>51502</v>
      </c>
      <c r="C32" s="26" t="n">
        <f aca="false">F31</f>
        <v>88.1215402414094</v>
      </c>
      <c r="D32" s="26" t="n">
        <f aca="false">IF(J32="Yes",Inputs!$C$26/Inputs!$C$15,0)</f>
        <v>22.0303850603525</v>
      </c>
      <c r="E32" s="26" t="n">
        <f aca="false">IF(J32="Yes",C32*Inputs!$C$23/2,0)</f>
        <v>4.40607701207047</v>
      </c>
      <c r="F32" s="26" t="n">
        <f aca="false">C32-D32</f>
        <v>66.091155181057</v>
      </c>
      <c r="G32" s="24" t="n">
        <f aca="false">(1+Inputs!$C$22)^((B32-Inputs!$C$6)/365)</f>
        <v>1.85941477127918</v>
      </c>
      <c r="H32" s="26" t="n">
        <f aca="false">IF(J32="Yes",Inputs!$C$16/2*G32,0)</f>
        <v>4.64853692819794</v>
      </c>
      <c r="I32" s="33" t="n">
        <f aca="false">D32+E32+H32</f>
        <v>31.0849990006209</v>
      </c>
      <c r="J32" s="10" t="str">
        <f aca="false">IF(A32&lt;=Inputs!$C$15,"Yes","No")</f>
        <v>Yes</v>
      </c>
    </row>
    <row r="33" customFormat="false" ht="15" hidden="false" customHeight="false" outlineLevel="0" collapsed="false">
      <c r="A33" s="27" t="n">
        <v>28</v>
      </c>
      <c r="B33" s="22" t="n">
        <f aca="false">EDATE(Inputs!$C$21,6*A33)</f>
        <v>51683</v>
      </c>
      <c r="C33" s="26" t="n">
        <f aca="false">F32</f>
        <v>66.091155181057</v>
      </c>
      <c r="D33" s="26" t="n">
        <f aca="false">IF(J33="Yes",Inputs!$C$26/Inputs!$C$15,0)</f>
        <v>22.0303850603525</v>
      </c>
      <c r="E33" s="26" t="n">
        <f aca="false">IF(J33="Yes",C33*Inputs!$C$23/2,0)</f>
        <v>3.30455775905285</v>
      </c>
      <c r="F33" s="26" t="n">
        <f aca="false">C33-D33</f>
        <v>44.0607701207045</v>
      </c>
      <c r="G33" s="24" t="n">
        <f aca="false">(1+Inputs!$C$22)^((B33-Inputs!$C$6)/365)</f>
        <v>1.89548076556525</v>
      </c>
      <c r="H33" s="26" t="n">
        <f aca="false">IF(J33="Yes",Inputs!$C$16/2*G33,0)</f>
        <v>4.73870191391311</v>
      </c>
      <c r="I33" s="33" t="n">
        <f aca="false">D33+E33+H33</f>
        <v>30.0736447333184</v>
      </c>
      <c r="J33" s="10" t="str">
        <f aca="false">IF(A33&lt;=Inputs!$C$15,"Yes","No")</f>
        <v>Yes</v>
      </c>
    </row>
    <row r="34" customFormat="false" ht="15" hidden="false" customHeight="false" outlineLevel="0" collapsed="false">
      <c r="A34" s="27" t="n">
        <v>29</v>
      </c>
      <c r="B34" s="22" t="n">
        <f aca="false">EDATE(Inputs!$C$21,6*A34)</f>
        <v>51867</v>
      </c>
      <c r="C34" s="26" t="n">
        <f aca="false">F33</f>
        <v>44.0607701207045</v>
      </c>
      <c r="D34" s="26" t="n">
        <f aca="false">IF(J34="Yes",Inputs!$C$26/Inputs!$C$15,0)</f>
        <v>22.0303850603525</v>
      </c>
      <c r="E34" s="26" t="n">
        <f aca="false">IF(J34="Yes",C34*Inputs!$C$23/2,0)</f>
        <v>2.20303850603522</v>
      </c>
      <c r="F34" s="26" t="n">
        <f aca="false">C34-D34</f>
        <v>22.030385060352</v>
      </c>
      <c r="G34" s="24" t="n">
        <f aca="false">(1+Inputs!$C$22)^((B34-Inputs!$C$6)/365)</f>
        <v>1.9328616547447</v>
      </c>
      <c r="H34" s="26" t="n">
        <f aca="false">IF(J34="Yes",Inputs!$C$16/2*G34,0)</f>
        <v>4.83215413686176</v>
      </c>
      <c r="I34" s="33" t="n">
        <f aca="false">D34+E34+H34</f>
        <v>29.0655777032495</v>
      </c>
      <c r="J34" s="10" t="str">
        <f aca="false">IF(A34&lt;=Inputs!$C$15,"Yes","No")</f>
        <v>Yes</v>
      </c>
    </row>
    <row r="35" customFormat="false" ht="15" hidden="false" customHeight="false" outlineLevel="0" collapsed="false">
      <c r="A35" s="27" t="n">
        <v>30</v>
      </c>
      <c r="B35" s="22" t="n">
        <f aca="false">EDATE(Inputs!$C$21,6*A35)</f>
        <v>52048</v>
      </c>
      <c r="C35" s="26" t="n">
        <f aca="false">F34</f>
        <v>22.030385060352</v>
      </c>
      <c r="D35" s="26" t="n">
        <f aca="false">IF(J35="Yes",Inputs!$C$26/Inputs!$C$15,0)</f>
        <v>22.0303850603525</v>
      </c>
      <c r="E35" s="26" t="n">
        <f aca="false">IF(J35="Yes",C35*Inputs!$C$23/2,0)</f>
        <v>1.1015192530176</v>
      </c>
      <c r="F35" s="26" t="n">
        <f aca="false">C35-D35</f>
        <v>-4.61852778244065E-013</v>
      </c>
      <c r="G35" s="24" t="n">
        <f aca="false">(1+Inputs!$C$22)^((B35-Inputs!$C$6)/365)</f>
        <v>1.97035225580507</v>
      </c>
      <c r="H35" s="26" t="n">
        <f aca="false">IF(J35="Yes",Inputs!$C$16/2*G35,0)</f>
        <v>4.92588063951268</v>
      </c>
      <c r="I35" s="33" t="n">
        <f aca="false">D35+E35+H35</f>
        <v>28.0577849528828</v>
      </c>
      <c r="J35" s="10" t="str">
        <f aca="false">IF(A35&lt;=Inputs!$C$15,"Yes","No")</f>
        <v>Yes</v>
      </c>
    </row>
    <row r="36" customFormat="false" ht="15" hidden="false" customHeight="false" outlineLevel="0" collapsed="false">
      <c r="A36" s="27" t="n">
        <v>31</v>
      </c>
      <c r="B36" s="22" t="n">
        <f aca="false">EDATE(Inputs!$C$21,6*A36)</f>
        <v>52232</v>
      </c>
      <c r="C36" s="26" t="n">
        <f aca="false">F35</f>
        <v>-4.61852778244065E-013</v>
      </c>
      <c r="D36" s="26" t="n">
        <f aca="false">IF(J36="Yes",Inputs!$C$26/Inputs!$C$15,0)</f>
        <v>0</v>
      </c>
      <c r="E36" s="26" t="n">
        <f aca="false">IF(J36="Yes",C36*Inputs!$C$23/2,0)</f>
        <v>0</v>
      </c>
      <c r="F36" s="26" t="n">
        <f aca="false">C36-D36</f>
        <v>-4.61852778244065E-013</v>
      </c>
      <c r="G36" s="24" t="n">
        <f aca="false">(1+Inputs!$C$22)^((B36-Inputs!$C$6)/365)</f>
        <v>2.00920969010712</v>
      </c>
      <c r="H36" s="26" t="n">
        <f aca="false">IF(J36="Yes",Inputs!$C$16/2*G36,0)</f>
        <v>0</v>
      </c>
      <c r="I36" s="33" t="n">
        <f aca="false">D36+E36+H36</f>
        <v>0</v>
      </c>
      <c r="J36" s="10" t="str">
        <f aca="false">IF(A36&lt;=Inputs!$C$15,"Yes","No")</f>
        <v>No</v>
      </c>
    </row>
    <row r="37" customFormat="false" ht="15" hidden="false" customHeight="false" outlineLevel="0" collapsed="false">
      <c r="A37" s="27" t="n">
        <v>32</v>
      </c>
      <c r="B37" s="22" t="n">
        <f aca="false">EDATE(Inputs!$C$21,6*A37)</f>
        <v>52413</v>
      </c>
      <c r="C37" s="26" t="n">
        <f aca="false">F36</f>
        <v>-4.61852778244065E-013</v>
      </c>
      <c r="D37" s="26" t="n">
        <f aca="false">IF(J37="Yes",Inputs!$C$26/Inputs!$C$15,0)</f>
        <v>0</v>
      </c>
      <c r="E37" s="26" t="n">
        <f aca="false">IF(J37="Yes",C37*Inputs!$C$23/2,0)</f>
        <v>0</v>
      </c>
      <c r="F37" s="26" t="n">
        <f aca="false">C37-D37</f>
        <v>-4.61852778244065E-013</v>
      </c>
      <c r="G37" s="24" t="n">
        <f aca="false">(1+Inputs!$C$22)^((B37-Inputs!$C$6)/365)</f>
        <v>2.04818116990937</v>
      </c>
      <c r="H37" s="26" t="n">
        <f aca="false">IF(J37="Yes",Inputs!$C$16/2*G37,0)</f>
        <v>0</v>
      </c>
      <c r="I37" s="33" t="n">
        <f aca="false">D37+E37+H37</f>
        <v>0</v>
      </c>
      <c r="J37" s="10" t="str">
        <f aca="false">IF(A37&lt;=Inputs!$C$15,"Yes","No")</f>
        <v>No</v>
      </c>
    </row>
    <row r="38" customFormat="false" ht="15" hidden="false" customHeight="false" outlineLevel="0" collapsed="false">
      <c r="A38" s="27" t="n">
        <v>33</v>
      </c>
      <c r="B38" s="22" t="n">
        <f aca="false">EDATE(Inputs!$C$21,6*A38)</f>
        <v>52597</v>
      </c>
      <c r="C38" s="26" t="n">
        <f aca="false">F37</f>
        <v>-4.61852778244065E-013</v>
      </c>
      <c r="D38" s="26" t="n">
        <f aca="false">IF(J38="Yes",Inputs!$C$26/Inputs!$C$15,0)</f>
        <v>0</v>
      </c>
      <c r="E38" s="26" t="n">
        <f aca="false">IF(J38="Yes",C38*Inputs!$C$23/2,0)</f>
        <v>0</v>
      </c>
      <c r="F38" s="26" t="n">
        <f aca="false">C38-D38</f>
        <v>-4.61852778244065E-013</v>
      </c>
      <c r="G38" s="24" t="n">
        <f aca="false">(1+Inputs!$C$22)^((B38-Inputs!$C$6)/365)</f>
        <v>2.08857347286635</v>
      </c>
      <c r="H38" s="26" t="n">
        <f aca="false">IF(J38="Yes",Inputs!$C$16/2*G38,0)</f>
        <v>0</v>
      </c>
      <c r="I38" s="33" t="n">
        <f aca="false">D38+E38+H38</f>
        <v>0</v>
      </c>
      <c r="J38" s="10" t="str">
        <f aca="false">IF(A38&lt;=Inputs!$C$15,"Yes","No")</f>
        <v>No</v>
      </c>
    </row>
    <row r="39" customFormat="false" ht="15" hidden="false" customHeight="false" outlineLevel="0" collapsed="false">
      <c r="A39" s="27" t="n">
        <v>34</v>
      </c>
      <c r="B39" s="22" t="n">
        <f aca="false">EDATE(Inputs!$C$21,6*A39)</f>
        <v>52779</v>
      </c>
      <c r="C39" s="26" t="n">
        <f aca="false">F38</f>
        <v>-4.61852778244065E-013</v>
      </c>
      <c r="D39" s="26" t="n">
        <f aca="false">IF(J39="Yes",Inputs!$C$26/Inputs!$C$15,0)</f>
        <v>0</v>
      </c>
      <c r="E39" s="26" t="n">
        <f aca="false">IF(J39="Yes",C39*Inputs!$C$23/2,0)</f>
        <v>0</v>
      </c>
      <c r="F39" s="26" t="n">
        <f aca="false">C39-D39</f>
        <v>-4.61852778244065E-013</v>
      </c>
      <c r="G39" s="24" t="n">
        <f aca="false">(1+Inputs!$C$22)^((B39-Inputs!$C$6)/365)</f>
        <v>2.12931031170575</v>
      </c>
      <c r="H39" s="26" t="n">
        <f aca="false">IF(J39="Yes",Inputs!$C$16/2*G39,0)</f>
        <v>0</v>
      </c>
      <c r="I39" s="33" t="n">
        <f aca="false">D39+E39+H39</f>
        <v>0</v>
      </c>
      <c r="J39" s="10" t="str">
        <f aca="false">IF(A39&lt;=Inputs!$C$15,"Yes","No")</f>
        <v>No</v>
      </c>
    </row>
    <row r="40" customFormat="false" ht="15" hidden="false" customHeight="false" outlineLevel="0" collapsed="false">
      <c r="A40" s="27" t="n">
        <v>35</v>
      </c>
      <c r="B40" s="22" t="n">
        <f aca="false">EDATE(Inputs!$C$21,6*A40)</f>
        <v>52963</v>
      </c>
      <c r="C40" s="26" t="n">
        <f aca="false">F39</f>
        <v>-4.61852778244065E-013</v>
      </c>
      <c r="D40" s="26" t="n">
        <f aca="false">IF(J40="Yes",Inputs!$C$26/Inputs!$C$15,0)</f>
        <v>0</v>
      </c>
      <c r="E40" s="26" t="n">
        <f aca="false">IF(J40="Yes",C40*Inputs!$C$23/2,0)</f>
        <v>0</v>
      </c>
      <c r="F40" s="26" t="n">
        <f aca="false">C40-D40</f>
        <v>-4.61852778244065E-013</v>
      </c>
      <c r="G40" s="24" t="n">
        <f aca="false">(1+Inputs!$C$22)^((B40-Inputs!$C$6)/365)</f>
        <v>2.17130256730472</v>
      </c>
      <c r="H40" s="26" t="n">
        <f aca="false">IF(J40="Yes",Inputs!$C$16/2*G40,0)</f>
        <v>0</v>
      </c>
      <c r="I40" s="33" t="n">
        <f aca="false">D40+E40+H40</f>
        <v>0</v>
      </c>
      <c r="J40" s="10" t="str">
        <f aca="false">IF(A40&lt;=Inputs!$C$15,"Yes","No")</f>
        <v>No</v>
      </c>
    </row>
    <row r="41" customFormat="false" ht="15" hidden="false" customHeight="false" outlineLevel="0" collapsed="false">
      <c r="A41" s="27" t="n">
        <v>36</v>
      </c>
      <c r="B41" s="22" t="n">
        <f aca="false">EDATE(Inputs!$C$21,6*A41)</f>
        <v>53144</v>
      </c>
      <c r="C41" s="26" t="n">
        <f aca="false">F40</f>
        <v>-4.61852778244065E-013</v>
      </c>
      <c r="D41" s="26" t="n">
        <f aca="false">IF(J41="Yes",Inputs!$C$26/Inputs!$C$15,0)</f>
        <v>0</v>
      </c>
      <c r="E41" s="26" t="n">
        <f aca="false">IF(J41="Yes",C41*Inputs!$C$23/2,0)</f>
        <v>0</v>
      </c>
      <c r="F41" s="26" t="n">
        <f aca="false">C41-D41</f>
        <v>-4.61852778244065E-013</v>
      </c>
      <c r="G41" s="24" t="n">
        <f aca="false">(1+Inputs!$C$22)^((B41-Inputs!$C$6)/365)</f>
        <v>2.21341806901812</v>
      </c>
      <c r="H41" s="26" t="n">
        <f aca="false">IF(J41="Yes",Inputs!$C$16/2*G41,0)</f>
        <v>0</v>
      </c>
      <c r="I41" s="33" t="n">
        <f aca="false">D41+E41+H41</f>
        <v>0</v>
      </c>
      <c r="J41" s="10" t="str">
        <f aca="false">IF(A41&lt;=Inputs!$C$15,"Yes","No")</f>
        <v>No</v>
      </c>
    </row>
    <row r="42" customFormat="false" ht="15" hidden="false" customHeight="false" outlineLevel="0" collapsed="false">
      <c r="A42" s="27" t="n">
        <v>37</v>
      </c>
      <c r="B42" s="22" t="n">
        <f aca="false">EDATE(Inputs!$C$21,6*A42)</f>
        <v>53328</v>
      </c>
      <c r="C42" s="26" t="n">
        <f aca="false">F41</f>
        <v>-4.61852778244065E-013</v>
      </c>
      <c r="D42" s="26" t="n">
        <f aca="false">IF(J42="Yes",Inputs!$C$26/Inputs!$C$15,0)</f>
        <v>0</v>
      </c>
      <c r="E42" s="26" t="n">
        <f aca="false">IF(J42="Yes",C42*Inputs!$C$23/2,0)</f>
        <v>0</v>
      </c>
      <c r="F42" s="26" t="n">
        <f aca="false">C42-D42</f>
        <v>-4.61852778244065E-013</v>
      </c>
      <c r="G42" s="24" t="n">
        <f aca="false">(1+Inputs!$C$22)^((B42-Inputs!$C$6)/365)</f>
        <v>2.25706901871326</v>
      </c>
      <c r="H42" s="26" t="n">
        <f aca="false">IF(J42="Yes",Inputs!$C$16/2*G42,0)</f>
        <v>0</v>
      </c>
      <c r="I42" s="33" t="n">
        <f aca="false">D42+E42+H42</f>
        <v>0</v>
      </c>
      <c r="J42" s="10" t="str">
        <f aca="false">IF(A42&lt;=Inputs!$C$15,"Yes","No")</f>
        <v>No</v>
      </c>
    </row>
    <row r="43" customFormat="false" ht="15" hidden="false" customHeight="false" outlineLevel="0" collapsed="false">
      <c r="A43" s="27" t="n">
        <v>38</v>
      </c>
      <c r="B43" s="22" t="n">
        <f aca="false">EDATE(Inputs!$C$21,6*A43)</f>
        <v>53509</v>
      </c>
      <c r="C43" s="26" t="n">
        <f aca="false">F42</f>
        <v>-4.61852778244065E-013</v>
      </c>
      <c r="D43" s="26" t="n">
        <f aca="false">IF(J43="Yes",Inputs!$C$26/Inputs!$C$15,0)</f>
        <v>0</v>
      </c>
      <c r="E43" s="26" t="n">
        <f aca="false">IF(J43="Yes",C43*Inputs!$C$23/2,0)</f>
        <v>0</v>
      </c>
      <c r="F43" s="26" t="n">
        <f aca="false">C43-D43</f>
        <v>-4.61852778244065E-013</v>
      </c>
      <c r="G43" s="24" t="n">
        <f aca="false">(1+Inputs!$C$22)^((B43-Inputs!$C$6)/365)</f>
        <v>2.30084808274434</v>
      </c>
      <c r="H43" s="26" t="n">
        <f aca="false">IF(J43="Yes",Inputs!$C$16/2*G43,0)</f>
        <v>0</v>
      </c>
      <c r="I43" s="33" t="n">
        <f aca="false">D43+E43+H43</f>
        <v>0</v>
      </c>
      <c r="J43" s="10" t="str">
        <f aca="false">IF(A43&lt;=Inputs!$C$15,"Yes","No")</f>
        <v>No</v>
      </c>
    </row>
    <row r="44" customFormat="false" ht="15" hidden="false" customHeight="false" outlineLevel="0" collapsed="false">
      <c r="A44" s="27" t="n">
        <v>39</v>
      </c>
      <c r="B44" s="22" t="n">
        <f aca="false">EDATE(Inputs!$C$21,6*A44)</f>
        <v>53693</v>
      </c>
      <c r="C44" s="26" t="n">
        <f aca="false">F43</f>
        <v>-4.61852778244065E-013</v>
      </c>
      <c r="D44" s="26" t="n">
        <f aca="false">IF(J44="Yes",Inputs!$C$26/Inputs!$C$15,0)</f>
        <v>0</v>
      </c>
      <c r="E44" s="26" t="n">
        <f aca="false">IF(J44="Yes",C44*Inputs!$C$23/2,0)</f>
        <v>0</v>
      </c>
      <c r="F44" s="26" t="n">
        <f aca="false">C44-D44</f>
        <v>-4.61852778244065E-013</v>
      </c>
      <c r="G44" s="24" t="n">
        <f aca="false">(1+Inputs!$C$22)^((B44-Inputs!$C$6)/365)</f>
        <v>2.34622324495243</v>
      </c>
      <c r="H44" s="26" t="n">
        <f aca="false">IF(J44="Yes",Inputs!$C$16/2*G44,0)</f>
        <v>0</v>
      </c>
      <c r="I44" s="33" t="n">
        <f aca="false">D44+E44+H44</f>
        <v>0</v>
      </c>
      <c r="J44" s="10" t="str">
        <f aca="false">IF(A44&lt;=Inputs!$C$15,"Yes","No")</f>
        <v>No</v>
      </c>
    </row>
    <row r="45" customFormat="false" ht="15" hidden="false" customHeight="false" outlineLevel="0" collapsed="false">
      <c r="A45" s="27" t="n">
        <v>40</v>
      </c>
      <c r="B45" s="22" t="n">
        <f aca="false">EDATE(Inputs!$C$21,6*A45)</f>
        <v>53874</v>
      </c>
      <c r="C45" s="26" t="n">
        <f aca="false">F44</f>
        <v>-4.61852778244065E-013</v>
      </c>
      <c r="D45" s="26" t="n">
        <f aca="false">IF(J45="Yes",Inputs!$C$26/Inputs!$C$15,0)</f>
        <v>0</v>
      </c>
      <c r="E45" s="26" t="n">
        <f aca="false">IF(J45="Yes",C45*Inputs!$C$23/2,0)</f>
        <v>0</v>
      </c>
      <c r="F45" s="26" t="n">
        <f aca="false">C45-D45</f>
        <v>-4.61852778244065E-013</v>
      </c>
      <c r="G45" s="24" t="n">
        <f aca="false">(1+Inputs!$C$22)^((B45-Inputs!$C$6)/365)</f>
        <v>2.39173158201274</v>
      </c>
      <c r="H45" s="26" t="n">
        <f aca="false">IF(J45="Yes",Inputs!$C$16/2*G45,0)</f>
        <v>0</v>
      </c>
      <c r="I45" s="33" t="n">
        <f aca="false">D45+E45+H45</f>
        <v>0</v>
      </c>
      <c r="J45" s="10" t="str">
        <f aca="false">IF(A45&lt;=Inputs!$C$15,"Yes","No")</f>
        <v>No</v>
      </c>
    </row>
    <row r="46" customFormat="false" ht="15" hidden="false" customHeight="false" outlineLevel="0" collapsed="false">
      <c r="A46" s="27" t="n">
        <v>41</v>
      </c>
      <c r="B46" s="22" t="n">
        <f aca="false">EDATE(Inputs!$C$21,6*A46)</f>
        <v>54058</v>
      </c>
      <c r="C46" s="26" t="n">
        <f aca="false">F45</f>
        <v>-4.61852778244065E-013</v>
      </c>
      <c r="D46" s="26" t="n">
        <f aca="false">IF(J46="Yes",Inputs!$C$26/Inputs!$C$15,0)</f>
        <v>0</v>
      </c>
      <c r="E46" s="26" t="n">
        <f aca="false">IF(J46="Yes",C46*Inputs!$C$23/2,0)</f>
        <v>0</v>
      </c>
      <c r="F46" s="26" t="n">
        <f aca="false">C46-D46</f>
        <v>-4.61852778244065E-013</v>
      </c>
      <c r="G46" s="24" t="n">
        <f aca="false">(1+Inputs!$C$22)^((B46-Inputs!$C$6)/365)</f>
        <v>2.43889906312805</v>
      </c>
      <c r="H46" s="26" t="n">
        <f aca="false">IF(J46="Yes",Inputs!$C$16/2*G46,0)</f>
        <v>0</v>
      </c>
      <c r="I46" s="33" t="n">
        <f aca="false">D46+E46+H46</f>
        <v>0</v>
      </c>
      <c r="J46" s="10" t="str">
        <f aca="false">IF(A46&lt;=Inputs!$C$15,"Yes","No")</f>
        <v>No</v>
      </c>
    </row>
    <row r="47" customFormat="false" ht="15" hidden="false" customHeight="false" outlineLevel="0" collapsed="false">
      <c r="A47" s="27" t="n">
        <v>42</v>
      </c>
      <c r="B47" s="22" t="n">
        <f aca="false">EDATE(Inputs!$C$21,6*A47)</f>
        <v>54240</v>
      </c>
      <c r="C47" s="26" t="n">
        <f aca="false">F46</f>
        <v>-4.61852778244065E-013</v>
      </c>
      <c r="D47" s="26" t="n">
        <f aca="false">IF(J47="Yes",Inputs!$C$26/Inputs!$C$15,0)</f>
        <v>0</v>
      </c>
      <c r="E47" s="26" t="n">
        <f aca="false">IF(J47="Yes",C47*Inputs!$C$23/2,0)</f>
        <v>0</v>
      </c>
      <c r="F47" s="26" t="n">
        <f aca="false">C47-D47</f>
        <v>-4.61852778244065E-013</v>
      </c>
      <c r="G47" s="24" t="n">
        <f aca="false">(1+Inputs!$C$22)^((B47-Inputs!$C$6)/365)</f>
        <v>2.48646887064066</v>
      </c>
      <c r="H47" s="26" t="n">
        <f aca="false">IF(J47="Yes",Inputs!$C$16/2*G47,0)</f>
        <v>0</v>
      </c>
      <c r="I47" s="33" t="n">
        <f aca="false">D47+E47+H47</f>
        <v>0</v>
      </c>
      <c r="J47" s="10" t="str">
        <f aca="false">IF(A47&lt;=Inputs!$C$15,"Yes","No")</f>
        <v>No</v>
      </c>
    </row>
    <row r="48" customFormat="false" ht="15" hidden="false" customHeight="false" outlineLevel="0" collapsed="false">
      <c r="A48" s="27" t="n">
        <v>43</v>
      </c>
      <c r="B48" s="22" t="n">
        <f aca="false">EDATE(Inputs!$C$21,6*A48)</f>
        <v>54424</v>
      </c>
      <c r="C48" s="26" t="n">
        <f aca="false">F47</f>
        <v>-4.61852778244065E-013</v>
      </c>
      <c r="D48" s="26" t="n">
        <f aca="false">IF(J48="Yes",Inputs!$C$26/Inputs!$C$15,0)</f>
        <v>0</v>
      </c>
      <c r="E48" s="26" t="n">
        <f aca="false">IF(J48="Yes",C48*Inputs!$C$23/2,0)</f>
        <v>0</v>
      </c>
      <c r="F48" s="26" t="n">
        <f aca="false">C48-D48</f>
        <v>-4.61852778244065E-013</v>
      </c>
      <c r="G48" s="24" t="n">
        <f aca="false">(1+Inputs!$C$22)^((B48-Inputs!$C$6)/365)</f>
        <v>2.5355046714729</v>
      </c>
      <c r="H48" s="26" t="n">
        <f aca="false">IF(J48="Yes",Inputs!$C$16/2*G48,0)</f>
        <v>0</v>
      </c>
      <c r="I48" s="33" t="n">
        <f aca="false">D48+E48+H48</f>
        <v>0</v>
      </c>
      <c r="J48" s="10" t="str">
        <f aca="false">IF(A48&lt;=Inputs!$C$15,"Yes","No")</f>
        <v>No</v>
      </c>
    </row>
    <row r="49" customFormat="false" ht="15" hidden="false" customHeight="false" outlineLevel="0" collapsed="false">
      <c r="A49" s="27" t="n">
        <v>44</v>
      </c>
      <c r="B49" s="22" t="n">
        <f aca="false">EDATE(Inputs!$C$21,6*A49)</f>
        <v>54605</v>
      </c>
      <c r="C49" s="26" t="n">
        <f aca="false">F48</f>
        <v>-4.61852778244065E-013</v>
      </c>
      <c r="D49" s="26" t="n">
        <f aca="false">IF(J49="Yes",Inputs!$C$26/Inputs!$C$15,0)</f>
        <v>0</v>
      </c>
      <c r="E49" s="26" t="n">
        <f aca="false">IF(J49="Yes",C49*Inputs!$C$23/2,0)</f>
        <v>0</v>
      </c>
      <c r="F49" s="26" t="n">
        <f aca="false">C49-D49</f>
        <v>-4.61852778244065E-013</v>
      </c>
      <c r="G49" s="24" t="n">
        <f aca="false">(1+Inputs!$C$22)^((B49-Inputs!$C$6)/365)</f>
        <v>2.58468439103097</v>
      </c>
      <c r="H49" s="26" t="n">
        <f aca="false">IF(J49="Yes",Inputs!$C$16/2*G49,0)</f>
        <v>0</v>
      </c>
      <c r="I49" s="33" t="n">
        <f aca="false">D49+E49+H49</f>
        <v>0</v>
      </c>
      <c r="J49" s="10" t="str">
        <f aca="false">IF(A49&lt;=Inputs!$C$15,"Yes","No")</f>
        <v>No</v>
      </c>
    </row>
    <row r="50" customFormat="false" ht="15" hidden="false" customHeight="false" outlineLevel="0" collapsed="false">
      <c r="A50" s="27" t="n">
        <v>45</v>
      </c>
      <c r="B50" s="22" t="n">
        <f aca="false">EDATE(Inputs!$C$21,6*A50)</f>
        <v>54789</v>
      </c>
      <c r="C50" s="26" t="n">
        <f aca="false">F49</f>
        <v>-4.61852778244065E-013</v>
      </c>
      <c r="D50" s="26" t="n">
        <f aca="false">IF(J50="Yes",Inputs!$C$26/Inputs!$C$15,0)</f>
        <v>0</v>
      </c>
      <c r="E50" s="26" t="n">
        <f aca="false">IF(J50="Yes",C50*Inputs!$C$23/2,0)</f>
        <v>0</v>
      </c>
      <c r="F50" s="26" t="n">
        <f aca="false">C50-D50</f>
        <v>-4.61852778244065E-013</v>
      </c>
      <c r="G50" s="24" t="n">
        <f aca="false">(1+Inputs!$C$22)^((B50-Inputs!$C$6)/365)</f>
        <v>2.63565710599608</v>
      </c>
      <c r="H50" s="26" t="n">
        <f aca="false">IF(J50="Yes",Inputs!$C$16/2*G50,0)</f>
        <v>0</v>
      </c>
      <c r="I50" s="33" t="n">
        <f aca="false">D50+E50+H50</f>
        <v>0</v>
      </c>
      <c r="J50" s="10" t="str">
        <f aca="false">IF(A50&lt;=Inputs!$C$15,"Yes","No")</f>
        <v>No</v>
      </c>
    </row>
    <row r="51" customFormat="false" ht="15" hidden="false" customHeight="false" outlineLevel="0" collapsed="false">
      <c r="A51" s="27" t="n">
        <v>46</v>
      </c>
      <c r="B51" s="22" t="n">
        <f aca="false">EDATE(Inputs!$C$21,6*A51)</f>
        <v>54970</v>
      </c>
      <c r="C51" s="26" t="n">
        <f aca="false">F50</f>
        <v>-4.61852778244065E-013</v>
      </c>
      <c r="D51" s="26" t="n">
        <f aca="false">IF(J51="Yes",Inputs!$C$26/Inputs!$C$15,0)</f>
        <v>0</v>
      </c>
      <c r="E51" s="26" t="n">
        <f aca="false">IF(J51="Yes",C51*Inputs!$C$23/2,0)</f>
        <v>0</v>
      </c>
      <c r="F51" s="26" t="n">
        <f aca="false">C51-D51</f>
        <v>-4.61852778244065E-013</v>
      </c>
      <c r="G51" s="24" t="n">
        <f aca="false">(1+Inputs!$C$22)^((B51-Inputs!$C$6)/365)</f>
        <v>2.68677942447669</v>
      </c>
      <c r="H51" s="26" t="n">
        <f aca="false">IF(J51="Yes",Inputs!$C$16/2*G51,0)</f>
        <v>0</v>
      </c>
      <c r="I51" s="33" t="n">
        <f aca="false">D51+E51+H51</f>
        <v>0</v>
      </c>
      <c r="J51" s="10" t="str">
        <f aca="false">IF(A51&lt;=Inputs!$C$15,"Yes","No")</f>
        <v>No</v>
      </c>
    </row>
    <row r="52" customFormat="false" ht="15" hidden="false" customHeight="false" outlineLevel="0" collapsed="false">
      <c r="A52" s="27" t="n">
        <v>47</v>
      </c>
      <c r="B52" s="22" t="n">
        <f aca="false">EDATE(Inputs!$C$21,6*A52)</f>
        <v>55154</v>
      </c>
      <c r="C52" s="26" t="n">
        <f aca="false">F51</f>
        <v>-4.61852778244065E-013</v>
      </c>
      <c r="D52" s="26" t="n">
        <f aca="false">IF(J52="Yes",Inputs!$C$26/Inputs!$C$15,0)</f>
        <v>0</v>
      </c>
      <c r="E52" s="26" t="n">
        <f aca="false">IF(J52="Yes",C52*Inputs!$C$23/2,0)</f>
        <v>0</v>
      </c>
      <c r="F52" s="26" t="n">
        <f aca="false">C52-D52</f>
        <v>-4.61852778244065E-013</v>
      </c>
      <c r="G52" s="24" t="n">
        <f aca="false">(1+Inputs!$C$22)^((B52-Inputs!$C$6)/365)</f>
        <v>2.73976556168292</v>
      </c>
      <c r="H52" s="26" t="n">
        <f aca="false">IF(J52="Yes",Inputs!$C$16/2*G52,0)</f>
        <v>0</v>
      </c>
      <c r="I52" s="33" t="n">
        <f aca="false">D52+E52+H52</f>
        <v>0</v>
      </c>
      <c r="J52" s="10" t="str">
        <f aca="false">IF(A52&lt;=Inputs!$C$15,"Yes","No")</f>
        <v>No</v>
      </c>
    </row>
    <row r="53" customFormat="false" ht="15" hidden="false" customHeight="false" outlineLevel="0" collapsed="false">
      <c r="A53" s="27" t="n">
        <v>48</v>
      </c>
      <c r="B53" s="22" t="n">
        <f aca="false">EDATE(Inputs!$C$21,6*A53)</f>
        <v>55335</v>
      </c>
      <c r="C53" s="26" t="n">
        <f aca="false">F52</f>
        <v>-4.61852778244065E-013</v>
      </c>
      <c r="D53" s="26" t="n">
        <f aca="false">IF(J53="Yes",Inputs!$C$26/Inputs!$C$15,0)</f>
        <v>0</v>
      </c>
      <c r="E53" s="26" t="n">
        <f aca="false">IF(J53="Yes",C53*Inputs!$C$23/2,0)</f>
        <v>0</v>
      </c>
      <c r="F53" s="26" t="n">
        <f aca="false">C53-D53</f>
        <v>-4.61852778244065E-013</v>
      </c>
      <c r="G53" s="24" t="n">
        <f aca="false">(1+Inputs!$C$22)^((B53-Inputs!$C$6)/365)</f>
        <v>2.79290721174352</v>
      </c>
      <c r="H53" s="26" t="n">
        <f aca="false">IF(J53="Yes",Inputs!$C$16/2*G53,0)</f>
        <v>0</v>
      </c>
      <c r="I53" s="33" t="n">
        <f aca="false">D53+E53+H53</f>
        <v>0</v>
      </c>
      <c r="J53" s="10" t="str">
        <f aca="false">IF(A53&lt;=Inputs!$C$15,"Yes","No")</f>
        <v>No</v>
      </c>
    </row>
    <row r="54" customFormat="false" ht="15" hidden="false" customHeight="false" outlineLevel="0" collapsed="false">
      <c r="A54" s="27" t="n">
        <v>49</v>
      </c>
      <c r="B54" s="22" t="n">
        <f aca="false">EDATE(Inputs!$C$21,6*A54)</f>
        <v>55519</v>
      </c>
      <c r="C54" s="26" t="n">
        <f aca="false">F53</f>
        <v>-4.61852778244065E-013</v>
      </c>
      <c r="D54" s="26" t="n">
        <f aca="false">IF(J54="Yes",Inputs!$C$26/Inputs!$C$15,0)</f>
        <v>0</v>
      </c>
      <c r="E54" s="26" t="n">
        <f aca="false">IF(J54="Yes",C54*Inputs!$C$23/2,0)</f>
        <v>0</v>
      </c>
      <c r="F54" s="26" t="n">
        <f aca="false">C54-D54</f>
        <v>-4.61852778244065E-013</v>
      </c>
      <c r="G54" s="24" t="n">
        <f aca="false">(1+Inputs!$C$22)^((B54-Inputs!$C$6)/365)</f>
        <v>2.8479863013694</v>
      </c>
      <c r="H54" s="26" t="n">
        <f aca="false">IF(J54="Yes",Inputs!$C$16/2*G54,0)</f>
        <v>0</v>
      </c>
      <c r="I54" s="33" t="n">
        <f aca="false">D54+E54+H54</f>
        <v>0</v>
      </c>
      <c r="J54" s="10" t="str">
        <f aca="false">IF(A54&lt;=Inputs!$C$15,"Yes","No")</f>
        <v>No</v>
      </c>
    </row>
    <row r="55" customFormat="false" ht="15" hidden="false" customHeight="false" outlineLevel="0" collapsed="false">
      <c r="A55" s="27" t="n">
        <v>50</v>
      </c>
      <c r="B55" s="22" t="n">
        <f aca="false">EDATE(Inputs!$C$21,6*A55)</f>
        <v>55701</v>
      </c>
      <c r="C55" s="26" t="n">
        <f aca="false">F54</f>
        <v>-4.61852778244065E-013</v>
      </c>
      <c r="D55" s="26" t="n">
        <f aca="false">IF(J55="Yes",Inputs!$C$26/Inputs!$C$15,0)</f>
        <v>0</v>
      </c>
      <c r="E55" s="26" t="n">
        <f aca="false">IF(J55="Yes",C55*Inputs!$C$23/2,0)</f>
        <v>0</v>
      </c>
      <c r="F55" s="26" t="n">
        <f aca="false">C55-D55</f>
        <v>-4.61852778244065E-013</v>
      </c>
      <c r="G55" s="24" t="n">
        <f aca="false">(1+Inputs!$C$22)^((B55-Inputs!$C$6)/365)</f>
        <v>2.90353520136403</v>
      </c>
      <c r="H55" s="26" t="n">
        <f aca="false">IF(J55="Yes",Inputs!$C$16/2*G55,0)</f>
        <v>0</v>
      </c>
      <c r="I55" s="33" t="n">
        <f aca="false">D55+E55+H55</f>
        <v>0</v>
      </c>
      <c r="J55" s="10" t="str">
        <f aca="false">IF(A55&lt;=Inputs!$C$15,"Yes","No")</f>
        <v>No</v>
      </c>
    </row>
    <row r="56" customFormat="false" ht="15" hidden="false" customHeight="false" outlineLevel="0" collapsed="false">
      <c r="A56" s="27" t="n">
        <v>51</v>
      </c>
      <c r="B56" s="22" t="n">
        <f aca="false">EDATE(Inputs!$C$21,6*A56)</f>
        <v>55885</v>
      </c>
      <c r="C56" s="26" t="n">
        <f aca="false">F55</f>
        <v>-4.61852778244065E-013</v>
      </c>
      <c r="D56" s="26" t="n">
        <f aca="false">IF(J56="Yes",Inputs!$C$26/Inputs!$C$15,0)</f>
        <v>0</v>
      </c>
      <c r="E56" s="26" t="n">
        <f aca="false">IF(J56="Yes",C56*Inputs!$C$23/2,0)</f>
        <v>0</v>
      </c>
      <c r="F56" s="26" t="n">
        <f aca="false">C56-D56</f>
        <v>-4.61852778244065E-013</v>
      </c>
      <c r="G56" s="24" t="n">
        <f aca="false">(1+Inputs!$C$22)^((B56-Inputs!$C$6)/365)</f>
        <v>2.96079599216846</v>
      </c>
      <c r="H56" s="26" t="n">
        <f aca="false">IF(J56="Yes",Inputs!$C$16/2*G56,0)</f>
        <v>0</v>
      </c>
      <c r="I56" s="33" t="n">
        <f aca="false">D56+E56+H56</f>
        <v>0</v>
      </c>
      <c r="J56" s="10" t="str">
        <f aca="false">IF(A56&lt;=Inputs!$C$15,"Yes","No")</f>
        <v>No</v>
      </c>
    </row>
    <row r="57" customFormat="false" ht="15" hidden="false" customHeight="false" outlineLevel="0" collapsed="false">
      <c r="A57" s="27" t="n">
        <v>52</v>
      </c>
      <c r="B57" s="22" t="n">
        <f aca="false">EDATE(Inputs!$C$21,6*A57)</f>
        <v>56066</v>
      </c>
      <c r="C57" s="26" t="n">
        <f aca="false">F56</f>
        <v>-4.61852778244065E-013</v>
      </c>
      <c r="D57" s="26" t="n">
        <f aca="false">IF(J57="Yes",Inputs!$C$26/Inputs!$C$15,0)</f>
        <v>0</v>
      </c>
      <c r="E57" s="26" t="n">
        <f aca="false">IF(J57="Yes",C57*Inputs!$C$23/2,0)</f>
        <v>0</v>
      </c>
      <c r="F57" s="26" t="n">
        <f aca="false">C57-D57</f>
        <v>-4.61852778244065E-013</v>
      </c>
      <c r="G57" s="24" t="n">
        <f aca="false">(1+Inputs!$C$22)^((B57-Inputs!$C$6)/365)</f>
        <v>3.01822484181791</v>
      </c>
      <c r="H57" s="26" t="n">
        <f aca="false">IF(J57="Yes",Inputs!$C$16/2*G57,0)</f>
        <v>0</v>
      </c>
      <c r="I57" s="33" t="n">
        <f aca="false">D57+E57+H57</f>
        <v>0</v>
      </c>
      <c r="J57" s="10" t="str">
        <f aca="false">IF(A57&lt;=Inputs!$C$15,"Yes","No")</f>
        <v>No</v>
      </c>
    </row>
    <row r="58" customFormat="false" ht="15" hidden="false" customHeight="false" outlineLevel="0" collapsed="false">
      <c r="A58" s="27" t="n">
        <v>53</v>
      </c>
      <c r="B58" s="22" t="n">
        <f aca="false">EDATE(Inputs!$C$21,6*A58)</f>
        <v>56250</v>
      </c>
      <c r="C58" s="26" t="n">
        <f aca="false">F57</f>
        <v>-4.61852778244065E-013</v>
      </c>
      <c r="D58" s="26" t="n">
        <f aca="false">IF(J58="Yes",Inputs!$C$26/Inputs!$C$15,0)</f>
        <v>0</v>
      </c>
      <c r="E58" s="26" t="n">
        <f aca="false">IF(J58="Yes",C58*Inputs!$C$23/2,0)</f>
        <v>0</v>
      </c>
      <c r="F58" s="26" t="n">
        <f aca="false">C58-D58</f>
        <v>-4.61852778244065E-013</v>
      </c>
      <c r="G58" s="24" t="n">
        <f aca="false">(1+Inputs!$C$22)^((B58-Inputs!$C$6)/365)</f>
        <v>3.07774743385911</v>
      </c>
      <c r="H58" s="26" t="n">
        <f aca="false">IF(J58="Yes",Inputs!$C$16/2*G58,0)</f>
        <v>0</v>
      </c>
      <c r="I58" s="33" t="n">
        <f aca="false">D58+E58+H58</f>
        <v>0</v>
      </c>
      <c r="J58" s="10" t="str">
        <f aca="false">IF(A58&lt;=Inputs!$C$15,"Yes","No")</f>
        <v>No</v>
      </c>
    </row>
    <row r="59" customFormat="false" ht="15" hidden="false" customHeight="false" outlineLevel="0" collapsed="false">
      <c r="A59" s="27" t="n">
        <v>54</v>
      </c>
      <c r="B59" s="22" t="n">
        <f aca="false">EDATE(Inputs!$C$21,6*A59)</f>
        <v>56431</v>
      </c>
      <c r="C59" s="26" t="n">
        <f aca="false">F58</f>
        <v>-4.61852778244065E-013</v>
      </c>
      <c r="D59" s="26" t="n">
        <f aca="false">IF(J59="Yes",Inputs!$C$26/Inputs!$C$15,0)</f>
        <v>0</v>
      </c>
      <c r="E59" s="26" t="n">
        <f aca="false">IF(J59="Yes",C59*Inputs!$C$23/2,0)</f>
        <v>0</v>
      </c>
      <c r="F59" s="26" t="n">
        <f aca="false">C59-D59</f>
        <v>-4.61852778244065E-013</v>
      </c>
      <c r="G59" s="24" t="n">
        <f aca="false">(1+Inputs!$C$22)^((B59-Inputs!$C$6)/365)</f>
        <v>3.13744472306972</v>
      </c>
      <c r="H59" s="26" t="n">
        <f aca="false">IF(J59="Yes",Inputs!$C$16/2*G59,0)</f>
        <v>0</v>
      </c>
      <c r="I59" s="33" t="n">
        <f aca="false">D59+E59+H59</f>
        <v>0</v>
      </c>
      <c r="J59" s="10" t="str">
        <f aca="false">IF(A59&lt;=Inputs!$C$15,"Yes","No")</f>
        <v>No</v>
      </c>
    </row>
    <row r="60" customFormat="false" ht="15" hidden="false" customHeight="false" outlineLevel="0" collapsed="false">
      <c r="A60" s="27" t="n">
        <v>55</v>
      </c>
      <c r="B60" s="22" t="n">
        <f aca="false">EDATE(Inputs!$C$21,6*A60)</f>
        <v>56615</v>
      </c>
      <c r="C60" s="26" t="n">
        <f aca="false">F59</f>
        <v>-4.61852778244065E-013</v>
      </c>
      <c r="D60" s="26" t="n">
        <f aca="false">IF(J60="Yes",Inputs!$C$26/Inputs!$C$15,0)</f>
        <v>0</v>
      </c>
      <c r="E60" s="26" t="n">
        <f aca="false">IF(J60="Yes",C60*Inputs!$C$23/2,0)</f>
        <v>0</v>
      </c>
      <c r="F60" s="26" t="n">
        <f aca="false">C60-D60</f>
        <v>-4.61852778244065E-013</v>
      </c>
      <c r="G60" s="24" t="n">
        <f aca="false">(1+Inputs!$C$22)^((B60-Inputs!$C$6)/365)</f>
        <v>3.19931845749655</v>
      </c>
      <c r="H60" s="26" t="n">
        <f aca="false">IF(J60="Yes",Inputs!$C$16/2*G60,0)</f>
        <v>0</v>
      </c>
      <c r="I60" s="33" t="n">
        <f aca="false">D60+E60+H60</f>
        <v>0</v>
      </c>
      <c r="J60" s="10" t="str">
        <f aca="false">IF(A60&lt;=Inputs!$C$15,"Yes","No")</f>
        <v>No</v>
      </c>
    </row>
    <row r="61" customFormat="false" ht="15" hidden="false" customHeight="false" outlineLevel="0" collapsed="false">
      <c r="A61" s="27" t="n">
        <v>56</v>
      </c>
      <c r="B61" s="22" t="n">
        <f aca="false">EDATE(Inputs!$C$21,6*A61)</f>
        <v>56796</v>
      </c>
      <c r="C61" s="26" t="n">
        <f aca="false">F60</f>
        <v>-4.61852778244065E-013</v>
      </c>
      <c r="D61" s="26" t="n">
        <f aca="false">IF(J61="Yes",Inputs!$C$26/Inputs!$C$15,0)</f>
        <v>0</v>
      </c>
      <c r="E61" s="26" t="n">
        <f aca="false">IF(J61="Yes",C61*Inputs!$C$23/2,0)</f>
        <v>0</v>
      </c>
      <c r="F61" s="26" t="n">
        <f aca="false">C61-D61</f>
        <v>-4.61852778244065E-013</v>
      </c>
      <c r="G61" s="24" t="n">
        <f aca="false">(1+Inputs!$C$22)^((B61-Inputs!$C$6)/365)</f>
        <v>3.26137378963097</v>
      </c>
      <c r="H61" s="26" t="n">
        <f aca="false">IF(J61="Yes",Inputs!$C$16/2*G61,0)</f>
        <v>0</v>
      </c>
      <c r="I61" s="33" t="n">
        <f aca="false">D61+E61+H61</f>
        <v>0</v>
      </c>
      <c r="J61" s="10" t="str">
        <f aca="false">IF(A61&lt;=Inputs!$C$15,"Yes","No")</f>
        <v>No</v>
      </c>
    </row>
    <row r="62" customFormat="false" ht="15" hidden="false" customHeight="false" outlineLevel="0" collapsed="false">
      <c r="A62" s="27" t="n">
        <v>57</v>
      </c>
      <c r="B62" s="22" t="n">
        <f aca="false">EDATE(Inputs!$C$21,6*A62)</f>
        <v>56980</v>
      </c>
      <c r="C62" s="26" t="n">
        <f aca="false">F61</f>
        <v>-4.61852778244065E-013</v>
      </c>
      <c r="D62" s="26" t="n">
        <f aca="false">IF(J62="Yes",Inputs!$C$26/Inputs!$C$15,0)</f>
        <v>0</v>
      </c>
      <c r="E62" s="26" t="n">
        <f aca="false">IF(J62="Yes",C62*Inputs!$C$23/2,0)</f>
        <v>0</v>
      </c>
      <c r="F62" s="26" t="n">
        <f aca="false">C62-D62</f>
        <v>-4.61852778244065E-013</v>
      </c>
      <c r="G62" s="24" t="n">
        <f aca="false">(1+Inputs!$C$22)^((B62-Inputs!$C$6)/365)</f>
        <v>3.32569153656766</v>
      </c>
      <c r="H62" s="26" t="n">
        <f aca="false">IF(J62="Yes",Inputs!$C$16/2*G62,0)</f>
        <v>0</v>
      </c>
      <c r="I62" s="33" t="n">
        <f aca="false">D62+E62+H62</f>
        <v>0</v>
      </c>
      <c r="J62" s="10" t="str">
        <f aca="false">IF(A62&lt;=Inputs!$C$15,"Yes","No")</f>
        <v>No</v>
      </c>
    </row>
    <row r="63" customFormat="false" ht="15" hidden="false" customHeight="false" outlineLevel="0" collapsed="false">
      <c r="A63" s="27" t="n">
        <v>58</v>
      </c>
      <c r="B63" s="22" t="n">
        <f aca="false">EDATE(Inputs!$C$21,6*A63)</f>
        <v>57162</v>
      </c>
      <c r="C63" s="26" t="n">
        <f aca="false">F62</f>
        <v>-4.61852778244065E-013</v>
      </c>
      <c r="D63" s="26" t="n">
        <f aca="false">IF(J63="Yes",Inputs!$C$26/Inputs!$C$15,0)</f>
        <v>0</v>
      </c>
      <c r="E63" s="26" t="n">
        <f aca="false">IF(J63="Yes",C63*Inputs!$C$23/2,0)</f>
        <v>0</v>
      </c>
      <c r="F63" s="26" t="n">
        <f aca="false">C63-D63</f>
        <v>-4.61852778244065E-013</v>
      </c>
      <c r="G63" s="24" t="n">
        <f aca="false">(1+Inputs!$C$22)^((B63-Inputs!$C$6)/365)</f>
        <v>3.39055789722711</v>
      </c>
      <c r="H63" s="26" t="n">
        <f aca="false">IF(J63="Yes",Inputs!$C$16/2*G63,0)</f>
        <v>0</v>
      </c>
      <c r="I63" s="33" t="n">
        <f aca="false">D63+E63+H63</f>
        <v>0</v>
      </c>
      <c r="J63" s="10" t="str">
        <f aca="false">IF(A63&lt;=Inputs!$C$15,"Yes","No")</f>
        <v>No</v>
      </c>
    </row>
    <row r="64" customFormat="false" ht="15" hidden="false" customHeight="false" outlineLevel="0" collapsed="false">
      <c r="A64" s="27" t="n">
        <v>59</v>
      </c>
      <c r="B64" s="22" t="n">
        <f aca="false">EDATE(Inputs!$C$21,6*A64)</f>
        <v>57346</v>
      </c>
      <c r="C64" s="26" t="n">
        <f aca="false">F63</f>
        <v>-4.61852778244065E-013</v>
      </c>
      <c r="D64" s="26" t="n">
        <f aca="false">IF(J64="Yes",Inputs!$C$26/Inputs!$C$15,0)</f>
        <v>0</v>
      </c>
      <c r="E64" s="26" t="n">
        <f aca="false">IF(J64="Yes",C64*Inputs!$C$23/2,0)</f>
        <v>0</v>
      </c>
      <c r="F64" s="26" t="n">
        <f aca="false">C64-D64</f>
        <v>-4.61852778244065E-013</v>
      </c>
      <c r="G64" s="24" t="n">
        <f aca="false">(1+Inputs!$C$22)^((B64-Inputs!$C$6)/365)</f>
        <v>3.45742329165119</v>
      </c>
      <c r="H64" s="26" t="n">
        <f aca="false">IF(J64="Yes",Inputs!$C$16/2*G64,0)</f>
        <v>0</v>
      </c>
      <c r="I64" s="33" t="n">
        <f aca="false">D64+E64+H64</f>
        <v>0</v>
      </c>
      <c r="J64" s="10" t="str">
        <f aca="false">IF(A64&lt;=Inputs!$C$15,"Yes","No")</f>
        <v>No</v>
      </c>
    </row>
    <row r="65" customFormat="false" ht="15" hidden="false" customHeight="false" outlineLevel="0" collapsed="false">
      <c r="A65" s="27" t="n">
        <v>60</v>
      </c>
      <c r="B65" s="22" t="n">
        <f aca="false">EDATE(Inputs!$C$21,6*A65)</f>
        <v>57527</v>
      </c>
      <c r="C65" s="26" t="n">
        <f aca="false">F64</f>
        <v>-4.61852778244065E-013</v>
      </c>
      <c r="D65" s="26" t="n">
        <f aca="false">IF(J65="Yes",Inputs!$C$26/Inputs!$C$15,0)</f>
        <v>0</v>
      </c>
      <c r="E65" s="26" t="n">
        <f aca="false">IF(J65="Yes",C65*Inputs!$C$23/2,0)</f>
        <v>0</v>
      </c>
      <c r="F65" s="26" t="n">
        <f aca="false">C65-D65</f>
        <v>-4.61852778244065E-013</v>
      </c>
      <c r="G65" s="24" t="n">
        <f aca="false">(1+Inputs!$C$22)^((B65-Inputs!$C$6)/365)</f>
        <v>3.52448493416758</v>
      </c>
      <c r="H65" s="26" t="n">
        <f aca="false">IF(J65="Yes",Inputs!$C$16/2*G65,0)</f>
        <v>0</v>
      </c>
      <c r="I65" s="33" t="n">
        <f aca="false">D65+E65+H65</f>
        <v>0</v>
      </c>
      <c r="J65" s="10" t="str">
        <f aca="false">IF(A65&lt;=Inputs!$C$15,"Yes","No")</f>
        <v>No</v>
      </c>
    </row>
    <row r="66" customFormat="false" ht="15" hidden="false" customHeight="false" outlineLevel="0" collapsed="false">
      <c r="A66" s="29" t="s">
        <v>76</v>
      </c>
      <c r="D66" s="31" t="n">
        <f aca="false">SUM(D6:D65)</f>
        <v>660.911551810574</v>
      </c>
      <c r="E66" s="31" t="n">
        <f aca="false">SUM(E6:E65)</f>
        <v>512.206452653194</v>
      </c>
      <c r="H66" s="31" t="n">
        <f aca="false">SUM(H6:H65)</f>
        <v>113.155792282858</v>
      </c>
      <c r="I66" s="31" t="n">
        <f aca="false">SUM(I6:I65)</f>
        <v>1286.27379674663</v>
      </c>
    </row>
    <row r="67" customFormat="false" ht="15" hidden="false" customHeight="false" outlineLevel="0" collapsed="false">
      <c r="A67" s="2" t="s">
        <v>87</v>
      </c>
    </row>
  </sheetData>
  <conditionalFormatting sqref="A6:J65">
    <cfRule type="expression" priority="2" aboveAverage="0" equalAverage="0" bottom="0" percent="0" rank="0" text="" dxfId="0">
      <formula>$J6="No"</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J9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3" ySplit="5" topLeftCell="D6" activePane="bottomRight" state="frozen"/>
      <selection pane="topLeft" activeCell="A1" activeCellId="0" sqref="A1"/>
      <selection pane="topRight" activeCell="D1" activeCellId="0" sqref="D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9"/>
    <col collapsed="false" customWidth="true" hidden="false" outlineLevel="0" max="3" min="2" style="0" width="12"/>
    <col collapsed="false" customWidth="true" hidden="false" outlineLevel="0" max="10" min="4" style="0" width="15"/>
  </cols>
  <sheetData>
    <row r="1" customFormat="false" ht="17.35" hidden="false" customHeight="false" outlineLevel="0" collapsed="false">
      <c r="A1" s="15" t="s">
        <v>88</v>
      </c>
    </row>
    <row r="2" customFormat="false" ht="15" hidden="false" customHeight="false" outlineLevel="0" collapsed="false">
      <c r="A2" s="16" t="s">
        <v>41</v>
      </c>
    </row>
    <row r="5" customFormat="false" ht="43.5" hidden="false" customHeight="true" outlineLevel="0" collapsed="false">
      <c r="A5" s="28" t="s">
        <v>89</v>
      </c>
      <c r="B5" s="28" t="s">
        <v>90</v>
      </c>
      <c r="C5" s="28" t="s">
        <v>91</v>
      </c>
      <c r="D5" s="28" t="s">
        <v>92</v>
      </c>
      <c r="E5" s="28" t="s">
        <v>93</v>
      </c>
      <c r="F5" s="28" t="s">
        <v>94</v>
      </c>
      <c r="G5" s="28" t="s">
        <v>95</v>
      </c>
      <c r="H5" s="28" t="s">
        <v>96</v>
      </c>
      <c r="I5" s="28" t="s">
        <v>97</v>
      </c>
      <c r="J5" s="28" t="s">
        <v>98</v>
      </c>
    </row>
    <row r="6" customFormat="false" ht="15" hidden="false" customHeight="false" outlineLevel="0" collapsed="false">
      <c r="A6" s="27" t="n">
        <v>1</v>
      </c>
      <c r="B6" s="22" t="n">
        <f aca="false">EDATE(Inputs!$C$7,6*(A6-1))</f>
        <v>45839</v>
      </c>
      <c r="C6" s="22" t="n">
        <f aca="false">EDATE(Inputs!$C$7,6*A6)-1</f>
        <v>46022</v>
      </c>
      <c r="D6" s="26" t="n">
        <f aca="false">SUMIFS(Inputs!$E$31:$E$40,Inputs!$B$31:$B$40,"&gt;="&amp;B6,Inputs!$B$31:$B$40,"&lt;="&amp;C6)</f>
        <v>83.0100879700592</v>
      </c>
      <c r="E6" s="26" t="n">
        <f aca="false">SUMIFS('Annuity Schedule'!$D$6:$D$65,'Annuity Schedule'!$B$6:$B$65,"&gt;="&amp;B6,'Annuity Schedule'!$B$6:$B$65,"&lt;="&amp;C6)+SUMIFS('Annuity Schedule'!$E$6:$E$65,'Annuity Schedule'!$B$6:$B$65,"&gt;="&amp;B6,'Annuity Schedule'!$B$6:$B$65,"&lt;="&amp;C6)</f>
        <v>0</v>
      </c>
      <c r="F6" s="26" t="n">
        <f aca="false">SUMIFS('Annuity Schedule'!$H$6:$H$65,'Annuity Schedule'!$B$6:$B$65,"&gt;="&amp;B6,'Annuity Schedule'!$B$6:$B$65,"&lt;="&amp;C6)</f>
        <v>0</v>
      </c>
      <c r="G6" s="33" t="n">
        <f aca="false">D6+E6+F6</f>
        <v>83.0100879700592</v>
      </c>
      <c r="H6" s="26" t="n">
        <f aca="false">IF(A6&lt;=Inputs!$C$27,-Inputs!$C$17/Inputs!$C$27,0)</f>
        <v>-225</v>
      </c>
      <c r="I6" s="26" t="n">
        <f aca="false">-F6*Inputs!$C$18</f>
        <v>-0</v>
      </c>
      <c r="J6" s="33" t="n">
        <f aca="false">G6+H6+I6</f>
        <v>-141.989912029941</v>
      </c>
    </row>
    <row r="7" customFormat="false" ht="15" hidden="false" customHeight="false" outlineLevel="0" collapsed="false">
      <c r="A7" s="27" t="n">
        <v>2</v>
      </c>
      <c r="B7" s="22" t="n">
        <f aca="false">EDATE(Inputs!$C$7,6*(A7-1))</f>
        <v>46023</v>
      </c>
      <c r="C7" s="22" t="n">
        <f aca="false">EDATE(Inputs!$C$7,6*A7)-1</f>
        <v>46203</v>
      </c>
      <c r="D7" s="26" t="n">
        <f aca="false">SUMIFS(Inputs!$E$31:$E$40,Inputs!$B$31:$B$40,"&gt;="&amp;B7,Inputs!$B$31:$B$40,"&lt;="&amp;C7)</f>
        <v>84.2169921913382</v>
      </c>
      <c r="E7" s="26" t="n">
        <f aca="false">SUMIFS('Annuity Schedule'!$D$6:$D$65,'Annuity Schedule'!$B$6:$B$65,"&gt;="&amp;B7,'Annuity Schedule'!$B$6:$B$65,"&lt;="&amp;C7)+SUMIFS('Annuity Schedule'!$E$6:$E$65,'Annuity Schedule'!$B$6:$B$65,"&gt;="&amp;B7,'Annuity Schedule'!$B$6:$B$65,"&lt;="&amp;C7)</f>
        <v>0</v>
      </c>
      <c r="F7" s="26" t="n">
        <f aca="false">SUMIFS('Annuity Schedule'!$H$6:$H$65,'Annuity Schedule'!$B$6:$B$65,"&gt;="&amp;B7,'Annuity Schedule'!$B$6:$B$65,"&lt;="&amp;C7)</f>
        <v>0</v>
      </c>
      <c r="G7" s="33" t="n">
        <f aca="false">D7+E7+F7</f>
        <v>84.2169921913382</v>
      </c>
      <c r="H7" s="26" t="n">
        <f aca="false">IF(A7&lt;=Inputs!$C$27,-Inputs!$C$17/Inputs!$C$27,0)</f>
        <v>-225</v>
      </c>
      <c r="I7" s="26" t="n">
        <f aca="false">-F7*Inputs!$C$18</f>
        <v>-0</v>
      </c>
      <c r="J7" s="33" t="n">
        <f aca="false">G7+H7+I7</f>
        <v>-140.783007808662</v>
      </c>
    </row>
    <row r="8" customFormat="false" ht="15" hidden="false" customHeight="false" outlineLevel="0" collapsed="false">
      <c r="A8" s="27" t="n">
        <v>3</v>
      </c>
      <c r="B8" s="22" t="n">
        <f aca="false">EDATE(Inputs!$C$7,6*(A8-1))</f>
        <v>46204</v>
      </c>
      <c r="C8" s="22" t="n">
        <f aca="false">EDATE(Inputs!$C$7,6*A8)-1</f>
        <v>46387</v>
      </c>
      <c r="D8" s="26" t="n">
        <f aca="false">SUMIFS(Inputs!$E$31:$E$40,Inputs!$B$31:$B$40,"&gt;="&amp;B8,Inputs!$B$31:$B$40,"&lt;="&amp;C8)</f>
        <v>85.5957468279473</v>
      </c>
      <c r="E8" s="26" t="n">
        <f aca="false">SUMIFS('Annuity Schedule'!$D$6:$D$65,'Annuity Schedule'!$B$6:$B$65,"&gt;="&amp;B8,'Annuity Schedule'!$B$6:$B$65,"&lt;="&amp;C8)+SUMIFS('Annuity Schedule'!$E$6:$E$65,'Annuity Schedule'!$B$6:$B$65,"&gt;="&amp;B8,'Annuity Schedule'!$B$6:$B$65,"&lt;="&amp;C8)</f>
        <v>0</v>
      </c>
      <c r="F8" s="26" t="n">
        <f aca="false">SUMIFS('Annuity Schedule'!$H$6:$H$65,'Annuity Schedule'!$B$6:$B$65,"&gt;="&amp;B8,'Annuity Schedule'!$B$6:$B$65,"&lt;="&amp;C8)</f>
        <v>0</v>
      </c>
      <c r="G8" s="33" t="n">
        <f aca="false">D8+E8+F8</f>
        <v>85.5957468279473</v>
      </c>
      <c r="H8" s="26" t="n">
        <f aca="false">IF(A8&lt;=Inputs!$C$27,-Inputs!$C$17/Inputs!$C$27,0)</f>
        <v>-225</v>
      </c>
      <c r="I8" s="26" t="n">
        <f aca="false">-F8*Inputs!$C$18</f>
        <v>-0</v>
      </c>
      <c r="J8" s="33" t="n">
        <f aca="false">G8+H8+I8</f>
        <v>-139.404253172053</v>
      </c>
    </row>
    <row r="9" customFormat="false" ht="15" hidden="false" customHeight="false" outlineLevel="0" collapsed="false">
      <c r="A9" s="27" t="n">
        <v>4</v>
      </c>
      <c r="B9" s="22" t="n">
        <f aca="false">EDATE(Inputs!$C$7,6*(A9-1))</f>
        <v>46388</v>
      </c>
      <c r="C9" s="22" t="n">
        <f aca="false">EDATE(Inputs!$C$7,6*A9)-1</f>
        <v>46568</v>
      </c>
      <c r="D9" s="26" t="n">
        <f aca="false">SUMIFS(Inputs!$E$31:$E$40,Inputs!$B$31:$B$40,"&gt;="&amp;B9,Inputs!$B$31:$B$40,"&lt;="&amp;C9)</f>
        <v>174.403555153382</v>
      </c>
      <c r="E9" s="26" t="n">
        <f aca="false">SUMIFS('Annuity Schedule'!$D$6:$D$65,'Annuity Schedule'!$B$6:$B$65,"&gt;="&amp;B9,'Annuity Schedule'!$B$6:$B$65,"&lt;="&amp;C9)+SUMIFS('Annuity Schedule'!$E$6:$E$65,'Annuity Schedule'!$B$6:$B$65,"&gt;="&amp;B9,'Annuity Schedule'!$B$6:$B$65,"&lt;="&amp;C9)</f>
        <v>0</v>
      </c>
      <c r="F9" s="26" t="n">
        <f aca="false">SUMIFS('Annuity Schedule'!$H$6:$H$65,'Annuity Schedule'!$B$6:$B$65,"&gt;="&amp;B9,'Annuity Schedule'!$B$6:$B$65,"&lt;="&amp;C9)</f>
        <v>0</v>
      </c>
      <c r="G9" s="33" t="n">
        <f aca="false">D9+E9+F9</f>
        <v>174.403555153382</v>
      </c>
      <c r="H9" s="26" t="n">
        <f aca="false">IF(A9&lt;=Inputs!$C$27,-Inputs!$C$17/Inputs!$C$27,0)</f>
        <v>-225</v>
      </c>
      <c r="I9" s="26" t="n">
        <f aca="false">-F9*Inputs!$C$18</f>
        <v>-0</v>
      </c>
      <c r="J9" s="33" t="n">
        <f aca="false">G9+H9+I9</f>
        <v>-50.5964448466183</v>
      </c>
    </row>
    <row r="10" customFormat="false" ht="15" hidden="false" customHeight="false" outlineLevel="0" collapsed="false">
      <c r="A10" s="27" t="n">
        <v>5</v>
      </c>
      <c r="B10" s="22" t="n">
        <f aca="false">EDATE(Inputs!$C$7,6*(A10-1))</f>
        <v>46569</v>
      </c>
      <c r="C10" s="22" t="n">
        <f aca="false">EDATE(Inputs!$C$7,6*A10)-1</f>
        <v>46752</v>
      </c>
      <c r="D10" s="26" t="n">
        <f aca="false">SUMIFS(Inputs!$E$31:$E$40,Inputs!$B$31:$B$40,"&gt;="&amp;B10,Inputs!$B$31:$B$40,"&lt;="&amp;C10)</f>
        <v>0</v>
      </c>
      <c r="E10" s="26" t="n">
        <f aca="false">SUMIFS('Annuity Schedule'!$D$6:$D$65,'Annuity Schedule'!$B$6:$B$65,"&gt;="&amp;B10,'Annuity Schedule'!$B$6:$B$65,"&lt;="&amp;C10)+SUMIFS('Annuity Schedule'!$E$6:$E$65,'Annuity Schedule'!$B$6:$B$65,"&gt;="&amp;B10,'Annuity Schedule'!$B$6:$B$65,"&lt;="&amp;C10)</f>
        <v>0</v>
      </c>
      <c r="F10" s="26" t="n">
        <f aca="false">SUMIFS('Annuity Schedule'!$H$6:$H$65,'Annuity Schedule'!$B$6:$B$65,"&gt;="&amp;B10,'Annuity Schedule'!$B$6:$B$65,"&lt;="&amp;C10)</f>
        <v>0</v>
      </c>
      <c r="G10" s="33" t="n">
        <f aca="false">D10+E10+F10</f>
        <v>0</v>
      </c>
      <c r="H10" s="26" t="n">
        <f aca="false">IF(A10&lt;=Inputs!$C$27,-Inputs!$C$17/Inputs!$C$27,0)</f>
        <v>0</v>
      </c>
      <c r="I10" s="26" t="n">
        <f aca="false">-F10*Inputs!$C$18</f>
        <v>-0</v>
      </c>
      <c r="J10" s="33" t="n">
        <f aca="false">G10+H10+I10</f>
        <v>0</v>
      </c>
    </row>
    <row r="11" customFormat="false" ht="15" hidden="false" customHeight="false" outlineLevel="0" collapsed="false">
      <c r="A11" s="27" t="n">
        <v>6</v>
      </c>
      <c r="B11" s="22" t="n">
        <f aca="false">EDATE(Inputs!$C$7,6*(A11-1))</f>
        <v>46753</v>
      </c>
      <c r="C11" s="22" t="n">
        <f aca="false">EDATE(Inputs!$C$7,6*A11)-1</f>
        <v>46934</v>
      </c>
      <c r="D11" s="26" t="n">
        <f aca="false">SUMIFS(Inputs!$E$31:$E$40,Inputs!$B$31:$B$40,"&gt;="&amp;B11,Inputs!$B$31:$B$40,"&lt;="&amp;C11)</f>
        <v>0</v>
      </c>
      <c r="E11" s="26" t="n">
        <f aca="false">SUMIFS('Annuity Schedule'!$D$6:$D$65,'Annuity Schedule'!$B$6:$B$65,"&gt;="&amp;B11,'Annuity Schedule'!$B$6:$B$65,"&lt;="&amp;C11)+SUMIFS('Annuity Schedule'!$E$6:$E$65,'Annuity Schedule'!$B$6:$B$65,"&gt;="&amp;B11,'Annuity Schedule'!$B$6:$B$65,"&lt;="&amp;C11)</f>
        <v>55.0759626508812</v>
      </c>
      <c r="F11" s="26" t="n">
        <f aca="false">SUMIFS('Annuity Schedule'!$H$6:$H$65,'Annuity Schedule'!$B$6:$B$65,"&gt;="&amp;B11,'Annuity Schedule'!$B$6:$B$65,"&lt;="&amp;C11)</f>
        <v>2.8081059496875</v>
      </c>
      <c r="G11" s="33" t="n">
        <f aca="false">D11+E11+F11</f>
        <v>57.8840686005687</v>
      </c>
      <c r="H11" s="26" t="n">
        <f aca="false">IF(A11&lt;=Inputs!$C$27,-Inputs!$C$17/Inputs!$C$27,0)</f>
        <v>0</v>
      </c>
      <c r="I11" s="26" t="n">
        <f aca="false">-F11*Inputs!$C$18</f>
        <v>-2.24648475975</v>
      </c>
      <c r="J11" s="33" t="n">
        <f aca="false">G11+H11+I11</f>
        <v>55.6375838408187</v>
      </c>
    </row>
    <row r="12" customFormat="false" ht="15" hidden="false" customHeight="false" outlineLevel="0" collapsed="false">
      <c r="A12" s="27" t="n">
        <v>7</v>
      </c>
      <c r="B12" s="22" t="n">
        <f aca="false">EDATE(Inputs!$C$7,6*(A12-1))</f>
        <v>46935</v>
      </c>
      <c r="C12" s="22" t="n">
        <f aca="false">EDATE(Inputs!$C$7,6*A12)-1</f>
        <v>47118</v>
      </c>
      <c r="D12" s="26" t="n">
        <f aca="false">SUMIFS(Inputs!$E$31:$E$40,Inputs!$B$31:$B$40,"&gt;="&amp;B12,Inputs!$B$31:$B$40,"&lt;="&amp;C12)</f>
        <v>0</v>
      </c>
      <c r="E12" s="26" t="n">
        <f aca="false">SUMIFS('Annuity Schedule'!$D$6:$D$65,'Annuity Schedule'!$B$6:$B$65,"&gt;="&amp;B12,'Annuity Schedule'!$B$6:$B$65,"&lt;="&amp;C12)+SUMIFS('Annuity Schedule'!$E$6:$E$65,'Annuity Schedule'!$B$6:$B$65,"&gt;="&amp;B12,'Annuity Schedule'!$B$6:$B$65,"&lt;="&amp;C12)</f>
        <v>53.9744433978636</v>
      </c>
      <c r="F12" s="26" t="n">
        <f aca="false">SUMIFS('Annuity Schedule'!$H$6:$H$65,'Annuity Schedule'!$B$6:$B$65,"&gt;="&amp;B12,'Annuity Schedule'!$B$6:$B$65,"&lt;="&amp;C12)</f>
        <v>2.86287699844519</v>
      </c>
      <c r="G12" s="33" t="n">
        <f aca="false">D12+E12+F12</f>
        <v>56.8373203963088</v>
      </c>
      <c r="H12" s="26" t="n">
        <f aca="false">IF(A12&lt;=Inputs!$C$27,-Inputs!$C$17/Inputs!$C$27,0)</f>
        <v>0</v>
      </c>
      <c r="I12" s="26" t="n">
        <f aca="false">-F12*Inputs!$C$18</f>
        <v>-2.29030159875615</v>
      </c>
      <c r="J12" s="33" t="n">
        <f aca="false">G12+H12+I12</f>
        <v>54.5470187975526</v>
      </c>
    </row>
    <row r="13" customFormat="false" ht="15" hidden="false" customHeight="false" outlineLevel="0" collapsed="false">
      <c r="A13" s="27" t="n">
        <v>8</v>
      </c>
      <c r="B13" s="22" t="n">
        <f aca="false">EDATE(Inputs!$C$7,6*(A13-1))</f>
        <v>47119</v>
      </c>
      <c r="C13" s="22" t="n">
        <f aca="false">EDATE(Inputs!$C$7,6*A13)-1</f>
        <v>47299</v>
      </c>
      <c r="D13" s="26" t="n">
        <f aca="false">SUMIFS(Inputs!$E$31:$E$40,Inputs!$B$31:$B$40,"&gt;="&amp;B13,Inputs!$B$31:$B$40,"&lt;="&amp;C13)</f>
        <v>0</v>
      </c>
      <c r="E13" s="26" t="n">
        <f aca="false">SUMIFS('Annuity Schedule'!$D$6:$D$65,'Annuity Schedule'!$B$6:$B$65,"&gt;="&amp;B13,'Annuity Schedule'!$B$6:$B$65,"&lt;="&amp;C13)+SUMIFS('Annuity Schedule'!$E$6:$E$65,'Annuity Schedule'!$B$6:$B$65,"&gt;="&amp;B13,'Annuity Schedule'!$B$6:$B$65,"&lt;="&amp;C13)</f>
        <v>52.8729241448459</v>
      </c>
      <c r="F13" s="26" t="n">
        <f aca="false">SUMIFS('Annuity Schedule'!$H$6:$H$65,'Annuity Schedule'!$B$6:$B$65,"&gt;="&amp;B13,'Annuity Schedule'!$B$6:$B$65,"&lt;="&amp;C13)</f>
        <v>2.91933596640595</v>
      </c>
      <c r="G13" s="33" t="n">
        <f aca="false">D13+E13+F13</f>
        <v>55.7922601112519</v>
      </c>
      <c r="H13" s="26" t="n">
        <f aca="false">IF(A13&lt;=Inputs!$C$27,-Inputs!$C$17/Inputs!$C$27,0)</f>
        <v>0</v>
      </c>
      <c r="I13" s="26" t="n">
        <f aca="false">-F13*Inputs!$C$18</f>
        <v>-2.33546877312476</v>
      </c>
      <c r="J13" s="33" t="n">
        <f aca="false">G13+H13+I13</f>
        <v>53.4567913381271</v>
      </c>
    </row>
    <row r="14" customFormat="false" ht="15" hidden="false" customHeight="false" outlineLevel="0" collapsed="false">
      <c r="A14" s="27" t="n">
        <v>9</v>
      </c>
      <c r="B14" s="22" t="n">
        <f aca="false">EDATE(Inputs!$C$7,6*(A14-1))</f>
        <v>47300</v>
      </c>
      <c r="C14" s="22" t="n">
        <f aca="false">EDATE(Inputs!$C$7,6*A14)-1</f>
        <v>47483</v>
      </c>
      <c r="D14" s="26" t="n">
        <f aca="false">SUMIFS(Inputs!$E$31:$E$40,Inputs!$B$31:$B$40,"&gt;="&amp;B14,Inputs!$B$31:$B$40,"&lt;="&amp;C14)</f>
        <v>0</v>
      </c>
      <c r="E14" s="26" t="n">
        <f aca="false">SUMIFS('Annuity Schedule'!$D$6:$D$65,'Annuity Schedule'!$B$6:$B$65,"&gt;="&amp;B14,'Annuity Schedule'!$B$6:$B$65,"&lt;="&amp;C14)+SUMIFS('Annuity Schedule'!$E$6:$E$65,'Annuity Schedule'!$B$6:$B$65,"&gt;="&amp;B14,'Annuity Schedule'!$B$6:$B$65,"&lt;="&amp;C14)</f>
        <v>51.7714048918283</v>
      </c>
      <c r="F14" s="26" t="n">
        <f aca="false">SUMIFS('Annuity Schedule'!$H$6:$H$65,'Annuity Schedule'!$B$6:$B$65,"&gt;="&amp;B14,'Annuity Schedule'!$B$6:$B$65,"&lt;="&amp;C14)</f>
        <v>2.97596063988377</v>
      </c>
      <c r="G14" s="33" t="n">
        <f aca="false">D14+E14+F14</f>
        <v>54.7473655317121</v>
      </c>
      <c r="H14" s="26" t="n">
        <f aca="false">IF(A14&lt;=Inputs!$C$27,-Inputs!$C$17/Inputs!$C$27,0)</f>
        <v>0</v>
      </c>
      <c r="I14" s="26" t="n">
        <f aca="false">-F14*Inputs!$C$18</f>
        <v>-2.38076851190702</v>
      </c>
      <c r="J14" s="33" t="n">
        <f aca="false">G14+H14+I14</f>
        <v>52.3665970198051</v>
      </c>
    </row>
    <row r="15" customFormat="false" ht="15" hidden="false" customHeight="false" outlineLevel="0" collapsed="false">
      <c r="A15" s="27" t="n">
        <v>10</v>
      </c>
      <c r="B15" s="22" t="n">
        <f aca="false">EDATE(Inputs!$C$7,6*(A15-1))</f>
        <v>47484</v>
      </c>
      <c r="C15" s="22" t="n">
        <f aca="false">EDATE(Inputs!$C$7,6*A15)-1</f>
        <v>47664</v>
      </c>
      <c r="D15" s="26" t="n">
        <f aca="false">SUMIFS(Inputs!$E$31:$E$40,Inputs!$B$31:$B$40,"&gt;="&amp;B15,Inputs!$B$31:$B$40,"&lt;="&amp;C15)</f>
        <v>0</v>
      </c>
      <c r="E15" s="26" t="n">
        <f aca="false">SUMIFS('Annuity Schedule'!$D$6:$D$65,'Annuity Schedule'!$B$6:$B$65,"&gt;="&amp;B15,'Annuity Schedule'!$B$6:$B$65,"&lt;="&amp;C15)+SUMIFS('Annuity Schedule'!$E$6:$E$65,'Annuity Schedule'!$B$6:$B$65,"&gt;="&amp;B15,'Annuity Schedule'!$B$6:$B$65,"&lt;="&amp;C15)</f>
        <v>50.6698856388107</v>
      </c>
      <c r="F15" s="26" t="n">
        <f aca="false">SUMIFS('Annuity Schedule'!$H$6:$H$65,'Annuity Schedule'!$B$6:$B$65,"&gt;="&amp;B15,'Annuity Schedule'!$B$6:$B$65,"&lt;="&amp;C15)</f>
        <v>3.03464973707899</v>
      </c>
      <c r="G15" s="33" t="n">
        <f aca="false">D15+E15+F15</f>
        <v>53.7045353758897</v>
      </c>
      <c r="H15" s="26" t="n">
        <f aca="false">IF(A15&lt;=Inputs!$C$27,-Inputs!$C$17/Inputs!$C$27,0)</f>
        <v>0</v>
      </c>
      <c r="I15" s="26" t="n">
        <f aca="false">-F15*Inputs!$C$18</f>
        <v>-2.42771978966319</v>
      </c>
      <c r="J15" s="33" t="n">
        <f aca="false">G15+H15+I15</f>
        <v>51.2768155862265</v>
      </c>
    </row>
    <row r="16" customFormat="false" ht="15" hidden="false" customHeight="false" outlineLevel="0" collapsed="false">
      <c r="A16" s="27" t="n">
        <v>11</v>
      </c>
      <c r="B16" s="22" t="n">
        <f aca="false">EDATE(Inputs!$C$7,6*(A16-1))</f>
        <v>47665</v>
      </c>
      <c r="C16" s="22" t="n">
        <f aca="false">EDATE(Inputs!$C$7,6*A16)-1</f>
        <v>47848</v>
      </c>
      <c r="D16" s="26" t="n">
        <f aca="false">SUMIFS(Inputs!$E$31:$E$40,Inputs!$B$31:$B$40,"&gt;="&amp;B16,Inputs!$B$31:$B$40,"&lt;="&amp;C16)</f>
        <v>0</v>
      </c>
      <c r="E16" s="26" t="n">
        <f aca="false">SUMIFS('Annuity Schedule'!$D$6:$D$65,'Annuity Schedule'!$B$6:$B$65,"&gt;="&amp;B16,'Annuity Schedule'!$B$6:$B$65,"&lt;="&amp;C16)+SUMIFS('Annuity Schedule'!$E$6:$E$65,'Annuity Schedule'!$B$6:$B$65,"&gt;="&amp;B16,'Annuity Schedule'!$B$6:$B$65,"&lt;="&amp;C16)</f>
        <v>49.5683663857931</v>
      </c>
      <c r="F16" s="26" t="n">
        <f aca="false">SUMIFS('Annuity Schedule'!$H$6:$H$65,'Annuity Schedule'!$B$6:$B$65,"&gt;="&amp;B16,'Annuity Schedule'!$B$6:$B$65,"&lt;="&amp;C16)</f>
        <v>3.09351108515918</v>
      </c>
      <c r="G16" s="33" t="n">
        <f aca="false">D16+E16+F16</f>
        <v>52.6618774709522</v>
      </c>
      <c r="H16" s="26" t="n">
        <f aca="false">IF(A16&lt;=Inputs!$C$27,-Inputs!$C$17/Inputs!$C$27,0)</f>
        <v>0</v>
      </c>
      <c r="I16" s="26" t="n">
        <f aca="false">-F16*Inputs!$C$18</f>
        <v>-2.47480886812734</v>
      </c>
      <c r="J16" s="33" t="n">
        <f aca="false">G16+H16+I16</f>
        <v>50.1870686028249</v>
      </c>
    </row>
    <row r="17" customFormat="false" ht="15" hidden="false" customHeight="false" outlineLevel="0" collapsed="false">
      <c r="A17" s="27" t="n">
        <v>12</v>
      </c>
      <c r="B17" s="22" t="n">
        <f aca="false">EDATE(Inputs!$C$7,6*(A17-1))</f>
        <v>47849</v>
      </c>
      <c r="C17" s="22" t="n">
        <f aca="false">EDATE(Inputs!$C$7,6*A17)-1</f>
        <v>48029</v>
      </c>
      <c r="D17" s="26" t="n">
        <f aca="false">SUMIFS(Inputs!$E$31:$E$40,Inputs!$B$31:$B$40,"&gt;="&amp;B17,Inputs!$B$31:$B$40,"&lt;="&amp;C17)</f>
        <v>0</v>
      </c>
      <c r="E17" s="26" t="n">
        <f aca="false">SUMIFS('Annuity Schedule'!$D$6:$D$65,'Annuity Schedule'!$B$6:$B$65,"&gt;="&amp;B17,'Annuity Schedule'!$B$6:$B$65,"&lt;="&amp;C17)+SUMIFS('Annuity Schedule'!$E$6:$E$65,'Annuity Schedule'!$B$6:$B$65,"&gt;="&amp;B17,'Annuity Schedule'!$B$6:$B$65,"&lt;="&amp;C17)</f>
        <v>48.4668471327754</v>
      </c>
      <c r="F17" s="26" t="n">
        <f aca="false">SUMIFS('Annuity Schedule'!$H$6:$H$65,'Annuity Schedule'!$B$6:$B$65,"&gt;="&amp;B17,'Annuity Schedule'!$B$6:$B$65,"&lt;="&amp;C17)</f>
        <v>3.15451840169361</v>
      </c>
      <c r="G17" s="33" t="n">
        <f aca="false">D17+E17+F17</f>
        <v>51.621365534469</v>
      </c>
      <c r="H17" s="26" t="n">
        <f aca="false">IF(A17&lt;=Inputs!$C$27,-Inputs!$C$17/Inputs!$C$27,0)</f>
        <v>0</v>
      </c>
      <c r="I17" s="26" t="n">
        <f aca="false">-F17*Inputs!$C$18</f>
        <v>-2.52361472135489</v>
      </c>
      <c r="J17" s="33" t="n">
        <f aca="false">G17+H17+I17</f>
        <v>49.0977508131142</v>
      </c>
    </row>
    <row r="18" customFormat="false" ht="15" hidden="false" customHeight="false" outlineLevel="0" collapsed="false">
      <c r="A18" s="27" t="n">
        <v>13</v>
      </c>
      <c r="B18" s="22" t="n">
        <f aca="false">EDATE(Inputs!$C$7,6*(A18-1))</f>
        <v>48030</v>
      </c>
      <c r="C18" s="22" t="n">
        <f aca="false">EDATE(Inputs!$C$7,6*A18)-1</f>
        <v>48213</v>
      </c>
      <c r="D18" s="26" t="n">
        <f aca="false">SUMIFS(Inputs!$E$31:$E$40,Inputs!$B$31:$B$40,"&gt;="&amp;B18,Inputs!$B$31:$B$40,"&lt;="&amp;C18)</f>
        <v>0</v>
      </c>
      <c r="E18" s="26" t="n">
        <f aca="false">SUMIFS('Annuity Schedule'!$D$6:$D$65,'Annuity Schedule'!$B$6:$B$65,"&gt;="&amp;B18,'Annuity Schedule'!$B$6:$B$65,"&lt;="&amp;C18)+SUMIFS('Annuity Schedule'!$E$6:$E$65,'Annuity Schedule'!$B$6:$B$65,"&gt;="&amp;B18,'Annuity Schedule'!$B$6:$B$65,"&lt;="&amp;C18)</f>
        <v>47.3653278797578</v>
      </c>
      <c r="F18" s="26" t="n">
        <f aca="false">SUMIFS('Annuity Schedule'!$H$6:$H$65,'Annuity Schedule'!$B$6:$B$65,"&gt;="&amp;B18,'Annuity Schedule'!$B$6:$B$65,"&lt;="&amp;C18)</f>
        <v>3.21570477302297</v>
      </c>
      <c r="G18" s="33" t="n">
        <f aca="false">D18+E18+F18</f>
        <v>50.5810326527808</v>
      </c>
      <c r="H18" s="26" t="n">
        <f aca="false">IF(A18&lt;=Inputs!$C$27,-Inputs!$C$17/Inputs!$C$27,0)</f>
        <v>0</v>
      </c>
      <c r="I18" s="26" t="n">
        <f aca="false">-F18*Inputs!$C$18</f>
        <v>-2.57256381841837</v>
      </c>
      <c r="J18" s="33" t="n">
        <f aca="false">G18+H18+I18</f>
        <v>48.0084688343624</v>
      </c>
    </row>
    <row r="19" customFormat="false" ht="15" hidden="false" customHeight="false" outlineLevel="0" collapsed="false">
      <c r="A19" s="27" t="n">
        <v>14</v>
      </c>
      <c r="B19" s="22" t="n">
        <f aca="false">EDATE(Inputs!$C$7,6*(A19-1))</f>
        <v>48214</v>
      </c>
      <c r="C19" s="22" t="n">
        <f aca="false">EDATE(Inputs!$C$7,6*A19)-1</f>
        <v>48395</v>
      </c>
      <c r="D19" s="26" t="n">
        <f aca="false">SUMIFS(Inputs!$E$31:$E$40,Inputs!$B$31:$B$40,"&gt;="&amp;B19,Inputs!$B$31:$B$40,"&lt;="&amp;C19)</f>
        <v>0</v>
      </c>
      <c r="E19" s="26" t="n">
        <f aca="false">SUMIFS('Annuity Schedule'!$D$6:$D$65,'Annuity Schedule'!$B$6:$B$65,"&gt;="&amp;B19,'Annuity Schedule'!$B$6:$B$65,"&lt;="&amp;C19)+SUMIFS('Annuity Schedule'!$E$6:$E$65,'Annuity Schedule'!$B$6:$B$65,"&gt;="&amp;B19,'Annuity Schedule'!$B$6:$B$65,"&lt;="&amp;C19)</f>
        <v>46.2638086267402</v>
      </c>
      <c r="F19" s="26" t="n">
        <f aca="false">SUMIFS('Annuity Schedule'!$H$6:$H$65,'Annuity Schedule'!$B$6:$B$65,"&gt;="&amp;B19,'Annuity Schedule'!$B$6:$B$65,"&lt;="&amp;C19)</f>
        <v>3.27912187856051</v>
      </c>
      <c r="G19" s="33" t="n">
        <f aca="false">D19+E19+F19</f>
        <v>49.5429305053007</v>
      </c>
      <c r="H19" s="26" t="n">
        <f aca="false">IF(A19&lt;=Inputs!$C$27,-Inputs!$C$17/Inputs!$C$27,0)</f>
        <v>0</v>
      </c>
      <c r="I19" s="26" t="n">
        <f aca="false">-F19*Inputs!$C$18</f>
        <v>-2.62329750284841</v>
      </c>
      <c r="J19" s="33" t="n">
        <f aca="false">G19+H19+I19</f>
        <v>46.9196330024523</v>
      </c>
    </row>
    <row r="20" customFormat="false" ht="15" hidden="false" customHeight="false" outlineLevel="0" collapsed="false">
      <c r="A20" s="27" t="n">
        <v>15</v>
      </c>
      <c r="B20" s="22" t="n">
        <f aca="false">EDATE(Inputs!$C$7,6*(A20-1))</f>
        <v>48396</v>
      </c>
      <c r="C20" s="22" t="n">
        <f aca="false">EDATE(Inputs!$C$7,6*A20)-1</f>
        <v>48579</v>
      </c>
      <c r="D20" s="26" t="n">
        <f aca="false">SUMIFS(Inputs!$E$31:$E$40,Inputs!$B$31:$B$40,"&gt;="&amp;B20,Inputs!$B$31:$B$40,"&lt;="&amp;C20)</f>
        <v>0</v>
      </c>
      <c r="E20" s="26" t="n">
        <f aca="false">SUMIFS('Annuity Schedule'!$D$6:$D$65,'Annuity Schedule'!$B$6:$B$65,"&gt;="&amp;B20,'Annuity Schedule'!$B$6:$B$65,"&lt;="&amp;C20)+SUMIFS('Annuity Schedule'!$E$6:$E$65,'Annuity Schedule'!$B$6:$B$65,"&gt;="&amp;B20,'Annuity Schedule'!$B$6:$B$65,"&lt;="&amp;C20)</f>
        <v>45.1622893737226</v>
      </c>
      <c r="F20" s="26" t="n">
        <f aca="false">SUMIFS('Annuity Schedule'!$H$6:$H$65,'Annuity Schedule'!$B$6:$B$65,"&gt;="&amp;B20,'Annuity Schedule'!$B$6:$B$65,"&lt;="&amp;C20)</f>
        <v>3.34307991558294</v>
      </c>
      <c r="G20" s="33" t="n">
        <f aca="false">D20+E20+F20</f>
        <v>48.5053692893055</v>
      </c>
      <c r="H20" s="26" t="n">
        <f aca="false">IF(A20&lt;=Inputs!$C$27,-Inputs!$C$17/Inputs!$C$27,0)</f>
        <v>0</v>
      </c>
      <c r="I20" s="26" t="n">
        <f aca="false">-F20*Inputs!$C$18</f>
        <v>-2.67446393246635</v>
      </c>
      <c r="J20" s="33" t="n">
        <f aca="false">G20+H20+I20</f>
        <v>45.8309053568391</v>
      </c>
    </row>
    <row r="21" customFormat="false" ht="15" hidden="false" customHeight="false" outlineLevel="0" collapsed="false">
      <c r="A21" s="27" t="n">
        <v>16</v>
      </c>
      <c r="B21" s="22" t="n">
        <f aca="false">EDATE(Inputs!$C$7,6*(A21-1))</f>
        <v>48580</v>
      </c>
      <c r="C21" s="22" t="n">
        <f aca="false">EDATE(Inputs!$C$7,6*A21)-1</f>
        <v>48760</v>
      </c>
      <c r="D21" s="26" t="n">
        <f aca="false">SUMIFS(Inputs!$E$31:$E$40,Inputs!$B$31:$B$40,"&gt;="&amp;B21,Inputs!$B$31:$B$40,"&lt;="&amp;C21)</f>
        <v>0</v>
      </c>
      <c r="E21" s="26" t="n">
        <f aca="false">SUMIFS('Annuity Schedule'!$D$6:$D$65,'Annuity Schedule'!$B$6:$B$65,"&gt;="&amp;B21,'Annuity Schedule'!$B$6:$B$65,"&lt;="&amp;C21)+SUMIFS('Annuity Schedule'!$E$6:$E$65,'Annuity Schedule'!$B$6:$B$65,"&gt;="&amp;B21,'Annuity Schedule'!$B$6:$B$65,"&lt;="&amp;C21)</f>
        <v>44.0607701207049</v>
      </c>
      <c r="F21" s="26" t="n">
        <f aca="false">SUMIFS('Annuity Schedule'!$H$6:$H$65,'Annuity Schedule'!$B$6:$B$65,"&gt;="&amp;B21,'Annuity Schedule'!$B$6:$B$65,"&lt;="&amp;C21)</f>
        <v>3.40900899390055</v>
      </c>
      <c r="G21" s="33" t="n">
        <f aca="false">D21+E21+F21</f>
        <v>47.4697791146055</v>
      </c>
      <c r="H21" s="26" t="n">
        <f aca="false">IF(A21&lt;=Inputs!$C$27,-Inputs!$C$17/Inputs!$C$27,0)</f>
        <v>0</v>
      </c>
      <c r="I21" s="26" t="n">
        <f aca="false">-F21*Inputs!$C$18</f>
        <v>-2.72720719512044</v>
      </c>
      <c r="J21" s="33" t="n">
        <f aca="false">G21+H21+I21</f>
        <v>44.742571919485</v>
      </c>
    </row>
    <row r="22" customFormat="false" ht="15" hidden="false" customHeight="false" outlineLevel="0" collapsed="false">
      <c r="A22" s="27" t="n">
        <v>17</v>
      </c>
      <c r="B22" s="22" t="n">
        <f aca="false">EDATE(Inputs!$C$7,6*(A22-1))</f>
        <v>48761</v>
      </c>
      <c r="C22" s="22" t="n">
        <f aca="false">EDATE(Inputs!$C$7,6*A22)-1</f>
        <v>48944</v>
      </c>
      <c r="D22" s="26" t="n">
        <f aca="false">SUMIFS(Inputs!$E$31:$E$40,Inputs!$B$31:$B$40,"&gt;="&amp;B22,Inputs!$B$31:$B$40,"&lt;="&amp;C22)</f>
        <v>0</v>
      </c>
      <c r="E22" s="26" t="n">
        <f aca="false">SUMIFS('Annuity Schedule'!$D$6:$D$65,'Annuity Schedule'!$B$6:$B$65,"&gt;="&amp;B22,'Annuity Schedule'!$B$6:$B$65,"&lt;="&amp;C22)+SUMIFS('Annuity Schedule'!$E$6:$E$65,'Annuity Schedule'!$B$6:$B$65,"&gt;="&amp;B22,'Annuity Schedule'!$B$6:$B$65,"&lt;="&amp;C22)</f>
        <v>42.9592508676873</v>
      </c>
      <c r="F22" s="26" t="n">
        <f aca="false">SUMIFS('Annuity Schedule'!$H$6:$H$65,'Annuity Schedule'!$B$6:$B$65,"&gt;="&amp;B22,'Annuity Schedule'!$B$6:$B$65,"&lt;="&amp;C22)</f>
        <v>3.47513157224847</v>
      </c>
      <c r="G22" s="33" t="n">
        <f aca="false">D22+E22+F22</f>
        <v>46.4343824399358</v>
      </c>
      <c r="H22" s="26" t="n">
        <f aca="false">IF(A22&lt;=Inputs!$C$27,-Inputs!$C$17/Inputs!$C$27,0)</f>
        <v>0</v>
      </c>
      <c r="I22" s="26" t="n">
        <f aca="false">-F22*Inputs!$C$18</f>
        <v>-2.78010525779877</v>
      </c>
      <c r="J22" s="33" t="n">
        <f aca="false">G22+H22+I22</f>
        <v>43.654277182137</v>
      </c>
    </row>
    <row r="23" customFormat="false" ht="15" hidden="false" customHeight="false" outlineLevel="0" collapsed="false">
      <c r="A23" s="27" t="n">
        <v>18</v>
      </c>
      <c r="B23" s="22" t="n">
        <f aca="false">EDATE(Inputs!$C$7,6*(A23-1))</f>
        <v>48945</v>
      </c>
      <c r="C23" s="22" t="n">
        <f aca="false">EDATE(Inputs!$C$7,6*A23)-1</f>
        <v>49125</v>
      </c>
      <c r="D23" s="26" t="n">
        <f aca="false">SUMIFS(Inputs!$E$31:$E$40,Inputs!$B$31:$B$40,"&gt;="&amp;B23,Inputs!$B$31:$B$40,"&lt;="&amp;C23)</f>
        <v>0</v>
      </c>
      <c r="E23" s="26" t="n">
        <f aca="false">SUMIFS('Annuity Schedule'!$D$6:$D$65,'Annuity Schedule'!$B$6:$B$65,"&gt;="&amp;B23,'Annuity Schedule'!$B$6:$B$65,"&lt;="&amp;C23)+SUMIFS('Annuity Schedule'!$E$6:$E$65,'Annuity Schedule'!$B$6:$B$65,"&gt;="&amp;B23,'Annuity Schedule'!$B$6:$B$65,"&lt;="&amp;C23)</f>
        <v>41.8577316146697</v>
      </c>
      <c r="F23" s="26" t="n">
        <f aca="false">SUMIFS('Annuity Schedule'!$H$6:$H$65,'Annuity Schedule'!$B$6:$B$65,"&gt;="&amp;B23,'Annuity Schedule'!$B$6:$B$65,"&lt;="&amp;C23)</f>
        <v>3.54366484915962</v>
      </c>
      <c r="G23" s="33" t="n">
        <f aca="false">D23+E23+F23</f>
        <v>45.4013964638293</v>
      </c>
      <c r="H23" s="26" t="n">
        <f aca="false">IF(A23&lt;=Inputs!$C$27,-Inputs!$C$17/Inputs!$C$27,0)</f>
        <v>0</v>
      </c>
      <c r="I23" s="26" t="n">
        <f aca="false">-F23*Inputs!$C$18</f>
        <v>-2.8349318793277</v>
      </c>
      <c r="J23" s="33" t="n">
        <f aca="false">G23+H23+I23</f>
        <v>42.5664645845016</v>
      </c>
    </row>
    <row r="24" customFormat="false" ht="15" hidden="false" customHeight="false" outlineLevel="0" collapsed="false">
      <c r="A24" s="27" t="n">
        <v>19</v>
      </c>
      <c r="B24" s="22" t="n">
        <f aca="false">EDATE(Inputs!$C$7,6*(A24-1))</f>
        <v>49126</v>
      </c>
      <c r="C24" s="22" t="n">
        <f aca="false">EDATE(Inputs!$C$7,6*A24)-1</f>
        <v>49309</v>
      </c>
      <c r="D24" s="26" t="n">
        <f aca="false">SUMIFS(Inputs!$E$31:$E$40,Inputs!$B$31:$B$40,"&gt;="&amp;B24,Inputs!$B$31:$B$40,"&lt;="&amp;C24)</f>
        <v>0</v>
      </c>
      <c r="E24" s="26" t="n">
        <f aca="false">SUMIFS('Annuity Schedule'!$D$6:$D$65,'Annuity Schedule'!$B$6:$B$65,"&gt;="&amp;B24,'Annuity Schedule'!$B$6:$B$65,"&lt;="&amp;C24)+SUMIFS('Annuity Schedule'!$E$6:$E$65,'Annuity Schedule'!$B$6:$B$65,"&gt;="&amp;B24,'Annuity Schedule'!$B$6:$B$65,"&lt;="&amp;C24)</f>
        <v>40.7562123616521</v>
      </c>
      <c r="F24" s="26" t="n">
        <f aca="false">SUMIFS('Annuity Schedule'!$H$6:$H$65,'Annuity Schedule'!$B$6:$B$65,"&gt;="&amp;B24,'Annuity Schedule'!$B$6:$B$65,"&lt;="&amp;C24)</f>
        <v>3.61239926935228</v>
      </c>
      <c r="G24" s="33" t="n">
        <f aca="false">D24+E24+F24</f>
        <v>44.3686116310043</v>
      </c>
      <c r="H24" s="26" t="n">
        <f aca="false">IF(A24&lt;=Inputs!$C$27,-Inputs!$C$17/Inputs!$C$27,0)</f>
        <v>0</v>
      </c>
      <c r="I24" s="26" t="n">
        <f aca="false">-F24*Inputs!$C$18</f>
        <v>-2.88991941548182</v>
      </c>
      <c r="J24" s="33" t="n">
        <f aca="false">G24+H24+I24</f>
        <v>41.4786922155225</v>
      </c>
    </row>
    <row r="25" customFormat="false" ht="15" hidden="false" customHeight="false" outlineLevel="0" collapsed="false">
      <c r="A25" s="27" t="n">
        <v>20</v>
      </c>
      <c r="B25" s="22" t="n">
        <f aca="false">EDATE(Inputs!$C$7,6*(A25-1))</f>
        <v>49310</v>
      </c>
      <c r="C25" s="22" t="n">
        <f aca="false">EDATE(Inputs!$C$7,6*A25)-1</f>
        <v>49490</v>
      </c>
      <c r="D25" s="26" t="n">
        <f aca="false">SUMIFS(Inputs!$E$31:$E$40,Inputs!$B$31:$B$40,"&gt;="&amp;B25,Inputs!$B$31:$B$40,"&lt;="&amp;C25)</f>
        <v>0</v>
      </c>
      <c r="E25" s="26" t="n">
        <f aca="false">SUMIFS('Annuity Schedule'!$D$6:$D$65,'Annuity Schedule'!$B$6:$B$65,"&gt;="&amp;B25,'Annuity Schedule'!$B$6:$B$65,"&lt;="&amp;C25)+SUMIFS('Annuity Schedule'!$E$6:$E$65,'Annuity Schedule'!$B$6:$B$65,"&gt;="&amp;B25,'Annuity Schedule'!$B$6:$B$65,"&lt;="&amp;C25)</f>
        <v>39.6546931086344</v>
      </c>
      <c r="F25" s="26" t="n">
        <f aca="false">SUMIFS('Annuity Schedule'!$H$6:$H$65,'Annuity Schedule'!$B$6:$B$65,"&gt;="&amp;B25,'Annuity Schedule'!$B$6:$B$65,"&lt;="&amp;C25)</f>
        <v>3.68363961070143</v>
      </c>
      <c r="G25" s="33" t="n">
        <f aca="false">D25+E25+F25</f>
        <v>43.3383327193359</v>
      </c>
      <c r="H25" s="26" t="n">
        <f aca="false">IF(A25&lt;=Inputs!$C$27,-Inputs!$C$17/Inputs!$C$27,0)</f>
        <v>0</v>
      </c>
      <c r="I25" s="26" t="n">
        <f aca="false">-F25*Inputs!$C$18</f>
        <v>-2.94691168856114</v>
      </c>
      <c r="J25" s="33" t="n">
        <f aca="false">G25+H25+I25</f>
        <v>40.3914210307747</v>
      </c>
    </row>
    <row r="26" customFormat="false" ht="15" hidden="false" customHeight="false" outlineLevel="0" collapsed="false">
      <c r="A26" s="27" t="n">
        <v>21</v>
      </c>
      <c r="B26" s="22" t="n">
        <f aca="false">EDATE(Inputs!$C$7,6*(A26-1))</f>
        <v>49491</v>
      </c>
      <c r="C26" s="22" t="n">
        <f aca="false">EDATE(Inputs!$C$7,6*A26)-1</f>
        <v>49674</v>
      </c>
      <c r="D26" s="26" t="n">
        <f aca="false">SUMIFS(Inputs!$E$31:$E$40,Inputs!$B$31:$B$40,"&gt;="&amp;B26,Inputs!$B$31:$B$40,"&lt;="&amp;C26)</f>
        <v>0</v>
      </c>
      <c r="E26" s="26" t="n">
        <f aca="false">SUMIFS('Annuity Schedule'!$D$6:$D$65,'Annuity Schedule'!$B$6:$B$65,"&gt;="&amp;B26,'Annuity Schedule'!$B$6:$B$65,"&lt;="&amp;C26)+SUMIFS('Annuity Schedule'!$E$6:$E$65,'Annuity Schedule'!$B$6:$B$65,"&gt;="&amp;B26,'Annuity Schedule'!$B$6:$B$65,"&lt;="&amp;C26)</f>
        <v>38.5531738556168</v>
      </c>
      <c r="F26" s="26" t="n">
        <f aca="false">SUMIFS('Annuity Schedule'!$H$6:$H$65,'Annuity Schedule'!$B$6:$B$65,"&gt;="&amp;B26,'Annuity Schedule'!$B$6:$B$65,"&lt;="&amp;C26)</f>
        <v>3.7550890404917</v>
      </c>
      <c r="G26" s="33" t="n">
        <f aca="false">D26+E26+F26</f>
        <v>42.3082628961085</v>
      </c>
      <c r="H26" s="26" t="n">
        <f aca="false">IF(A26&lt;=Inputs!$C$27,-Inputs!$C$17/Inputs!$C$27,0)</f>
        <v>0</v>
      </c>
      <c r="I26" s="26" t="n">
        <f aca="false">-F26*Inputs!$C$18</f>
        <v>-3.00407123239336</v>
      </c>
      <c r="J26" s="33" t="n">
        <f aca="false">G26+H26+I26</f>
        <v>39.3041916637151</v>
      </c>
    </row>
    <row r="27" customFormat="false" ht="15" hidden="false" customHeight="false" outlineLevel="0" collapsed="false">
      <c r="A27" s="27" t="n">
        <v>22</v>
      </c>
      <c r="B27" s="22" t="n">
        <f aca="false">EDATE(Inputs!$C$7,6*(A27-1))</f>
        <v>49675</v>
      </c>
      <c r="C27" s="22" t="n">
        <f aca="false">EDATE(Inputs!$C$7,6*A27)-1</f>
        <v>49856</v>
      </c>
      <c r="D27" s="26" t="n">
        <f aca="false">SUMIFS(Inputs!$E$31:$E$40,Inputs!$B$31:$B$40,"&gt;="&amp;B27,Inputs!$B$31:$B$40,"&lt;="&amp;C27)</f>
        <v>0</v>
      </c>
      <c r="E27" s="26" t="n">
        <f aca="false">SUMIFS('Annuity Schedule'!$D$6:$D$65,'Annuity Schedule'!$B$6:$B$65,"&gt;="&amp;B27,'Annuity Schedule'!$B$6:$B$65,"&lt;="&amp;C27)+SUMIFS('Annuity Schedule'!$E$6:$E$65,'Annuity Schedule'!$B$6:$B$65,"&gt;="&amp;B27,'Annuity Schedule'!$B$6:$B$65,"&lt;="&amp;C27)</f>
        <v>37.4516546025992</v>
      </c>
      <c r="F27" s="26" t="n">
        <f aca="false">SUMIFS('Annuity Schedule'!$H$6:$H$65,'Annuity Schedule'!$B$6:$B$65,"&gt;="&amp;B27,'Annuity Schedule'!$B$6:$B$65,"&lt;="&amp;C27)</f>
        <v>3.82914337532414</v>
      </c>
      <c r="G27" s="33" t="n">
        <f aca="false">D27+E27+F27</f>
        <v>41.2807979779233</v>
      </c>
      <c r="H27" s="26" t="n">
        <f aca="false">IF(A27&lt;=Inputs!$C$27,-Inputs!$C$17/Inputs!$C$27,0)</f>
        <v>0</v>
      </c>
      <c r="I27" s="26" t="n">
        <f aca="false">-F27*Inputs!$C$18</f>
        <v>-3.06331470025931</v>
      </c>
      <c r="J27" s="33" t="n">
        <f aca="false">G27+H27+I27</f>
        <v>38.217483277664</v>
      </c>
    </row>
    <row r="28" customFormat="false" ht="15" hidden="false" customHeight="false" outlineLevel="0" collapsed="false">
      <c r="A28" s="27" t="n">
        <v>23</v>
      </c>
      <c r="B28" s="22" t="n">
        <f aca="false">EDATE(Inputs!$C$7,6*(A28-1))</f>
        <v>49857</v>
      </c>
      <c r="C28" s="22" t="n">
        <f aca="false">EDATE(Inputs!$C$7,6*A28)-1</f>
        <v>50040</v>
      </c>
      <c r="D28" s="26" t="n">
        <f aca="false">SUMIFS(Inputs!$E$31:$E$40,Inputs!$B$31:$B$40,"&gt;="&amp;B28,Inputs!$B$31:$B$40,"&lt;="&amp;C28)</f>
        <v>0</v>
      </c>
      <c r="E28" s="26" t="n">
        <f aca="false">SUMIFS('Annuity Schedule'!$D$6:$D$65,'Annuity Schedule'!$B$6:$B$65,"&gt;="&amp;B28,'Annuity Schedule'!$B$6:$B$65,"&lt;="&amp;C28)+SUMIFS('Annuity Schedule'!$E$6:$E$65,'Annuity Schedule'!$B$6:$B$65,"&gt;="&amp;B28,'Annuity Schedule'!$B$6:$B$65,"&lt;="&amp;C28)</f>
        <v>36.3501353495816</v>
      </c>
      <c r="F28" s="26" t="n">
        <f aca="false">SUMIFS('Annuity Schedule'!$H$6:$H$65,'Annuity Schedule'!$B$6:$B$65,"&gt;="&amp;B28,'Annuity Schedule'!$B$6:$B$65,"&lt;="&amp;C28)</f>
        <v>3.90382937445226</v>
      </c>
      <c r="G28" s="33" t="n">
        <f aca="false">D28+E28+F28</f>
        <v>40.2539647240338</v>
      </c>
      <c r="H28" s="26" t="n">
        <f aca="false">IF(A28&lt;=Inputs!$C$27,-Inputs!$C$17/Inputs!$C$27,0)</f>
        <v>0</v>
      </c>
      <c r="I28" s="26" t="n">
        <f aca="false">-F28*Inputs!$C$18</f>
        <v>-3.12306349956181</v>
      </c>
      <c r="J28" s="33" t="n">
        <f aca="false">G28+H28+I28</f>
        <v>37.130901224472</v>
      </c>
    </row>
    <row r="29" customFormat="false" ht="15" hidden="false" customHeight="false" outlineLevel="0" collapsed="false">
      <c r="A29" s="27" t="n">
        <v>24</v>
      </c>
      <c r="B29" s="22" t="n">
        <f aca="false">EDATE(Inputs!$C$7,6*(A29-1))</f>
        <v>50041</v>
      </c>
      <c r="C29" s="22" t="n">
        <f aca="false">EDATE(Inputs!$C$7,6*A29)-1</f>
        <v>50221</v>
      </c>
      <c r="D29" s="26" t="n">
        <f aca="false">SUMIFS(Inputs!$E$31:$E$40,Inputs!$B$31:$B$40,"&gt;="&amp;B29,Inputs!$B$31:$B$40,"&lt;="&amp;C29)</f>
        <v>0</v>
      </c>
      <c r="E29" s="26" t="n">
        <f aca="false">SUMIFS('Annuity Schedule'!$D$6:$D$65,'Annuity Schedule'!$B$6:$B$65,"&gt;="&amp;B29,'Annuity Schedule'!$B$6:$B$65,"&lt;="&amp;C29)+SUMIFS('Annuity Schedule'!$E$6:$E$65,'Annuity Schedule'!$B$6:$B$65,"&gt;="&amp;B29,'Annuity Schedule'!$B$6:$B$65,"&lt;="&amp;C29)</f>
        <v>35.2486160965639</v>
      </c>
      <c r="F29" s="26" t="n">
        <f aca="false">SUMIFS('Annuity Schedule'!$H$6:$H$65,'Annuity Schedule'!$B$6:$B$65,"&gt;="&amp;B29,'Annuity Schedule'!$B$6:$B$65,"&lt;="&amp;C29)</f>
        <v>3.9808170262781</v>
      </c>
      <c r="G29" s="33" t="n">
        <f aca="false">D29+E29+F29</f>
        <v>39.229433122842</v>
      </c>
      <c r="H29" s="26" t="n">
        <f aca="false">IF(A29&lt;=Inputs!$C$27,-Inputs!$C$17/Inputs!$C$27,0)</f>
        <v>0</v>
      </c>
      <c r="I29" s="26" t="n">
        <f aca="false">-F29*Inputs!$C$18</f>
        <v>-3.18465362102248</v>
      </c>
      <c r="J29" s="33" t="n">
        <f aca="false">G29+H29+I29</f>
        <v>36.0447795018196</v>
      </c>
    </row>
    <row r="30" customFormat="false" ht="15" hidden="false" customHeight="false" outlineLevel="0" collapsed="false">
      <c r="A30" s="27" t="n">
        <v>25</v>
      </c>
      <c r="B30" s="22" t="n">
        <f aca="false">EDATE(Inputs!$C$7,6*(A30-1))</f>
        <v>50222</v>
      </c>
      <c r="C30" s="22" t="n">
        <f aca="false">EDATE(Inputs!$C$7,6*A30)-1</f>
        <v>50405</v>
      </c>
      <c r="D30" s="26" t="n">
        <f aca="false">SUMIFS(Inputs!$E$31:$E$40,Inputs!$B$31:$B$40,"&gt;="&amp;B30,Inputs!$B$31:$B$40,"&lt;="&amp;C30)</f>
        <v>0</v>
      </c>
      <c r="E30" s="26" t="n">
        <f aca="false">SUMIFS('Annuity Schedule'!$D$6:$D$65,'Annuity Schedule'!$B$6:$B$65,"&gt;="&amp;B30,'Annuity Schedule'!$B$6:$B$65,"&lt;="&amp;C30)+SUMIFS('Annuity Schedule'!$E$6:$E$65,'Annuity Schedule'!$B$6:$B$65,"&gt;="&amp;B30,'Annuity Schedule'!$B$6:$B$65,"&lt;="&amp;C30)</f>
        <v>34.1470968435463</v>
      </c>
      <c r="F30" s="26" t="n">
        <f aca="false">SUMIFS('Annuity Schedule'!$H$6:$H$65,'Annuity Schedule'!$B$6:$B$65,"&gt;="&amp;B30,'Annuity Schedule'!$B$6:$B$65,"&lt;="&amp;C30)</f>
        <v>4.05803063474313</v>
      </c>
      <c r="G30" s="33" t="n">
        <f aca="false">D30+E30+F30</f>
        <v>38.2051274782894</v>
      </c>
      <c r="H30" s="26" t="n">
        <f aca="false">IF(A30&lt;=Inputs!$C$27,-Inputs!$C$17/Inputs!$C$27,0)</f>
        <v>0</v>
      </c>
      <c r="I30" s="26" t="n">
        <f aca="false">-F30*Inputs!$C$18</f>
        <v>-3.2464245077945</v>
      </c>
      <c r="J30" s="33" t="n">
        <f aca="false">G30+H30+I30</f>
        <v>34.9587029704949</v>
      </c>
    </row>
    <row r="31" customFormat="false" ht="15" hidden="false" customHeight="false" outlineLevel="0" collapsed="false">
      <c r="A31" s="27" t="n">
        <v>26</v>
      </c>
      <c r="B31" s="22" t="n">
        <f aca="false">EDATE(Inputs!$C$7,6*(A31-1))</f>
        <v>50406</v>
      </c>
      <c r="C31" s="22" t="n">
        <f aca="false">EDATE(Inputs!$C$7,6*A31)-1</f>
        <v>50586</v>
      </c>
      <c r="D31" s="26" t="n">
        <f aca="false">SUMIFS(Inputs!$E$31:$E$40,Inputs!$B$31:$B$40,"&gt;="&amp;B31,Inputs!$B$31:$B$40,"&lt;="&amp;C31)</f>
        <v>0</v>
      </c>
      <c r="E31" s="26" t="n">
        <f aca="false">SUMIFS('Annuity Schedule'!$D$6:$D$65,'Annuity Schedule'!$B$6:$B$65,"&gt;="&amp;B31,'Annuity Schedule'!$B$6:$B$65,"&lt;="&amp;C31)+SUMIFS('Annuity Schedule'!$E$6:$E$65,'Annuity Schedule'!$B$6:$B$65,"&gt;="&amp;B31,'Annuity Schedule'!$B$6:$B$65,"&lt;="&amp;C31)</f>
        <v>33.0455775905287</v>
      </c>
      <c r="F31" s="26" t="n">
        <f aca="false">SUMIFS('Annuity Schedule'!$H$6:$H$65,'Annuity Schedule'!$B$6:$B$65,"&gt;="&amp;B31,'Annuity Schedule'!$B$6:$B$65,"&lt;="&amp;C31)</f>
        <v>4.13805929881609</v>
      </c>
      <c r="G31" s="33" t="n">
        <f aca="false">D31+E31+F31</f>
        <v>37.1836368893448</v>
      </c>
      <c r="H31" s="26" t="n">
        <f aca="false">IF(A31&lt;=Inputs!$C$27,-Inputs!$C$17/Inputs!$C$27,0)</f>
        <v>0</v>
      </c>
      <c r="I31" s="26" t="n">
        <f aca="false">-F31*Inputs!$C$18</f>
        <v>-3.31044743905287</v>
      </c>
      <c r="J31" s="33" t="n">
        <f aca="false">G31+H31+I31</f>
        <v>33.8731894502919</v>
      </c>
    </row>
    <row r="32" customFormat="false" ht="15" hidden="false" customHeight="false" outlineLevel="0" collapsed="false">
      <c r="A32" s="27" t="n">
        <v>27</v>
      </c>
      <c r="B32" s="22" t="n">
        <f aca="false">EDATE(Inputs!$C$7,6*(A32-1))</f>
        <v>50587</v>
      </c>
      <c r="C32" s="22" t="n">
        <f aca="false">EDATE(Inputs!$C$7,6*A32)-1</f>
        <v>50770</v>
      </c>
      <c r="D32" s="26" t="n">
        <f aca="false">SUMIFS(Inputs!$E$31:$E$40,Inputs!$B$31:$B$40,"&gt;="&amp;B32,Inputs!$B$31:$B$40,"&lt;="&amp;C32)</f>
        <v>0</v>
      </c>
      <c r="E32" s="26" t="n">
        <f aca="false">SUMIFS('Annuity Schedule'!$D$6:$D$65,'Annuity Schedule'!$B$6:$B$65,"&gt;="&amp;B32,'Annuity Schedule'!$B$6:$B$65,"&lt;="&amp;C32)+SUMIFS('Annuity Schedule'!$E$6:$E$65,'Annuity Schedule'!$B$6:$B$65,"&gt;="&amp;B32,'Annuity Schedule'!$B$6:$B$65,"&lt;="&amp;C32)</f>
        <v>31.9440583375111</v>
      </c>
      <c r="F32" s="26" t="n">
        <f aca="false">SUMIFS('Annuity Schedule'!$H$6:$H$65,'Annuity Schedule'!$B$6:$B$65,"&gt;="&amp;B32,'Annuity Schedule'!$B$6:$B$65,"&lt;="&amp;C32)</f>
        <v>4.21832284481548</v>
      </c>
      <c r="G32" s="33" t="n">
        <f aca="false">D32+E32+F32</f>
        <v>36.1623811823266</v>
      </c>
      <c r="H32" s="26" t="n">
        <f aca="false">IF(A32&lt;=Inputs!$C$27,-Inputs!$C$17/Inputs!$C$27,0)</f>
        <v>0</v>
      </c>
      <c r="I32" s="26" t="n">
        <f aca="false">-F32*Inputs!$C$18</f>
        <v>-3.37465827585238</v>
      </c>
      <c r="J32" s="33" t="n">
        <f aca="false">G32+H32+I32</f>
        <v>32.7877229064742</v>
      </c>
    </row>
    <row r="33" customFormat="false" ht="15" hidden="false" customHeight="false" outlineLevel="0" collapsed="false">
      <c r="A33" s="27" t="n">
        <v>28</v>
      </c>
      <c r="B33" s="22" t="n">
        <f aca="false">EDATE(Inputs!$C$7,6*(A33-1))</f>
        <v>50771</v>
      </c>
      <c r="C33" s="22" t="n">
        <f aca="false">EDATE(Inputs!$C$7,6*A33)-1</f>
        <v>50951</v>
      </c>
      <c r="D33" s="26" t="n">
        <f aca="false">SUMIFS(Inputs!$E$31:$E$40,Inputs!$B$31:$B$40,"&gt;="&amp;B33,Inputs!$B$31:$B$40,"&lt;="&amp;C33)</f>
        <v>0</v>
      </c>
      <c r="E33" s="26" t="n">
        <f aca="false">SUMIFS('Annuity Schedule'!$D$6:$D$65,'Annuity Schedule'!$B$6:$B$65,"&gt;="&amp;B33,'Annuity Schedule'!$B$6:$B$65,"&lt;="&amp;C33)+SUMIFS('Annuity Schedule'!$E$6:$E$65,'Annuity Schedule'!$B$6:$B$65,"&gt;="&amp;B33,'Annuity Schedule'!$B$6:$B$65,"&lt;="&amp;C33)</f>
        <v>30.8425390844934</v>
      </c>
      <c r="F33" s="26" t="n">
        <f aca="false">SUMIFS('Annuity Schedule'!$H$6:$H$65,'Annuity Schedule'!$B$6:$B$65,"&gt;="&amp;B33,'Annuity Schedule'!$B$6:$B$65,"&lt;="&amp;C33)</f>
        <v>4.30151264111932</v>
      </c>
      <c r="G33" s="33" t="n">
        <f aca="false">D33+E33+F33</f>
        <v>35.1440517256128</v>
      </c>
      <c r="H33" s="26" t="n">
        <f aca="false">IF(A33&lt;=Inputs!$C$27,-Inputs!$C$17/Inputs!$C$27,0)</f>
        <v>0</v>
      </c>
      <c r="I33" s="26" t="n">
        <f aca="false">-F33*Inputs!$C$18</f>
        <v>-3.44121011289546</v>
      </c>
      <c r="J33" s="33" t="n">
        <f aca="false">G33+H33+I33</f>
        <v>31.7028416127173</v>
      </c>
    </row>
    <row r="34" customFormat="false" ht="15" hidden="false" customHeight="false" outlineLevel="0" collapsed="false">
      <c r="A34" s="27" t="n">
        <v>29</v>
      </c>
      <c r="B34" s="22" t="n">
        <f aca="false">EDATE(Inputs!$C$7,6*(A34-1))</f>
        <v>50952</v>
      </c>
      <c r="C34" s="22" t="n">
        <f aca="false">EDATE(Inputs!$C$7,6*A34)-1</f>
        <v>51135</v>
      </c>
      <c r="D34" s="26" t="n">
        <f aca="false">SUMIFS(Inputs!$E$31:$E$40,Inputs!$B$31:$B$40,"&gt;="&amp;B34,Inputs!$B$31:$B$40,"&lt;="&amp;C34)</f>
        <v>0</v>
      </c>
      <c r="E34" s="26" t="n">
        <f aca="false">SUMIFS('Annuity Schedule'!$D$6:$D$65,'Annuity Schedule'!$B$6:$B$65,"&gt;="&amp;B34,'Annuity Schedule'!$B$6:$B$65,"&lt;="&amp;C34)+SUMIFS('Annuity Schedule'!$E$6:$E$65,'Annuity Schedule'!$B$6:$B$65,"&gt;="&amp;B34,'Annuity Schedule'!$B$6:$B$65,"&lt;="&amp;C34)</f>
        <v>29.7410198314758</v>
      </c>
      <c r="F34" s="26" t="n">
        <f aca="false">SUMIFS('Annuity Schedule'!$H$6:$H$65,'Annuity Schedule'!$B$6:$B$65,"&gt;="&amp;B34,'Annuity Schedule'!$B$6:$B$65,"&lt;="&amp;C34)</f>
        <v>4.38494659718569</v>
      </c>
      <c r="G34" s="33" t="n">
        <f aca="false">D34+E34+F34</f>
        <v>34.1259664286615</v>
      </c>
      <c r="H34" s="26" t="n">
        <f aca="false">IF(A34&lt;=Inputs!$C$27,-Inputs!$C$17/Inputs!$C$27,0)</f>
        <v>0</v>
      </c>
      <c r="I34" s="26" t="n">
        <f aca="false">-F34*Inputs!$C$18</f>
        <v>-3.50795727774855</v>
      </c>
      <c r="J34" s="33" t="n">
        <f aca="false">G34+H34+I34</f>
        <v>30.618009150913</v>
      </c>
    </row>
    <row r="35" customFormat="false" ht="15" hidden="false" customHeight="false" outlineLevel="0" collapsed="false">
      <c r="A35" s="27" t="n">
        <v>30</v>
      </c>
      <c r="B35" s="22" t="n">
        <f aca="false">EDATE(Inputs!$C$7,6*(A35-1))</f>
        <v>51136</v>
      </c>
      <c r="C35" s="22" t="n">
        <f aca="false">EDATE(Inputs!$C$7,6*A35)-1</f>
        <v>51317</v>
      </c>
      <c r="D35" s="26" t="n">
        <f aca="false">SUMIFS(Inputs!$E$31:$E$40,Inputs!$B$31:$B$40,"&gt;="&amp;B35,Inputs!$B$31:$B$40,"&lt;="&amp;C35)</f>
        <v>0</v>
      </c>
      <c r="E35" s="26" t="n">
        <f aca="false">SUMIFS('Annuity Schedule'!$D$6:$D$65,'Annuity Schedule'!$B$6:$B$65,"&gt;="&amp;B35,'Annuity Schedule'!$B$6:$B$65,"&lt;="&amp;C35)+SUMIFS('Annuity Schedule'!$E$6:$E$65,'Annuity Schedule'!$B$6:$B$65,"&gt;="&amp;B35,'Annuity Schedule'!$B$6:$B$65,"&lt;="&amp;C35)</f>
        <v>28.6395005784582</v>
      </c>
      <c r="F35" s="26" t="n">
        <f aca="false">SUMIFS('Annuity Schedule'!$H$6:$H$65,'Annuity Schedule'!$B$6:$B$65,"&gt;="&amp;B35,'Annuity Schedule'!$B$6:$B$65,"&lt;="&amp;C35)</f>
        <v>4.47142239044354</v>
      </c>
      <c r="G35" s="33" t="n">
        <f aca="false">D35+E35+F35</f>
        <v>33.1109229689017</v>
      </c>
      <c r="H35" s="26" t="n">
        <f aca="false">IF(A35&lt;=Inputs!$C$27,-Inputs!$C$17/Inputs!$C$27,0)</f>
        <v>0</v>
      </c>
      <c r="I35" s="26" t="n">
        <f aca="false">-F35*Inputs!$C$18</f>
        <v>-3.57713791235483</v>
      </c>
      <c r="J35" s="33" t="n">
        <f aca="false">G35+H35+I35</f>
        <v>29.5337850565469</v>
      </c>
    </row>
    <row r="36" customFormat="false" ht="15" hidden="false" customHeight="false" outlineLevel="0" collapsed="false">
      <c r="A36" s="27" t="n">
        <v>31</v>
      </c>
      <c r="B36" s="22" t="n">
        <f aca="false">EDATE(Inputs!$C$7,6*(A36-1))</f>
        <v>51318</v>
      </c>
      <c r="C36" s="22" t="n">
        <f aca="false">EDATE(Inputs!$C$7,6*A36)-1</f>
        <v>51501</v>
      </c>
      <c r="D36" s="26" t="n">
        <f aca="false">SUMIFS(Inputs!$E$31:$E$40,Inputs!$B$31:$B$40,"&gt;="&amp;B36,Inputs!$B$31:$B$40,"&lt;="&amp;C36)</f>
        <v>0</v>
      </c>
      <c r="E36" s="26" t="n">
        <f aca="false">SUMIFS('Annuity Schedule'!$D$6:$D$65,'Annuity Schedule'!$B$6:$B$65,"&gt;="&amp;B36,'Annuity Schedule'!$B$6:$B$65,"&lt;="&amp;C36)+SUMIFS('Annuity Schedule'!$E$6:$E$65,'Annuity Schedule'!$B$6:$B$65,"&gt;="&amp;B36,'Annuity Schedule'!$B$6:$B$65,"&lt;="&amp;C36)</f>
        <v>27.5379813254406</v>
      </c>
      <c r="F36" s="26" t="n">
        <f aca="false">SUMIFS('Annuity Schedule'!$H$6:$H$65,'Annuity Schedule'!$B$6:$B$65,"&gt;="&amp;B36,'Annuity Schedule'!$B$6:$B$65,"&lt;="&amp;C36)</f>
        <v>4.55863579982022</v>
      </c>
      <c r="G36" s="33" t="n">
        <f aca="false">D36+E36+F36</f>
        <v>32.0966171252608</v>
      </c>
      <c r="H36" s="26" t="n">
        <f aca="false">IF(A36&lt;=Inputs!$C$27,-Inputs!$C$17/Inputs!$C$27,0)</f>
        <v>0</v>
      </c>
      <c r="I36" s="26" t="n">
        <f aca="false">-F36*Inputs!$C$18</f>
        <v>-3.64690863985617</v>
      </c>
      <c r="J36" s="33" t="n">
        <f aca="false">G36+H36+I36</f>
        <v>28.4497084854046</v>
      </c>
    </row>
    <row r="37" customFormat="false" ht="15" hidden="false" customHeight="false" outlineLevel="0" collapsed="false">
      <c r="A37" s="27" t="n">
        <v>32</v>
      </c>
      <c r="B37" s="22" t="n">
        <f aca="false">EDATE(Inputs!$C$7,6*(A37-1))</f>
        <v>51502</v>
      </c>
      <c r="C37" s="22" t="n">
        <f aca="false">EDATE(Inputs!$C$7,6*A37)-1</f>
        <v>51682</v>
      </c>
      <c r="D37" s="26" t="n">
        <f aca="false">SUMIFS(Inputs!$E$31:$E$40,Inputs!$B$31:$B$40,"&gt;="&amp;B37,Inputs!$B$31:$B$40,"&lt;="&amp;C37)</f>
        <v>0</v>
      </c>
      <c r="E37" s="26" t="n">
        <f aca="false">SUMIFS('Annuity Schedule'!$D$6:$D$65,'Annuity Schedule'!$B$6:$B$65,"&gt;="&amp;B37,'Annuity Schedule'!$B$6:$B$65,"&lt;="&amp;C37)+SUMIFS('Annuity Schedule'!$E$6:$E$65,'Annuity Schedule'!$B$6:$B$65,"&gt;="&amp;B37,'Annuity Schedule'!$B$6:$B$65,"&lt;="&amp;C37)</f>
        <v>26.4364620724229</v>
      </c>
      <c r="F37" s="26" t="n">
        <f aca="false">SUMIFS('Annuity Schedule'!$H$6:$H$65,'Annuity Schedule'!$B$6:$B$65,"&gt;="&amp;B37,'Annuity Schedule'!$B$6:$B$65,"&lt;="&amp;C37)</f>
        <v>4.64853692819794</v>
      </c>
      <c r="G37" s="33" t="n">
        <f aca="false">D37+E37+F37</f>
        <v>31.0849990006209</v>
      </c>
      <c r="H37" s="26" t="n">
        <f aca="false">IF(A37&lt;=Inputs!$C$27,-Inputs!$C$17/Inputs!$C$27,0)</f>
        <v>0</v>
      </c>
      <c r="I37" s="26" t="n">
        <f aca="false">-F37*Inputs!$C$18</f>
        <v>-3.71882954255835</v>
      </c>
      <c r="J37" s="33" t="n">
        <f aca="false">G37+H37+I37</f>
        <v>27.3661694580625</v>
      </c>
    </row>
    <row r="38" customFormat="false" ht="15" hidden="false" customHeight="false" outlineLevel="0" collapsed="false">
      <c r="A38" s="27" t="n">
        <v>33</v>
      </c>
      <c r="B38" s="22" t="n">
        <f aca="false">EDATE(Inputs!$C$7,6*(A38-1))</f>
        <v>51683</v>
      </c>
      <c r="C38" s="22" t="n">
        <f aca="false">EDATE(Inputs!$C$7,6*A38)-1</f>
        <v>51866</v>
      </c>
      <c r="D38" s="26" t="n">
        <f aca="false">SUMIFS(Inputs!$E$31:$E$40,Inputs!$B$31:$B$40,"&gt;="&amp;B38,Inputs!$B$31:$B$40,"&lt;="&amp;C38)</f>
        <v>0</v>
      </c>
      <c r="E38" s="26" t="n">
        <f aca="false">SUMIFS('Annuity Schedule'!$D$6:$D$65,'Annuity Schedule'!$B$6:$B$65,"&gt;="&amp;B38,'Annuity Schedule'!$B$6:$B$65,"&lt;="&amp;C38)+SUMIFS('Annuity Schedule'!$E$6:$E$65,'Annuity Schedule'!$B$6:$B$65,"&gt;="&amp;B38,'Annuity Schedule'!$B$6:$B$65,"&lt;="&amp;C38)</f>
        <v>25.3349428194053</v>
      </c>
      <c r="F38" s="26" t="n">
        <f aca="false">SUMIFS('Annuity Schedule'!$H$6:$H$65,'Annuity Schedule'!$B$6:$B$65,"&gt;="&amp;B38,'Annuity Schedule'!$B$6:$B$65,"&lt;="&amp;C38)</f>
        <v>4.73870191391311</v>
      </c>
      <c r="G38" s="33" t="n">
        <f aca="false">D38+E38+F38</f>
        <v>30.0736447333184</v>
      </c>
      <c r="H38" s="26" t="n">
        <f aca="false">IF(A38&lt;=Inputs!$C$27,-Inputs!$C$17/Inputs!$C$27,0)</f>
        <v>0</v>
      </c>
      <c r="I38" s="26" t="n">
        <f aca="false">-F38*Inputs!$C$18</f>
        <v>-3.79096153113049</v>
      </c>
      <c r="J38" s="33" t="n">
        <f aca="false">G38+H38+I38</f>
        <v>26.2826832021879</v>
      </c>
    </row>
    <row r="39" customFormat="false" ht="15" hidden="false" customHeight="false" outlineLevel="0" collapsed="false">
      <c r="A39" s="27" t="n">
        <v>34</v>
      </c>
      <c r="B39" s="22" t="n">
        <f aca="false">EDATE(Inputs!$C$7,6*(A39-1))</f>
        <v>51867</v>
      </c>
      <c r="C39" s="22" t="n">
        <f aca="false">EDATE(Inputs!$C$7,6*A39)-1</f>
        <v>52047</v>
      </c>
      <c r="D39" s="26" t="n">
        <f aca="false">SUMIFS(Inputs!$E$31:$E$40,Inputs!$B$31:$B$40,"&gt;="&amp;B39,Inputs!$B$31:$B$40,"&lt;="&amp;C39)</f>
        <v>0</v>
      </c>
      <c r="E39" s="26" t="n">
        <f aca="false">SUMIFS('Annuity Schedule'!$D$6:$D$65,'Annuity Schedule'!$B$6:$B$65,"&gt;="&amp;B39,'Annuity Schedule'!$B$6:$B$65,"&lt;="&amp;C39)+SUMIFS('Annuity Schedule'!$E$6:$E$65,'Annuity Schedule'!$B$6:$B$65,"&gt;="&amp;B39,'Annuity Schedule'!$B$6:$B$65,"&lt;="&amp;C39)</f>
        <v>24.2334235663877</v>
      </c>
      <c r="F39" s="26" t="n">
        <f aca="false">SUMIFS('Annuity Schedule'!$H$6:$H$65,'Annuity Schedule'!$B$6:$B$65,"&gt;="&amp;B39,'Annuity Schedule'!$B$6:$B$65,"&lt;="&amp;C39)</f>
        <v>4.83215413686176</v>
      </c>
      <c r="G39" s="33" t="n">
        <f aca="false">D39+E39+F39</f>
        <v>29.0655777032495</v>
      </c>
      <c r="H39" s="26" t="n">
        <f aca="false">IF(A39&lt;=Inputs!$C$27,-Inputs!$C$17/Inputs!$C$27,0)</f>
        <v>0</v>
      </c>
      <c r="I39" s="26" t="n">
        <f aca="false">-F39*Inputs!$C$18</f>
        <v>-3.86572330948941</v>
      </c>
      <c r="J39" s="33" t="n">
        <f aca="false">G39+H39+I39</f>
        <v>25.1998543937601</v>
      </c>
    </row>
    <row r="40" customFormat="false" ht="15" hidden="false" customHeight="false" outlineLevel="0" collapsed="false">
      <c r="A40" s="27" t="n">
        <v>35</v>
      </c>
      <c r="B40" s="22" t="n">
        <f aca="false">EDATE(Inputs!$C$7,6*(A40-1))</f>
        <v>52048</v>
      </c>
      <c r="C40" s="22" t="n">
        <f aca="false">EDATE(Inputs!$C$7,6*A40)-1</f>
        <v>52231</v>
      </c>
      <c r="D40" s="26" t="n">
        <f aca="false">SUMIFS(Inputs!$E$31:$E$40,Inputs!$B$31:$B$40,"&gt;="&amp;B40,Inputs!$B$31:$B$40,"&lt;="&amp;C40)</f>
        <v>0</v>
      </c>
      <c r="E40" s="26" t="n">
        <f aca="false">SUMIFS('Annuity Schedule'!$D$6:$D$65,'Annuity Schedule'!$B$6:$B$65,"&gt;="&amp;B40,'Annuity Schedule'!$B$6:$B$65,"&lt;="&amp;C40)+SUMIFS('Annuity Schedule'!$E$6:$E$65,'Annuity Schedule'!$B$6:$B$65,"&gt;="&amp;B40,'Annuity Schedule'!$B$6:$B$65,"&lt;="&amp;C40)</f>
        <v>23.1319043133701</v>
      </c>
      <c r="F40" s="26" t="n">
        <f aca="false">SUMIFS('Annuity Schedule'!$H$6:$H$65,'Annuity Schedule'!$B$6:$B$65,"&gt;="&amp;B40,'Annuity Schedule'!$B$6:$B$65,"&lt;="&amp;C40)</f>
        <v>4.92588063951268</v>
      </c>
      <c r="G40" s="33" t="n">
        <f aca="false">D40+E40+F40</f>
        <v>28.0577849528828</v>
      </c>
      <c r="H40" s="26" t="n">
        <f aca="false">IF(A40&lt;=Inputs!$C$27,-Inputs!$C$17/Inputs!$C$27,0)</f>
        <v>0</v>
      </c>
      <c r="I40" s="26" t="n">
        <f aca="false">-F40*Inputs!$C$18</f>
        <v>-3.94070451161015</v>
      </c>
      <c r="J40" s="33" t="n">
        <f aca="false">G40+H40+I40</f>
        <v>24.1170804412726</v>
      </c>
    </row>
    <row r="41" customFormat="false" ht="15" hidden="false" customHeight="false" outlineLevel="0" collapsed="false">
      <c r="A41" s="27" t="n">
        <v>36</v>
      </c>
      <c r="B41" s="22" t="n">
        <f aca="false">EDATE(Inputs!$C$7,6*(A41-1))</f>
        <v>52232</v>
      </c>
      <c r="C41" s="22" t="n">
        <f aca="false">EDATE(Inputs!$C$7,6*A41)-1</f>
        <v>52412</v>
      </c>
      <c r="D41" s="26" t="n">
        <f aca="false">SUMIFS(Inputs!$E$31:$E$40,Inputs!$B$31:$B$40,"&gt;="&amp;B41,Inputs!$B$31:$B$40,"&lt;="&amp;C41)</f>
        <v>0</v>
      </c>
      <c r="E41" s="26" t="n">
        <f aca="false">SUMIFS('Annuity Schedule'!$D$6:$D$65,'Annuity Schedule'!$B$6:$B$65,"&gt;="&amp;B41,'Annuity Schedule'!$B$6:$B$65,"&lt;="&amp;C41)+SUMIFS('Annuity Schedule'!$E$6:$E$65,'Annuity Schedule'!$B$6:$B$65,"&gt;="&amp;B41,'Annuity Schedule'!$B$6:$B$65,"&lt;="&amp;C41)</f>
        <v>0</v>
      </c>
      <c r="F41" s="26" t="n">
        <f aca="false">SUMIFS('Annuity Schedule'!$H$6:$H$65,'Annuity Schedule'!$B$6:$B$65,"&gt;="&amp;B41,'Annuity Schedule'!$B$6:$B$65,"&lt;="&amp;C41)</f>
        <v>0</v>
      </c>
      <c r="G41" s="33" t="n">
        <f aca="false">D41+E41+F41</f>
        <v>0</v>
      </c>
      <c r="H41" s="26" t="n">
        <f aca="false">IF(A41&lt;=Inputs!$C$27,-Inputs!$C$17/Inputs!$C$27,0)</f>
        <v>0</v>
      </c>
      <c r="I41" s="26" t="n">
        <f aca="false">-F41*Inputs!$C$18</f>
        <v>-0</v>
      </c>
      <c r="J41" s="33" t="n">
        <f aca="false">G41+H41+I41</f>
        <v>0</v>
      </c>
    </row>
    <row r="42" customFormat="false" ht="15" hidden="false" customHeight="false" outlineLevel="0" collapsed="false">
      <c r="A42" s="27" t="n">
        <v>37</v>
      </c>
      <c r="B42" s="22" t="n">
        <f aca="false">EDATE(Inputs!$C$7,6*(A42-1))</f>
        <v>52413</v>
      </c>
      <c r="C42" s="22" t="n">
        <f aca="false">EDATE(Inputs!$C$7,6*A42)-1</f>
        <v>52596</v>
      </c>
      <c r="D42" s="26" t="n">
        <f aca="false">SUMIFS(Inputs!$E$31:$E$40,Inputs!$B$31:$B$40,"&gt;="&amp;B42,Inputs!$B$31:$B$40,"&lt;="&amp;C42)</f>
        <v>0</v>
      </c>
      <c r="E42" s="26" t="n">
        <f aca="false">SUMIFS('Annuity Schedule'!$D$6:$D$65,'Annuity Schedule'!$B$6:$B$65,"&gt;="&amp;B42,'Annuity Schedule'!$B$6:$B$65,"&lt;="&amp;C42)+SUMIFS('Annuity Schedule'!$E$6:$E$65,'Annuity Schedule'!$B$6:$B$65,"&gt;="&amp;B42,'Annuity Schedule'!$B$6:$B$65,"&lt;="&amp;C42)</f>
        <v>0</v>
      </c>
      <c r="F42" s="26" t="n">
        <f aca="false">SUMIFS('Annuity Schedule'!$H$6:$H$65,'Annuity Schedule'!$B$6:$B$65,"&gt;="&amp;B42,'Annuity Schedule'!$B$6:$B$65,"&lt;="&amp;C42)</f>
        <v>0</v>
      </c>
      <c r="G42" s="33" t="n">
        <f aca="false">D42+E42+F42</f>
        <v>0</v>
      </c>
      <c r="H42" s="26" t="n">
        <f aca="false">IF(A42&lt;=Inputs!$C$27,-Inputs!$C$17/Inputs!$C$27,0)</f>
        <v>0</v>
      </c>
      <c r="I42" s="26" t="n">
        <f aca="false">-F42*Inputs!$C$18</f>
        <v>-0</v>
      </c>
      <c r="J42" s="33" t="n">
        <f aca="false">G42+H42+I42</f>
        <v>0</v>
      </c>
    </row>
    <row r="43" customFormat="false" ht="15" hidden="false" customHeight="false" outlineLevel="0" collapsed="false">
      <c r="A43" s="27" t="n">
        <v>38</v>
      </c>
      <c r="B43" s="22" t="n">
        <f aca="false">EDATE(Inputs!$C$7,6*(A43-1))</f>
        <v>52597</v>
      </c>
      <c r="C43" s="22" t="n">
        <f aca="false">EDATE(Inputs!$C$7,6*A43)-1</f>
        <v>52778</v>
      </c>
      <c r="D43" s="26" t="n">
        <f aca="false">SUMIFS(Inputs!$E$31:$E$40,Inputs!$B$31:$B$40,"&gt;="&amp;B43,Inputs!$B$31:$B$40,"&lt;="&amp;C43)</f>
        <v>0</v>
      </c>
      <c r="E43" s="26" t="n">
        <f aca="false">SUMIFS('Annuity Schedule'!$D$6:$D$65,'Annuity Schedule'!$B$6:$B$65,"&gt;="&amp;B43,'Annuity Schedule'!$B$6:$B$65,"&lt;="&amp;C43)+SUMIFS('Annuity Schedule'!$E$6:$E$65,'Annuity Schedule'!$B$6:$B$65,"&gt;="&amp;B43,'Annuity Schedule'!$B$6:$B$65,"&lt;="&amp;C43)</f>
        <v>0</v>
      </c>
      <c r="F43" s="26" t="n">
        <f aca="false">SUMIFS('Annuity Schedule'!$H$6:$H$65,'Annuity Schedule'!$B$6:$B$65,"&gt;="&amp;B43,'Annuity Schedule'!$B$6:$B$65,"&lt;="&amp;C43)</f>
        <v>0</v>
      </c>
      <c r="G43" s="33" t="n">
        <f aca="false">D43+E43+F43</f>
        <v>0</v>
      </c>
      <c r="H43" s="26" t="n">
        <f aca="false">IF(A43&lt;=Inputs!$C$27,-Inputs!$C$17/Inputs!$C$27,0)</f>
        <v>0</v>
      </c>
      <c r="I43" s="26" t="n">
        <f aca="false">-F43*Inputs!$C$18</f>
        <v>-0</v>
      </c>
      <c r="J43" s="33" t="n">
        <f aca="false">G43+H43+I43</f>
        <v>0</v>
      </c>
    </row>
    <row r="44" customFormat="false" ht="15" hidden="false" customHeight="false" outlineLevel="0" collapsed="false">
      <c r="A44" s="27" t="n">
        <v>39</v>
      </c>
      <c r="B44" s="22" t="n">
        <f aca="false">EDATE(Inputs!$C$7,6*(A44-1))</f>
        <v>52779</v>
      </c>
      <c r="C44" s="22" t="n">
        <f aca="false">EDATE(Inputs!$C$7,6*A44)-1</f>
        <v>52962</v>
      </c>
      <c r="D44" s="26" t="n">
        <f aca="false">SUMIFS(Inputs!$E$31:$E$40,Inputs!$B$31:$B$40,"&gt;="&amp;B44,Inputs!$B$31:$B$40,"&lt;="&amp;C44)</f>
        <v>0</v>
      </c>
      <c r="E44" s="26" t="n">
        <f aca="false">SUMIFS('Annuity Schedule'!$D$6:$D$65,'Annuity Schedule'!$B$6:$B$65,"&gt;="&amp;B44,'Annuity Schedule'!$B$6:$B$65,"&lt;="&amp;C44)+SUMIFS('Annuity Schedule'!$E$6:$E$65,'Annuity Schedule'!$B$6:$B$65,"&gt;="&amp;B44,'Annuity Schedule'!$B$6:$B$65,"&lt;="&amp;C44)</f>
        <v>0</v>
      </c>
      <c r="F44" s="26" t="n">
        <f aca="false">SUMIFS('Annuity Schedule'!$H$6:$H$65,'Annuity Schedule'!$B$6:$B$65,"&gt;="&amp;B44,'Annuity Schedule'!$B$6:$B$65,"&lt;="&amp;C44)</f>
        <v>0</v>
      </c>
      <c r="G44" s="33" t="n">
        <f aca="false">D44+E44+F44</f>
        <v>0</v>
      </c>
      <c r="H44" s="26" t="n">
        <f aca="false">IF(A44&lt;=Inputs!$C$27,-Inputs!$C$17/Inputs!$C$27,0)</f>
        <v>0</v>
      </c>
      <c r="I44" s="26" t="n">
        <f aca="false">-F44*Inputs!$C$18</f>
        <v>-0</v>
      </c>
      <c r="J44" s="33" t="n">
        <f aca="false">G44+H44+I44</f>
        <v>0</v>
      </c>
    </row>
    <row r="45" customFormat="false" ht="15" hidden="false" customHeight="false" outlineLevel="0" collapsed="false">
      <c r="A45" s="27" t="n">
        <v>40</v>
      </c>
      <c r="B45" s="22" t="n">
        <f aca="false">EDATE(Inputs!$C$7,6*(A45-1))</f>
        <v>52963</v>
      </c>
      <c r="C45" s="22" t="n">
        <f aca="false">EDATE(Inputs!$C$7,6*A45)-1</f>
        <v>53143</v>
      </c>
      <c r="D45" s="26" t="n">
        <f aca="false">SUMIFS(Inputs!$E$31:$E$40,Inputs!$B$31:$B$40,"&gt;="&amp;B45,Inputs!$B$31:$B$40,"&lt;="&amp;C45)</f>
        <v>0</v>
      </c>
      <c r="E45" s="26" t="n">
        <f aca="false">SUMIFS('Annuity Schedule'!$D$6:$D$65,'Annuity Schedule'!$B$6:$B$65,"&gt;="&amp;B45,'Annuity Schedule'!$B$6:$B$65,"&lt;="&amp;C45)+SUMIFS('Annuity Schedule'!$E$6:$E$65,'Annuity Schedule'!$B$6:$B$65,"&gt;="&amp;B45,'Annuity Schedule'!$B$6:$B$65,"&lt;="&amp;C45)</f>
        <v>0</v>
      </c>
      <c r="F45" s="26" t="n">
        <f aca="false">SUMIFS('Annuity Schedule'!$H$6:$H$65,'Annuity Schedule'!$B$6:$B$65,"&gt;="&amp;B45,'Annuity Schedule'!$B$6:$B$65,"&lt;="&amp;C45)</f>
        <v>0</v>
      </c>
      <c r="G45" s="33" t="n">
        <f aca="false">D45+E45+F45</f>
        <v>0</v>
      </c>
      <c r="H45" s="26" t="n">
        <f aca="false">IF(A45&lt;=Inputs!$C$27,-Inputs!$C$17/Inputs!$C$27,0)</f>
        <v>0</v>
      </c>
      <c r="I45" s="26" t="n">
        <f aca="false">-F45*Inputs!$C$18</f>
        <v>-0</v>
      </c>
      <c r="J45" s="33" t="n">
        <f aca="false">G45+H45+I45</f>
        <v>0</v>
      </c>
    </row>
    <row r="46" customFormat="false" ht="15" hidden="false" customHeight="false" outlineLevel="0" collapsed="false">
      <c r="A46" s="27" t="n">
        <v>41</v>
      </c>
      <c r="B46" s="22" t="n">
        <f aca="false">EDATE(Inputs!$C$7,6*(A46-1))</f>
        <v>53144</v>
      </c>
      <c r="C46" s="22" t="n">
        <f aca="false">EDATE(Inputs!$C$7,6*A46)-1</f>
        <v>53327</v>
      </c>
      <c r="D46" s="26" t="n">
        <f aca="false">SUMIFS(Inputs!$E$31:$E$40,Inputs!$B$31:$B$40,"&gt;="&amp;B46,Inputs!$B$31:$B$40,"&lt;="&amp;C46)</f>
        <v>0</v>
      </c>
      <c r="E46" s="26" t="n">
        <f aca="false">SUMIFS('Annuity Schedule'!$D$6:$D$65,'Annuity Schedule'!$B$6:$B$65,"&gt;="&amp;B46,'Annuity Schedule'!$B$6:$B$65,"&lt;="&amp;C46)+SUMIFS('Annuity Schedule'!$E$6:$E$65,'Annuity Schedule'!$B$6:$B$65,"&gt;="&amp;B46,'Annuity Schedule'!$B$6:$B$65,"&lt;="&amp;C46)</f>
        <v>0</v>
      </c>
      <c r="F46" s="26" t="n">
        <f aca="false">SUMIFS('Annuity Schedule'!$H$6:$H$65,'Annuity Schedule'!$B$6:$B$65,"&gt;="&amp;B46,'Annuity Schedule'!$B$6:$B$65,"&lt;="&amp;C46)</f>
        <v>0</v>
      </c>
      <c r="G46" s="33" t="n">
        <f aca="false">D46+E46+F46</f>
        <v>0</v>
      </c>
      <c r="H46" s="26" t="n">
        <f aca="false">IF(A46&lt;=Inputs!$C$27,-Inputs!$C$17/Inputs!$C$27,0)</f>
        <v>0</v>
      </c>
      <c r="I46" s="26" t="n">
        <f aca="false">-F46*Inputs!$C$18</f>
        <v>-0</v>
      </c>
      <c r="J46" s="33" t="n">
        <f aca="false">G46+H46+I46</f>
        <v>0</v>
      </c>
    </row>
    <row r="47" customFormat="false" ht="15" hidden="false" customHeight="false" outlineLevel="0" collapsed="false">
      <c r="A47" s="27" t="n">
        <v>42</v>
      </c>
      <c r="B47" s="22" t="n">
        <f aca="false">EDATE(Inputs!$C$7,6*(A47-1))</f>
        <v>53328</v>
      </c>
      <c r="C47" s="22" t="n">
        <f aca="false">EDATE(Inputs!$C$7,6*A47)-1</f>
        <v>53508</v>
      </c>
      <c r="D47" s="26" t="n">
        <f aca="false">SUMIFS(Inputs!$E$31:$E$40,Inputs!$B$31:$B$40,"&gt;="&amp;B47,Inputs!$B$31:$B$40,"&lt;="&amp;C47)</f>
        <v>0</v>
      </c>
      <c r="E47" s="26" t="n">
        <f aca="false">SUMIFS('Annuity Schedule'!$D$6:$D$65,'Annuity Schedule'!$B$6:$B$65,"&gt;="&amp;B47,'Annuity Schedule'!$B$6:$B$65,"&lt;="&amp;C47)+SUMIFS('Annuity Schedule'!$E$6:$E$65,'Annuity Schedule'!$B$6:$B$65,"&gt;="&amp;B47,'Annuity Schedule'!$B$6:$B$65,"&lt;="&amp;C47)</f>
        <v>0</v>
      </c>
      <c r="F47" s="26" t="n">
        <f aca="false">SUMIFS('Annuity Schedule'!$H$6:$H$65,'Annuity Schedule'!$B$6:$B$65,"&gt;="&amp;B47,'Annuity Schedule'!$B$6:$B$65,"&lt;="&amp;C47)</f>
        <v>0</v>
      </c>
      <c r="G47" s="33" t="n">
        <f aca="false">D47+E47+F47</f>
        <v>0</v>
      </c>
      <c r="H47" s="26" t="n">
        <f aca="false">IF(A47&lt;=Inputs!$C$27,-Inputs!$C$17/Inputs!$C$27,0)</f>
        <v>0</v>
      </c>
      <c r="I47" s="26" t="n">
        <f aca="false">-F47*Inputs!$C$18</f>
        <v>-0</v>
      </c>
      <c r="J47" s="33" t="n">
        <f aca="false">G47+H47+I47</f>
        <v>0</v>
      </c>
    </row>
    <row r="48" customFormat="false" ht="15" hidden="false" customHeight="false" outlineLevel="0" collapsed="false">
      <c r="A48" s="27" t="n">
        <v>43</v>
      </c>
      <c r="B48" s="22" t="n">
        <f aca="false">EDATE(Inputs!$C$7,6*(A48-1))</f>
        <v>53509</v>
      </c>
      <c r="C48" s="22" t="n">
        <f aca="false">EDATE(Inputs!$C$7,6*A48)-1</f>
        <v>53692</v>
      </c>
      <c r="D48" s="26" t="n">
        <f aca="false">SUMIFS(Inputs!$E$31:$E$40,Inputs!$B$31:$B$40,"&gt;="&amp;B48,Inputs!$B$31:$B$40,"&lt;="&amp;C48)</f>
        <v>0</v>
      </c>
      <c r="E48" s="26" t="n">
        <f aca="false">SUMIFS('Annuity Schedule'!$D$6:$D$65,'Annuity Schedule'!$B$6:$B$65,"&gt;="&amp;B48,'Annuity Schedule'!$B$6:$B$65,"&lt;="&amp;C48)+SUMIFS('Annuity Schedule'!$E$6:$E$65,'Annuity Schedule'!$B$6:$B$65,"&gt;="&amp;B48,'Annuity Schedule'!$B$6:$B$65,"&lt;="&amp;C48)</f>
        <v>0</v>
      </c>
      <c r="F48" s="26" t="n">
        <f aca="false">SUMIFS('Annuity Schedule'!$H$6:$H$65,'Annuity Schedule'!$B$6:$B$65,"&gt;="&amp;B48,'Annuity Schedule'!$B$6:$B$65,"&lt;="&amp;C48)</f>
        <v>0</v>
      </c>
      <c r="G48" s="33" t="n">
        <f aca="false">D48+E48+F48</f>
        <v>0</v>
      </c>
      <c r="H48" s="26" t="n">
        <f aca="false">IF(A48&lt;=Inputs!$C$27,-Inputs!$C$17/Inputs!$C$27,0)</f>
        <v>0</v>
      </c>
      <c r="I48" s="26" t="n">
        <f aca="false">-F48*Inputs!$C$18</f>
        <v>-0</v>
      </c>
      <c r="J48" s="33" t="n">
        <f aca="false">G48+H48+I48</f>
        <v>0</v>
      </c>
    </row>
    <row r="49" customFormat="false" ht="15" hidden="false" customHeight="false" outlineLevel="0" collapsed="false">
      <c r="A49" s="27" t="n">
        <v>44</v>
      </c>
      <c r="B49" s="22" t="n">
        <f aca="false">EDATE(Inputs!$C$7,6*(A49-1))</f>
        <v>53693</v>
      </c>
      <c r="C49" s="22" t="n">
        <f aca="false">EDATE(Inputs!$C$7,6*A49)-1</f>
        <v>53873</v>
      </c>
      <c r="D49" s="26" t="n">
        <f aca="false">SUMIFS(Inputs!$E$31:$E$40,Inputs!$B$31:$B$40,"&gt;="&amp;B49,Inputs!$B$31:$B$40,"&lt;="&amp;C49)</f>
        <v>0</v>
      </c>
      <c r="E49" s="26" t="n">
        <f aca="false">SUMIFS('Annuity Schedule'!$D$6:$D$65,'Annuity Schedule'!$B$6:$B$65,"&gt;="&amp;B49,'Annuity Schedule'!$B$6:$B$65,"&lt;="&amp;C49)+SUMIFS('Annuity Schedule'!$E$6:$E$65,'Annuity Schedule'!$B$6:$B$65,"&gt;="&amp;B49,'Annuity Schedule'!$B$6:$B$65,"&lt;="&amp;C49)</f>
        <v>0</v>
      </c>
      <c r="F49" s="26" t="n">
        <f aca="false">SUMIFS('Annuity Schedule'!$H$6:$H$65,'Annuity Schedule'!$B$6:$B$65,"&gt;="&amp;B49,'Annuity Schedule'!$B$6:$B$65,"&lt;="&amp;C49)</f>
        <v>0</v>
      </c>
      <c r="G49" s="33" t="n">
        <f aca="false">D49+E49+F49</f>
        <v>0</v>
      </c>
      <c r="H49" s="26" t="n">
        <f aca="false">IF(A49&lt;=Inputs!$C$27,-Inputs!$C$17/Inputs!$C$27,0)</f>
        <v>0</v>
      </c>
      <c r="I49" s="26" t="n">
        <f aca="false">-F49*Inputs!$C$18</f>
        <v>-0</v>
      </c>
      <c r="J49" s="33" t="n">
        <f aca="false">G49+H49+I49</f>
        <v>0</v>
      </c>
    </row>
    <row r="50" customFormat="false" ht="15" hidden="false" customHeight="false" outlineLevel="0" collapsed="false">
      <c r="A50" s="27" t="n">
        <v>45</v>
      </c>
      <c r="B50" s="22" t="n">
        <f aca="false">EDATE(Inputs!$C$7,6*(A50-1))</f>
        <v>53874</v>
      </c>
      <c r="C50" s="22" t="n">
        <f aca="false">EDATE(Inputs!$C$7,6*A50)-1</f>
        <v>54057</v>
      </c>
      <c r="D50" s="26" t="n">
        <f aca="false">SUMIFS(Inputs!$E$31:$E$40,Inputs!$B$31:$B$40,"&gt;="&amp;B50,Inputs!$B$31:$B$40,"&lt;="&amp;C50)</f>
        <v>0</v>
      </c>
      <c r="E50" s="26" t="n">
        <f aca="false">SUMIFS('Annuity Schedule'!$D$6:$D$65,'Annuity Schedule'!$B$6:$B$65,"&gt;="&amp;B50,'Annuity Schedule'!$B$6:$B$65,"&lt;="&amp;C50)+SUMIFS('Annuity Schedule'!$E$6:$E$65,'Annuity Schedule'!$B$6:$B$65,"&gt;="&amp;B50,'Annuity Schedule'!$B$6:$B$65,"&lt;="&amp;C50)</f>
        <v>0</v>
      </c>
      <c r="F50" s="26" t="n">
        <f aca="false">SUMIFS('Annuity Schedule'!$H$6:$H$65,'Annuity Schedule'!$B$6:$B$65,"&gt;="&amp;B50,'Annuity Schedule'!$B$6:$B$65,"&lt;="&amp;C50)</f>
        <v>0</v>
      </c>
      <c r="G50" s="33" t="n">
        <f aca="false">D50+E50+F50</f>
        <v>0</v>
      </c>
      <c r="H50" s="26" t="n">
        <f aca="false">IF(A50&lt;=Inputs!$C$27,-Inputs!$C$17/Inputs!$C$27,0)</f>
        <v>0</v>
      </c>
      <c r="I50" s="26" t="n">
        <f aca="false">-F50*Inputs!$C$18</f>
        <v>-0</v>
      </c>
      <c r="J50" s="33" t="n">
        <f aca="false">G50+H50+I50</f>
        <v>0</v>
      </c>
    </row>
    <row r="51" customFormat="false" ht="15" hidden="false" customHeight="false" outlineLevel="0" collapsed="false">
      <c r="A51" s="27" t="n">
        <v>46</v>
      </c>
      <c r="B51" s="22" t="n">
        <f aca="false">EDATE(Inputs!$C$7,6*(A51-1))</f>
        <v>54058</v>
      </c>
      <c r="C51" s="22" t="n">
        <f aca="false">EDATE(Inputs!$C$7,6*A51)-1</f>
        <v>54239</v>
      </c>
      <c r="D51" s="26" t="n">
        <f aca="false">SUMIFS(Inputs!$E$31:$E$40,Inputs!$B$31:$B$40,"&gt;="&amp;B51,Inputs!$B$31:$B$40,"&lt;="&amp;C51)</f>
        <v>0</v>
      </c>
      <c r="E51" s="26" t="n">
        <f aca="false">SUMIFS('Annuity Schedule'!$D$6:$D$65,'Annuity Schedule'!$B$6:$B$65,"&gt;="&amp;B51,'Annuity Schedule'!$B$6:$B$65,"&lt;="&amp;C51)+SUMIFS('Annuity Schedule'!$E$6:$E$65,'Annuity Schedule'!$B$6:$B$65,"&gt;="&amp;B51,'Annuity Schedule'!$B$6:$B$65,"&lt;="&amp;C51)</f>
        <v>0</v>
      </c>
      <c r="F51" s="26" t="n">
        <f aca="false">SUMIFS('Annuity Schedule'!$H$6:$H$65,'Annuity Schedule'!$B$6:$B$65,"&gt;="&amp;B51,'Annuity Schedule'!$B$6:$B$65,"&lt;="&amp;C51)</f>
        <v>0</v>
      </c>
      <c r="G51" s="33" t="n">
        <f aca="false">D51+E51+F51</f>
        <v>0</v>
      </c>
      <c r="H51" s="26" t="n">
        <f aca="false">IF(A51&lt;=Inputs!$C$27,-Inputs!$C$17/Inputs!$C$27,0)</f>
        <v>0</v>
      </c>
      <c r="I51" s="26" t="n">
        <f aca="false">-F51*Inputs!$C$18</f>
        <v>-0</v>
      </c>
      <c r="J51" s="33" t="n">
        <f aca="false">G51+H51+I51</f>
        <v>0</v>
      </c>
    </row>
    <row r="52" customFormat="false" ht="15" hidden="false" customHeight="false" outlineLevel="0" collapsed="false">
      <c r="A52" s="27" t="n">
        <v>47</v>
      </c>
      <c r="B52" s="22" t="n">
        <f aca="false">EDATE(Inputs!$C$7,6*(A52-1))</f>
        <v>54240</v>
      </c>
      <c r="C52" s="22" t="n">
        <f aca="false">EDATE(Inputs!$C$7,6*A52)-1</f>
        <v>54423</v>
      </c>
      <c r="D52" s="26" t="n">
        <f aca="false">SUMIFS(Inputs!$E$31:$E$40,Inputs!$B$31:$B$40,"&gt;="&amp;B52,Inputs!$B$31:$B$40,"&lt;="&amp;C52)</f>
        <v>0</v>
      </c>
      <c r="E52" s="26" t="n">
        <f aca="false">SUMIFS('Annuity Schedule'!$D$6:$D$65,'Annuity Schedule'!$B$6:$B$65,"&gt;="&amp;B52,'Annuity Schedule'!$B$6:$B$65,"&lt;="&amp;C52)+SUMIFS('Annuity Schedule'!$E$6:$E$65,'Annuity Schedule'!$B$6:$B$65,"&gt;="&amp;B52,'Annuity Schedule'!$B$6:$B$65,"&lt;="&amp;C52)</f>
        <v>0</v>
      </c>
      <c r="F52" s="26" t="n">
        <f aca="false">SUMIFS('Annuity Schedule'!$H$6:$H$65,'Annuity Schedule'!$B$6:$B$65,"&gt;="&amp;B52,'Annuity Schedule'!$B$6:$B$65,"&lt;="&amp;C52)</f>
        <v>0</v>
      </c>
      <c r="G52" s="33" t="n">
        <f aca="false">D52+E52+F52</f>
        <v>0</v>
      </c>
      <c r="H52" s="26" t="n">
        <f aca="false">IF(A52&lt;=Inputs!$C$27,-Inputs!$C$17/Inputs!$C$27,0)</f>
        <v>0</v>
      </c>
      <c r="I52" s="26" t="n">
        <f aca="false">-F52*Inputs!$C$18</f>
        <v>-0</v>
      </c>
      <c r="J52" s="33" t="n">
        <f aca="false">G52+H52+I52</f>
        <v>0</v>
      </c>
    </row>
    <row r="53" customFormat="false" ht="15" hidden="false" customHeight="false" outlineLevel="0" collapsed="false">
      <c r="A53" s="27" t="n">
        <v>48</v>
      </c>
      <c r="B53" s="22" t="n">
        <f aca="false">EDATE(Inputs!$C$7,6*(A53-1))</f>
        <v>54424</v>
      </c>
      <c r="C53" s="22" t="n">
        <f aca="false">EDATE(Inputs!$C$7,6*A53)-1</f>
        <v>54604</v>
      </c>
      <c r="D53" s="26" t="n">
        <f aca="false">SUMIFS(Inputs!$E$31:$E$40,Inputs!$B$31:$B$40,"&gt;="&amp;B53,Inputs!$B$31:$B$40,"&lt;="&amp;C53)</f>
        <v>0</v>
      </c>
      <c r="E53" s="26" t="n">
        <f aca="false">SUMIFS('Annuity Schedule'!$D$6:$D$65,'Annuity Schedule'!$B$6:$B$65,"&gt;="&amp;B53,'Annuity Schedule'!$B$6:$B$65,"&lt;="&amp;C53)+SUMIFS('Annuity Schedule'!$E$6:$E$65,'Annuity Schedule'!$B$6:$B$65,"&gt;="&amp;B53,'Annuity Schedule'!$B$6:$B$65,"&lt;="&amp;C53)</f>
        <v>0</v>
      </c>
      <c r="F53" s="26" t="n">
        <f aca="false">SUMIFS('Annuity Schedule'!$H$6:$H$65,'Annuity Schedule'!$B$6:$B$65,"&gt;="&amp;B53,'Annuity Schedule'!$B$6:$B$65,"&lt;="&amp;C53)</f>
        <v>0</v>
      </c>
      <c r="G53" s="33" t="n">
        <f aca="false">D53+E53+F53</f>
        <v>0</v>
      </c>
      <c r="H53" s="26" t="n">
        <f aca="false">IF(A53&lt;=Inputs!$C$27,-Inputs!$C$17/Inputs!$C$27,0)</f>
        <v>0</v>
      </c>
      <c r="I53" s="26" t="n">
        <f aca="false">-F53*Inputs!$C$18</f>
        <v>-0</v>
      </c>
      <c r="J53" s="33" t="n">
        <f aca="false">G53+H53+I53</f>
        <v>0</v>
      </c>
    </row>
    <row r="54" customFormat="false" ht="15" hidden="false" customHeight="false" outlineLevel="0" collapsed="false">
      <c r="A54" s="27" t="n">
        <v>49</v>
      </c>
      <c r="B54" s="22" t="n">
        <f aca="false">EDATE(Inputs!$C$7,6*(A54-1))</f>
        <v>54605</v>
      </c>
      <c r="C54" s="22" t="n">
        <f aca="false">EDATE(Inputs!$C$7,6*A54)-1</f>
        <v>54788</v>
      </c>
      <c r="D54" s="26" t="n">
        <f aca="false">SUMIFS(Inputs!$E$31:$E$40,Inputs!$B$31:$B$40,"&gt;="&amp;B54,Inputs!$B$31:$B$40,"&lt;="&amp;C54)</f>
        <v>0</v>
      </c>
      <c r="E54" s="26" t="n">
        <f aca="false">SUMIFS('Annuity Schedule'!$D$6:$D$65,'Annuity Schedule'!$B$6:$B$65,"&gt;="&amp;B54,'Annuity Schedule'!$B$6:$B$65,"&lt;="&amp;C54)+SUMIFS('Annuity Schedule'!$E$6:$E$65,'Annuity Schedule'!$B$6:$B$65,"&gt;="&amp;B54,'Annuity Schedule'!$B$6:$B$65,"&lt;="&amp;C54)</f>
        <v>0</v>
      </c>
      <c r="F54" s="26" t="n">
        <f aca="false">SUMIFS('Annuity Schedule'!$H$6:$H$65,'Annuity Schedule'!$B$6:$B$65,"&gt;="&amp;B54,'Annuity Schedule'!$B$6:$B$65,"&lt;="&amp;C54)</f>
        <v>0</v>
      </c>
      <c r="G54" s="33" t="n">
        <f aca="false">D54+E54+F54</f>
        <v>0</v>
      </c>
      <c r="H54" s="26" t="n">
        <f aca="false">IF(A54&lt;=Inputs!$C$27,-Inputs!$C$17/Inputs!$C$27,0)</f>
        <v>0</v>
      </c>
      <c r="I54" s="26" t="n">
        <f aca="false">-F54*Inputs!$C$18</f>
        <v>-0</v>
      </c>
      <c r="J54" s="33" t="n">
        <f aca="false">G54+H54+I54</f>
        <v>0</v>
      </c>
    </row>
    <row r="55" customFormat="false" ht="15" hidden="false" customHeight="false" outlineLevel="0" collapsed="false">
      <c r="A55" s="27" t="n">
        <v>50</v>
      </c>
      <c r="B55" s="22" t="n">
        <f aca="false">EDATE(Inputs!$C$7,6*(A55-1))</f>
        <v>54789</v>
      </c>
      <c r="C55" s="22" t="n">
        <f aca="false">EDATE(Inputs!$C$7,6*A55)-1</f>
        <v>54969</v>
      </c>
      <c r="D55" s="26" t="n">
        <f aca="false">SUMIFS(Inputs!$E$31:$E$40,Inputs!$B$31:$B$40,"&gt;="&amp;B55,Inputs!$B$31:$B$40,"&lt;="&amp;C55)</f>
        <v>0</v>
      </c>
      <c r="E55" s="26" t="n">
        <f aca="false">SUMIFS('Annuity Schedule'!$D$6:$D$65,'Annuity Schedule'!$B$6:$B$65,"&gt;="&amp;B55,'Annuity Schedule'!$B$6:$B$65,"&lt;="&amp;C55)+SUMIFS('Annuity Schedule'!$E$6:$E$65,'Annuity Schedule'!$B$6:$B$65,"&gt;="&amp;B55,'Annuity Schedule'!$B$6:$B$65,"&lt;="&amp;C55)</f>
        <v>0</v>
      </c>
      <c r="F55" s="26" t="n">
        <f aca="false">SUMIFS('Annuity Schedule'!$H$6:$H$65,'Annuity Schedule'!$B$6:$B$65,"&gt;="&amp;B55,'Annuity Schedule'!$B$6:$B$65,"&lt;="&amp;C55)</f>
        <v>0</v>
      </c>
      <c r="G55" s="33" t="n">
        <f aca="false">D55+E55+F55</f>
        <v>0</v>
      </c>
      <c r="H55" s="26" t="n">
        <f aca="false">IF(A55&lt;=Inputs!$C$27,-Inputs!$C$17/Inputs!$C$27,0)</f>
        <v>0</v>
      </c>
      <c r="I55" s="26" t="n">
        <f aca="false">-F55*Inputs!$C$18</f>
        <v>-0</v>
      </c>
      <c r="J55" s="33" t="n">
        <f aca="false">G55+H55+I55</f>
        <v>0</v>
      </c>
    </row>
    <row r="56" customFormat="false" ht="15" hidden="false" customHeight="false" outlineLevel="0" collapsed="false">
      <c r="A56" s="27" t="n">
        <v>51</v>
      </c>
      <c r="B56" s="22" t="n">
        <f aca="false">EDATE(Inputs!$C$7,6*(A56-1))</f>
        <v>54970</v>
      </c>
      <c r="C56" s="22" t="n">
        <f aca="false">EDATE(Inputs!$C$7,6*A56)-1</f>
        <v>55153</v>
      </c>
      <c r="D56" s="26" t="n">
        <f aca="false">SUMIFS(Inputs!$E$31:$E$40,Inputs!$B$31:$B$40,"&gt;="&amp;B56,Inputs!$B$31:$B$40,"&lt;="&amp;C56)</f>
        <v>0</v>
      </c>
      <c r="E56" s="26" t="n">
        <f aca="false">SUMIFS('Annuity Schedule'!$D$6:$D$65,'Annuity Schedule'!$B$6:$B$65,"&gt;="&amp;B56,'Annuity Schedule'!$B$6:$B$65,"&lt;="&amp;C56)+SUMIFS('Annuity Schedule'!$E$6:$E$65,'Annuity Schedule'!$B$6:$B$65,"&gt;="&amp;B56,'Annuity Schedule'!$B$6:$B$65,"&lt;="&amp;C56)</f>
        <v>0</v>
      </c>
      <c r="F56" s="26" t="n">
        <f aca="false">SUMIFS('Annuity Schedule'!$H$6:$H$65,'Annuity Schedule'!$B$6:$B$65,"&gt;="&amp;B56,'Annuity Schedule'!$B$6:$B$65,"&lt;="&amp;C56)</f>
        <v>0</v>
      </c>
      <c r="G56" s="33" t="n">
        <f aca="false">D56+E56+F56</f>
        <v>0</v>
      </c>
      <c r="H56" s="26" t="n">
        <f aca="false">IF(A56&lt;=Inputs!$C$27,-Inputs!$C$17/Inputs!$C$27,0)</f>
        <v>0</v>
      </c>
      <c r="I56" s="26" t="n">
        <f aca="false">-F56*Inputs!$C$18</f>
        <v>-0</v>
      </c>
      <c r="J56" s="33" t="n">
        <f aca="false">G56+H56+I56</f>
        <v>0</v>
      </c>
    </row>
    <row r="57" customFormat="false" ht="15" hidden="false" customHeight="false" outlineLevel="0" collapsed="false">
      <c r="A57" s="27" t="n">
        <v>52</v>
      </c>
      <c r="B57" s="22" t="n">
        <f aca="false">EDATE(Inputs!$C$7,6*(A57-1))</f>
        <v>55154</v>
      </c>
      <c r="C57" s="22" t="n">
        <f aca="false">EDATE(Inputs!$C$7,6*A57)-1</f>
        <v>55334</v>
      </c>
      <c r="D57" s="26" t="n">
        <f aca="false">SUMIFS(Inputs!$E$31:$E$40,Inputs!$B$31:$B$40,"&gt;="&amp;B57,Inputs!$B$31:$B$40,"&lt;="&amp;C57)</f>
        <v>0</v>
      </c>
      <c r="E57" s="26" t="n">
        <f aca="false">SUMIFS('Annuity Schedule'!$D$6:$D$65,'Annuity Schedule'!$B$6:$B$65,"&gt;="&amp;B57,'Annuity Schedule'!$B$6:$B$65,"&lt;="&amp;C57)+SUMIFS('Annuity Schedule'!$E$6:$E$65,'Annuity Schedule'!$B$6:$B$65,"&gt;="&amp;B57,'Annuity Schedule'!$B$6:$B$65,"&lt;="&amp;C57)</f>
        <v>0</v>
      </c>
      <c r="F57" s="26" t="n">
        <f aca="false">SUMIFS('Annuity Schedule'!$H$6:$H$65,'Annuity Schedule'!$B$6:$B$65,"&gt;="&amp;B57,'Annuity Schedule'!$B$6:$B$65,"&lt;="&amp;C57)</f>
        <v>0</v>
      </c>
      <c r="G57" s="33" t="n">
        <f aca="false">D57+E57+F57</f>
        <v>0</v>
      </c>
      <c r="H57" s="26" t="n">
        <f aca="false">IF(A57&lt;=Inputs!$C$27,-Inputs!$C$17/Inputs!$C$27,0)</f>
        <v>0</v>
      </c>
      <c r="I57" s="26" t="n">
        <f aca="false">-F57*Inputs!$C$18</f>
        <v>-0</v>
      </c>
      <c r="J57" s="33" t="n">
        <f aca="false">G57+H57+I57</f>
        <v>0</v>
      </c>
    </row>
    <row r="58" customFormat="false" ht="15" hidden="false" customHeight="false" outlineLevel="0" collapsed="false">
      <c r="A58" s="27" t="n">
        <v>53</v>
      </c>
      <c r="B58" s="22" t="n">
        <f aca="false">EDATE(Inputs!$C$7,6*(A58-1))</f>
        <v>55335</v>
      </c>
      <c r="C58" s="22" t="n">
        <f aca="false">EDATE(Inputs!$C$7,6*A58)-1</f>
        <v>55518</v>
      </c>
      <c r="D58" s="26" t="n">
        <f aca="false">SUMIFS(Inputs!$E$31:$E$40,Inputs!$B$31:$B$40,"&gt;="&amp;B58,Inputs!$B$31:$B$40,"&lt;="&amp;C58)</f>
        <v>0</v>
      </c>
      <c r="E58" s="26" t="n">
        <f aca="false">SUMIFS('Annuity Schedule'!$D$6:$D$65,'Annuity Schedule'!$B$6:$B$65,"&gt;="&amp;B58,'Annuity Schedule'!$B$6:$B$65,"&lt;="&amp;C58)+SUMIFS('Annuity Schedule'!$E$6:$E$65,'Annuity Schedule'!$B$6:$B$65,"&gt;="&amp;B58,'Annuity Schedule'!$B$6:$B$65,"&lt;="&amp;C58)</f>
        <v>0</v>
      </c>
      <c r="F58" s="26" t="n">
        <f aca="false">SUMIFS('Annuity Schedule'!$H$6:$H$65,'Annuity Schedule'!$B$6:$B$65,"&gt;="&amp;B58,'Annuity Schedule'!$B$6:$B$65,"&lt;="&amp;C58)</f>
        <v>0</v>
      </c>
      <c r="G58" s="33" t="n">
        <f aca="false">D58+E58+F58</f>
        <v>0</v>
      </c>
      <c r="H58" s="26" t="n">
        <f aca="false">IF(A58&lt;=Inputs!$C$27,-Inputs!$C$17/Inputs!$C$27,0)</f>
        <v>0</v>
      </c>
      <c r="I58" s="26" t="n">
        <f aca="false">-F58*Inputs!$C$18</f>
        <v>-0</v>
      </c>
      <c r="J58" s="33" t="n">
        <f aca="false">G58+H58+I58</f>
        <v>0</v>
      </c>
    </row>
    <row r="59" customFormat="false" ht="15" hidden="false" customHeight="false" outlineLevel="0" collapsed="false">
      <c r="A59" s="27" t="n">
        <v>54</v>
      </c>
      <c r="B59" s="22" t="n">
        <f aca="false">EDATE(Inputs!$C$7,6*(A59-1))</f>
        <v>55519</v>
      </c>
      <c r="C59" s="22" t="n">
        <f aca="false">EDATE(Inputs!$C$7,6*A59)-1</f>
        <v>55700</v>
      </c>
      <c r="D59" s="26" t="n">
        <f aca="false">SUMIFS(Inputs!$E$31:$E$40,Inputs!$B$31:$B$40,"&gt;="&amp;B59,Inputs!$B$31:$B$40,"&lt;="&amp;C59)</f>
        <v>0</v>
      </c>
      <c r="E59" s="26" t="n">
        <f aca="false">SUMIFS('Annuity Schedule'!$D$6:$D$65,'Annuity Schedule'!$B$6:$B$65,"&gt;="&amp;B59,'Annuity Schedule'!$B$6:$B$65,"&lt;="&amp;C59)+SUMIFS('Annuity Schedule'!$E$6:$E$65,'Annuity Schedule'!$B$6:$B$65,"&gt;="&amp;B59,'Annuity Schedule'!$B$6:$B$65,"&lt;="&amp;C59)</f>
        <v>0</v>
      </c>
      <c r="F59" s="26" t="n">
        <f aca="false">SUMIFS('Annuity Schedule'!$H$6:$H$65,'Annuity Schedule'!$B$6:$B$65,"&gt;="&amp;B59,'Annuity Schedule'!$B$6:$B$65,"&lt;="&amp;C59)</f>
        <v>0</v>
      </c>
      <c r="G59" s="33" t="n">
        <f aca="false">D59+E59+F59</f>
        <v>0</v>
      </c>
      <c r="H59" s="26" t="n">
        <f aca="false">IF(A59&lt;=Inputs!$C$27,-Inputs!$C$17/Inputs!$C$27,0)</f>
        <v>0</v>
      </c>
      <c r="I59" s="26" t="n">
        <f aca="false">-F59*Inputs!$C$18</f>
        <v>-0</v>
      </c>
      <c r="J59" s="33" t="n">
        <f aca="false">G59+H59+I59</f>
        <v>0</v>
      </c>
    </row>
    <row r="60" customFormat="false" ht="15" hidden="false" customHeight="false" outlineLevel="0" collapsed="false">
      <c r="A60" s="27" t="n">
        <v>55</v>
      </c>
      <c r="B60" s="22" t="n">
        <f aca="false">EDATE(Inputs!$C$7,6*(A60-1))</f>
        <v>55701</v>
      </c>
      <c r="C60" s="22" t="n">
        <f aca="false">EDATE(Inputs!$C$7,6*A60)-1</f>
        <v>55884</v>
      </c>
      <c r="D60" s="26" t="n">
        <f aca="false">SUMIFS(Inputs!$E$31:$E$40,Inputs!$B$31:$B$40,"&gt;="&amp;B60,Inputs!$B$31:$B$40,"&lt;="&amp;C60)</f>
        <v>0</v>
      </c>
      <c r="E60" s="26" t="n">
        <f aca="false">SUMIFS('Annuity Schedule'!$D$6:$D$65,'Annuity Schedule'!$B$6:$B$65,"&gt;="&amp;B60,'Annuity Schedule'!$B$6:$B$65,"&lt;="&amp;C60)+SUMIFS('Annuity Schedule'!$E$6:$E$65,'Annuity Schedule'!$B$6:$B$65,"&gt;="&amp;B60,'Annuity Schedule'!$B$6:$B$65,"&lt;="&amp;C60)</f>
        <v>0</v>
      </c>
      <c r="F60" s="26" t="n">
        <f aca="false">SUMIFS('Annuity Schedule'!$H$6:$H$65,'Annuity Schedule'!$B$6:$B$65,"&gt;="&amp;B60,'Annuity Schedule'!$B$6:$B$65,"&lt;="&amp;C60)</f>
        <v>0</v>
      </c>
      <c r="G60" s="33" t="n">
        <f aca="false">D60+E60+F60</f>
        <v>0</v>
      </c>
      <c r="H60" s="26" t="n">
        <f aca="false">IF(A60&lt;=Inputs!$C$27,-Inputs!$C$17/Inputs!$C$27,0)</f>
        <v>0</v>
      </c>
      <c r="I60" s="26" t="n">
        <f aca="false">-F60*Inputs!$C$18</f>
        <v>-0</v>
      </c>
      <c r="J60" s="33" t="n">
        <f aca="false">G60+H60+I60</f>
        <v>0</v>
      </c>
    </row>
    <row r="61" customFormat="false" ht="15" hidden="false" customHeight="false" outlineLevel="0" collapsed="false">
      <c r="A61" s="27" t="n">
        <v>56</v>
      </c>
      <c r="B61" s="22" t="n">
        <f aca="false">EDATE(Inputs!$C$7,6*(A61-1))</f>
        <v>55885</v>
      </c>
      <c r="C61" s="22" t="n">
        <f aca="false">EDATE(Inputs!$C$7,6*A61)-1</f>
        <v>56065</v>
      </c>
      <c r="D61" s="26" t="n">
        <f aca="false">SUMIFS(Inputs!$E$31:$E$40,Inputs!$B$31:$B$40,"&gt;="&amp;B61,Inputs!$B$31:$B$40,"&lt;="&amp;C61)</f>
        <v>0</v>
      </c>
      <c r="E61" s="26" t="n">
        <f aca="false">SUMIFS('Annuity Schedule'!$D$6:$D$65,'Annuity Schedule'!$B$6:$B$65,"&gt;="&amp;B61,'Annuity Schedule'!$B$6:$B$65,"&lt;="&amp;C61)+SUMIFS('Annuity Schedule'!$E$6:$E$65,'Annuity Schedule'!$B$6:$B$65,"&gt;="&amp;B61,'Annuity Schedule'!$B$6:$B$65,"&lt;="&amp;C61)</f>
        <v>0</v>
      </c>
      <c r="F61" s="26" t="n">
        <f aca="false">SUMIFS('Annuity Schedule'!$H$6:$H$65,'Annuity Schedule'!$B$6:$B$65,"&gt;="&amp;B61,'Annuity Schedule'!$B$6:$B$65,"&lt;="&amp;C61)</f>
        <v>0</v>
      </c>
      <c r="G61" s="33" t="n">
        <f aca="false">D61+E61+F61</f>
        <v>0</v>
      </c>
      <c r="H61" s="26" t="n">
        <f aca="false">IF(A61&lt;=Inputs!$C$27,-Inputs!$C$17/Inputs!$C$27,0)</f>
        <v>0</v>
      </c>
      <c r="I61" s="26" t="n">
        <f aca="false">-F61*Inputs!$C$18</f>
        <v>-0</v>
      </c>
      <c r="J61" s="33" t="n">
        <f aca="false">G61+H61+I61</f>
        <v>0</v>
      </c>
    </row>
    <row r="62" customFormat="false" ht="15" hidden="false" customHeight="false" outlineLevel="0" collapsed="false">
      <c r="A62" s="27" t="n">
        <v>57</v>
      </c>
      <c r="B62" s="22" t="n">
        <f aca="false">EDATE(Inputs!$C$7,6*(A62-1))</f>
        <v>56066</v>
      </c>
      <c r="C62" s="22" t="n">
        <f aca="false">EDATE(Inputs!$C$7,6*A62)-1</f>
        <v>56249</v>
      </c>
      <c r="D62" s="26" t="n">
        <f aca="false">SUMIFS(Inputs!$E$31:$E$40,Inputs!$B$31:$B$40,"&gt;="&amp;B62,Inputs!$B$31:$B$40,"&lt;="&amp;C62)</f>
        <v>0</v>
      </c>
      <c r="E62" s="26" t="n">
        <f aca="false">SUMIFS('Annuity Schedule'!$D$6:$D$65,'Annuity Schedule'!$B$6:$B$65,"&gt;="&amp;B62,'Annuity Schedule'!$B$6:$B$65,"&lt;="&amp;C62)+SUMIFS('Annuity Schedule'!$E$6:$E$65,'Annuity Schedule'!$B$6:$B$65,"&gt;="&amp;B62,'Annuity Schedule'!$B$6:$B$65,"&lt;="&amp;C62)</f>
        <v>0</v>
      </c>
      <c r="F62" s="26" t="n">
        <f aca="false">SUMIFS('Annuity Schedule'!$H$6:$H$65,'Annuity Schedule'!$B$6:$B$65,"&gt;="&amp;B62,'Annuity Schedule'!$B$6:$B$65,"&lt;="&amp;C62)</f>
        <v>0</v>
      </c>
      <c r="G62" s="33" t="n">
        <f aca="false">D62+E62+F62</f>
        <v>0</v>
      </c>
      <c r="H62" s="26" t="n">
        <f aca="false">IF(A62&lt;=Inputs!$C$27,-Inputs!$C$17/Inputs!$C$27,0)</f>
        <v>0</v>
      </c>
      <c r="I62" s="26" t="n">
        <f aca="false">-F62*Inputs!$C$18</f>
        <v>-0</v>
      </c>
      <c r="J62" s="33" t="n">
        <f aca="false">G62+H62+I62</f>
        <v>0</v>
      </c>
    </row>
    <row r="63" customFormat="false" ht="15" hidden="false" customHeight="false" outlineLevel="0" collapsed="false">
      <c r="A63" s="27" t="n">
        <v>58</v>
      </c>
      <c r="B63" s="22" t="n">
        <f aca="false">EDATE(Inputs!$C$7,6*(A63-1))</f>
        <v>56250</v>
      </c>
      <c r="C63" s="22" t="n">
        <f aca="false">EDATE(Inputs!$C$7,6*A63)-1</f>
        <v>56430</v>
      </c>
      <c r="D63" s="26" t="n">
        <f aca="false">SUMIFS(Inputs!$E$31:$E$40,Inputs!$B$31:$B$40,"&gt;="&amp;B63,Inputs!$B$31:$B$40,"&lt;="&amp;C63)</f>
        <v>0</v>
      </c>
      <c r="E63" s="26" t="n">
        <f aca="false">SUMIFS('Annuity Schedule'!$D$6:$D$65,'Annuity Schedule'!$B$6:$B$65,"&gt;="&amp;B63,'Annuity Schedule'!$B$6:$B$65,"&lt;="&amp;C63)+SUMIFS('Annuity Schedule'!$E$6:$E$65,'Annuity Schedule'!$B$6:$B$65,"&gt;="&amp;B63,'Annuity Schedule'!$B$6:$B$65,"&lt;="&amp;C63)</f>
        <v>0</v>
      </c>
      <c r="F63" s="26" t="n">
        <f aca="false">SUMIFS('Annuity Schedule'!$H$6:$H$65,'Annuity Schedule'!$B$6:$B$65,"&gt;="&amp;B63,'Annuity Schedule'!$B$6:$B$65,"&lt;="&amp;C63)</f>
        <v>0</v>
      </c>
      <c r="G63" s="33" t="n">
        <f aca="false">D63+E63+F63</f>
        <v>0</v>
      </c>
      <c r="H63" s="26" t="n">
        <f aca="false">IF(A63&lt;=Inputs!$C$27,-Inputs!$C$17/Inputs!$C$27,0)</f>
        <v>0</v>
      </c>
      <c r="I63" s="26" t="n">
        <f aca="false">-F63*Inputs!$C$18</f>
        <v>-0</v>
      </c>
      <c r="J63" s="33" t="n">
        <f aca="false">G63+H63+I63</f>
        <v>0</v>
      </c>
    </row>
    <row r="64" customFormat="false" ht="15" hidden="false" customHeight="false" outlineLevel="0" collapsed="false">
      <c r="A64" s="27" t="n">
        <v>59</v>
      </c>
      <c r="B64" s="22" t="n">
        <f aca="false">EDATE(Inputs!$C$7,6*(A64-1))</f>
        <v>56431</v>
      </c>
      <c r="C64" s="22" t="n">
        <f aca="false">EDATE(Inputs!$C$7,6*A64)-1</f>
        <v>56614</v>
      </c>
      <c r="D64" s="26" t="n">
        <f aca="false">SUMIFS(Inputs!$E$31:$E$40,Inputs!$B$31:$B$40,"&gt;="&amp;B64,Inputs!$B$31:$B$40,"&lt;="&amp;C64)</f>
        <v>0</v>
      </c>
      <c r="E64" s="26" t="n">
        <f aca="false">SUMIFS('Annuity Schedule'!$D$6:$D$65,'Annuity Schedule'!$B$6:$B$65,"&gt;="&amp;B64,'Annuity Schedule'!$B$6:$B$65,"&lt;="&amp;C64)+SUMIFS('Annuity Schedule'!$E$6:$E$65,'Annuity Schedule'!$B$6:$B$65,"&gt;="&amp;B64,'Annuity Schedule'!$B$6:$B$65,"&lt;="&amp;C64)</f>
        <v>0</v>
      </c>
      <c r="F64" s="26" t="n">
        <f aca="false">SUMIFS('Annuity Schedule'!$H$6:$H$65,'Annuity Schedule'!$B$6:$B$65,"&gt;="&amp;B64,'Annuity Schedule'!$B$6:$B$65,"&lt;="&amp;C64)</f>
        <v>0</v>
      </c>
      <c r="G64" s="33" t="n">
        <f aca="false">D64+E64+F64</f>
        <v>0</v>
      </c>
      <c r="H64" s="26" t="n">
        <f aca="false">IF(A64&lt;=Inputs!$C$27,-Inputs!$C$17/Inputs!$C$27,0)</f>
        <v>0</v>
      </c>
      <c r="I64" s="26" t="n">
        <f aca="false">-F64*Inputs!$C$18</f>
        <v>-0</v>
      </c>
      <c r="J64" s="33" t="n">
        <f aca="false">G64+H64+I64</f>
        <v>0</v>
      </c>
    </row>
    <row r="65" customFormat="false" ht="15" hidden="false" customHeight="false" outlineLevel="0" collapsed="false">
      <c r="A65" s="27" t="n">
        <v>60</v>
      </c>
      <c r="B65" s="22" t="n">
        <f aca="false">EDATE(Inputs!$C$7,6*(A65-1))</f>
        <v>56615</v>
      </c>
      <c r="C65" s="22" t="n">
        <f aca="false">EDATE(Inputs!$C$7,6*A65)-1</f>
        <v>56795</v>
      </c>
      <c r="D65" s="26" t="n">
        <f aca="false">SUMIFS(Inputs!$E$31:$E$40,Inputs!$B$31:$B$40,"&gt;="&amp;B65,Inputs!$B$31:$B$40,"&lt;="&amp;C65)</f>
        <v>0</v>
      </c>
      <c r="E65" s="26" t="n">
        <f aca="false">SUMIFS('Annuity Schedule'!$D$6:$D$65,'Annuity Schedule'!$B$6:$B$65,"&gt;="&amp;B65,'Annuity Schedule'!$B$6:$B$65,"&lt;="&amp;C65)+SUMIFS('Annuity Schedule'!$E$6:$E$65,'Annuity Schedule'!$B$6:$B$65,"&gt;="&amp;B65,'Annuity Schedule'!$B$6:$B$65,"&lt;="&amp;C65)</f>
        <v>0</v>
      </c>
      <c r="F65" s="26" t="n">
        <f aca="false">SUMIFS('Annuity Schedule'!$H$6:$H$65,'Annuity Schedule'!$B$6:$B$65,"&gt;="&amp;B65,'Annuity Schedule'!$B$6:$B$65,"&lt;="&amp;C65)</f>
        <v>0</v>
      </c>
      <c r="G65" s="33" t="n">
        <f aca="false">D65+E65+F65</f>
        <v>0</v>
      </c>
      <c r="H65" s="26" t="n">
        <f aca="false">IF(A65&lt;=Inputs!$C$27,-Inputs!$C$17/Inputs!$C$27,0)</f>
        <v>0</v>
      </c>
      <c r="I65" s="26" t="n">
        <f aca="false">-F65*Inputs!$C$18</f>
        <v>-0</v>
      </c>
      <c r="J65" s="33" t="n">
        <f aca="false">G65+H65+I65</f>
        <v>0</v>
      </c>
    </row>
    <row r="66" customFormat="false" ht="15" hidden="false" customHeight="false" outlineLevel="0" collapsed="false">
      <c r="A66" s="27" t="n">
        <v>61</v>
      </c>
      <c r="B66" s="22" t="n">
        <f aca="false">EDATE(Inputs!$C$7,6*(A66-1))</f>
        <v>56796</v>
      </c>
      <c r="C66" s="22" t="n">
        <f aca="false">EDATE(Inputs!$C$7,6*A66)-1</f>
        <v>56979</v>
      </c>
      <c r="D66" s="26" t="n">
        <f aca="false">SUMIFS(Inputs!$E$31:$E$40,Inputs!$B$31:$B$40,"&gt;="&amp;B66,Inputs!$B$31:$B$40,"&lt;="&amp;C66)</f>
        <v>0</v>
      </c>
      <c r="E66" s="26" t="n">
        <f aca="false">SUMIFS('Annuity Schedule'!$D$6:$D$65,'Annuity Schedule'!$B$6:$B$65,"&gt;="&amp;B66,'Annuity Schedule'!$B$6:$B$65,"&lt;="&amp;C66)+SUMIFS('Annuity Schedule'!$E$6:$E$65,'Annuity Schedule'!$B$6:$B$65,"&gt;="&amp;B66,'Annuity Schedule'!$B$6:$B$65,"&lt;="&amp;C66)</f>
        <v>0</v>
      </c>
      <c r="F66" s="26" t="n">
        <f aca="false">SUMIFS('Annuity Schedule'!$H$6:$H$65,'Annuity Schedule'!$B$6:$B$65,"&gt;="&amp;B66,'Annuity Schedule'!$B$6:$B$65,"&lt;="&amp;C66)</f>
        <v>0</v>
      </c>
      <c r="G66" s="33" t="n">
        <f aca="false">D66+E66+F66</f>
        <v>0</v>
      </c>
      <c r="H66" s="26" t="n">
        <f aca="false">IF(A66&lt;=Inputs!$C$27,-Inputs!$C$17/Inputs!$C$27,0)</f>
        <v>0</v>
      </c>
      <c r="I66" s="26" t="n">
        <f aca="false">-F66*Inputs!$C$18</f>
        <v>-0</v>
      </c>
      <c r="J66" s="33" t="n">
        <f aca="false">G66+H66+I66</f>
        <v>0</v>
      </c>
    </row>
    <row r="67" customFormat="false" ht="15" hidden="false" customHeight="false" outlineLevel="0" collapsed="false">
      <c r="A67" s="27" t="n">
        <v>62</v>
      </c>
      <c r="B67" s="22" t="n">
        <f aca="false">EDATE(Inputs!$C$7,6*(A67-1))</f>
        <v>56980</v>
      </c>
      <c r="C67" s="22" t="n">
        <f aca="false">EDATE(Inputs!$C$7,6*A67)-1</f>
        <v>57161</v>
      </c>
      <c r="D67" s="26" t="n">
        <f aca="false">SUMIFS(Inputs!$E$31:$E$40,Inputs!$B$31:$B$40,"&gt;="&amp;B67,Inputs!$B$31:$B$40,"&lt;="&amp;C67)</f>
        <v>0</v>
      </c>
      <c r="E67" s="26" t="n">
        <f aca="false">SUMIFS('Annuity Schedule'!$D$6:$D$65,'Annuity Schedule'!$B$6:$B$65,"&gt;="&amp;B67,'Annuity Schedule'!$B$6:$B$65,"&lt;="&amp;C67)+SUMIFS('Annuity Schedule'!$E$6:$E$65,'Annuity Schedule'!$B$6:$B$65,"&gt;="&amp;B67,'Annuity Schedule'!$B$6:$B$65,"&lt;="&amp;C67)</f>
        <v>0</v>
      </c>
      <c r="F67" s="26" t="n">
        <f aca="false">SUMIFS('Annuity Schedule'!$H$6:$H$65,'Annuity Schedule'!$B$6:$B$65,"&gt;="&amp;B67,'Annuity Schedule'!$B$6:$B$65,"&lt;="&amp;C67)</f>
        <v>0</v>
      </c>
      <c r="G67" s="33" t="n">
        <f aca="false">D67+E67+F67</f>
        <v>0</v>
      </c>
      <c r="H67" s="26" t="n">
        <f aca="false">IF(A67&lt;=Inputs!$C$27,-Inputs!$C$17/Inputs!$C$27,0)</f>
        <v>0</v>
      </c>
      <c r="I67" s="26" t="n">
        <f aca="false">-F67*Inputs!$C$18</f>
        <v>-0</v>
      </c>
      <c r="J67" s="33" t="n">
        <f aca="false">G67+H67+I67</f>
        <v>0</v>
      </c>
    </row>
    <row r="68" customFormat="false" ht="15" hidden="false" customHeight="false" outlineLevel="0" collapsed="false">
      <c r="A68" s="27" t="n">
        <v>63</v>
      </c>
      <c r="B68" s="22" t="n">
        <f aca="false">EDATE(Inputs!$C$7,6*(A68-1))</f>
        <v>57162</v>
      </c>
      <c r="C68" s="22" t="n">
        <f aca="false">EDATE(Inputs!$C$7,6*A68)-1</f>
        <v>57345</v>
      </c>
      <c r="D68" s="26" t="n">
        <f aca="false">SUMIFS(Inputs!$E$31:$E$40,Inputs!$B$31:$B$40,"&gt;="&amp;B68,Inputs!$B$31:$B$40,"&lt;="&amp;C68)</f>
        <v>0</v>
      </c>
      <c r="E68" s="26" t="n">
        <f aca="false">SUMIFS('Annuity Schedule'!$D$6:$D$65,'Annuity Schedule'!$B$6:$B$65,"&gt;="&amp;B68,'Annuity Schedule'!$B$6:$B$65,"&lt;="&amp;C68)+SUMIFS('Annuity Schedule'!$E$6:$E$65,'Annuity Schedule'!$B$6:$B$65,"&gt;="&amp;B68,'Annuity Schedule'!$B$6:$B$65,"&lt;="&amp;C68)</f>
        <v>0</v>
      </c>
      <c r="F68" s="26" t="n">
        <f aca="false">SUMIFS('Annuity Schedule'!$H$6:$H$65,'Annuity Schedule'!$B$6:$B$65,"&gt;="&amp;B68,'Annuity Schedule'!$B$6:$B$65,"&lt;="&amp;C68)</f>
        <v>0</v>
      </c>
      <c r="G68" s="33" t="n">
        <f aca="false">D68+E68+F68</f>
        <v>0</v>
      </c>
      <c r="H68" s="26" t="n">
        <f aca="false">IF(A68&lt;=Inputs!$C$27,-Inputs!$C$17/Inputs!$C$27,0)</f>
        <v>0</v>
      </c>
      <c r="I68" s="26" t="n">
        <f aca="false">-F68*Inputs!$C$18</f>
        <v>-0</v>
      </c>
      <c r="J68" s="33" t="n">
        <f aca="false">G68+H68+I68</f>
        <v>0</v>
      </c>
    </row>
    <row r="69" customFormat="false" ht="15" hidden="false" customHeight="false" outlineLevel="0" collapsed="false">
      <c r="A69" s="27" t="n">
        <v>64</v>
      </c>
      <c r="B69" s="22" t="n">
        <f aca="false">EDATE(Inputs!$C$7,6*(A69-1))</f>
        <v>57346</v>
      </c>
      <c r="C69" s="22" t="n">
        <f aca="false">EDATE(Inputs!$C$7,6*A69)-1</f>
        <v>57526</v>
      </c>
      <c r="D69" s="26" t="n">
        <f aca="false">SUMIFS(Inputs!$E$31:$E$40,Inputs!$B$31:$B$40,"&gt;="&amp;B69,Inputs!$B$31:$B$40,"&lt;="&amp;C69)</f>
        <v>0</v>
      </c>
      <c r="E69" s="26" t="n">
        <f aca="false">SUMIFS('Annuity Schedule'!$D$6:$D$65,'Annuity Schedule'!$B$6:$B$65,"&gt;="&amp;B69,'Annuity Schedule'!$B$6:$B$65,"&lt;="&amp;C69)+SUMIFS('Annuity Schedule'!$E$6:$E$65,'Annuity Schedule'!$B$6:$B$65,"&gt;="&amp;B69,'Annuity Schedule'!$B$6:$B$65,"&lt;="&amp;C69)</f>
        <v>0</v>
      </c>
      <c r="F69" s="26" t="n">
        <f aca="false">SUMIFS('Annuity Schedule'!$H$6:$H$65,'Annuity Schedule'!$B$6:$B$65,"&gt;="&amp;B69,'Annuity Schedule'!$B$6:$B$65,"&lt;="&amp;C69)</f>
        <v>0</v>
      </c>
      <c r="G69" s="33" t="n">
        <f aca="false">D69+E69+F69</f>
        <v>0</v>
      </c>
      <c r="H69" s="26" t="n">
        <f aca="false">IF(A69&lt;=Inputs!$C$27,-Inputs!$C$17/Inputs!$C$27,0)</f>
        <v>0</v>
      </c>
      <c r="I69" s="26" t="n">
        <f aca="false">-F69*Inputs!$C$18</f>
        <v>-0</v>
      </c>
      <c r="J69" s="33" t="n">
        <f aca="false">G69+H69+I69</f>
        <v>0</v>
      </c>
    </row>
    <row r="70" customFormat="false" ht="15" hidden="false" customHeight="false" outlineLevel="0" collapsed="false">
      <c r="A70" s="27" t="n">
        <v>65</v>
      </c>
      <c r="B70" s="22" t="n">
        <f aca="false">EDATE(Inputs!$C$7,6*(A70-1))</f>
        <v>57527</v>
      </c>
      <c r="C70" s="22" t="n">
        <f aca="false">EDATE(Inputs!$C$7,6*A70)-1</f>
        <v>57710</v>
      </c>
      <c r="D70" s="26" t="n">
        <f aca="false">SUMIFS(Inputs!$E$31:$E$40,Inputs!$B$31:$B$40,"&gt;="&amp;B70,Inputs!$B$31:$B$40,"&lt;="&amp;C70)</f>
        <v>0</v>
      </c>
      <c r="E70" s="26" t="n">
        <f aca="false">SUMIFS('Annuity Schedule'!$D$6:$D$65,'Annuity Schedule'!$B$6:$B$65,"&gt;="&amp;B70,'Annuity Schedule'!$B$6:$B$65,"&lt;="&amp;C70)+SUMIFS('Annuity Schedule'!$E$6:$E$65,'Annuity Schedule'!$B$6:$B$65,"&gt;="&amp;B70,'Annuity Schedule'!$B$6:$B$65,"&lt;="&amp;C70)</f>
        <v>0</v>
      </c>
      <c r="F70" s="26" t="n">
        <f aca="false">SUMIFS('Annuity Schedule'!$H$6:$H$65,'Annuity Schedule'!$B$6:$B$65,"&gt;="&amp;B70,'Annuity Schedule'!$B$6:$B$65,"&lt;="&amp;C70)</f>
        <v>0</v>
      </c>
      <c r="G70" s="33" t="n">
        <f aca="false">D70+E70+F70</f>
        <v>0</v>
      </c>
      <c r="H70" s="26" t="n">
        <f aca="false">IF(A70&lt;=Inputs!$C$27,-Inputs!$C$17/Inputs!$C$27,0)</f>
        <v>0</v>
      </c>
      <c r="I70" s="26" t="n">
        <f aca="false">-F70*Inputs!$C$18</f>
        <v>-0</v>
      </c>
      <c r="J70" s="33" t="n">
        <f aca="false">G70+H70+I70</f>
        <v>0</v>
      </c>
    </row>
    <row r="71" customFormat="false" ht="15" hidden="false" customHeight="false" outlineLevel="0" collapsed="false">
      <c r="A71" s="27" t="n">
        <v>66</v>
      </c>
      <c r="B71" s="22" t="n">
        <f aca="false">EDATE(Inputs!$C$7,6*(A71-1))</f>
        <v>57711</v>
      </c>
      <c r="C71" s="22" t="n">
        <f aca="false">EDATE(Inputs!$C$7,6*A71)-1</f>
        <v>57891</v>
      </c>
      <c r="D71" s="26" t="n">
        <f aca="false">SUMIFS(Inputs!$E$31:$E$40,Inputs!$B$31:$B$40,"&gt;="&amp;B71,Inputs!$B$31:$B$40,"&lt;="&amp;C71)</f>
        <v>0</v>
      </c>
      <c r="E71" s="26" t="n">
        <f aca="false">SUMIFS('Annuity Schedule'!$D$6:$D$65,'Annuity Schedule'!$B$6:$B$65,"&gt;="&amp;B71,'Annuity Schedule'!$B$6:$B$65,"&lt;="&amp;C71)+SUMIFS('Annuity Schedule'!$E$6:$E$65,'Annuity Schedule'!$B$6:$B$65,"&gt;="&amp;B71,'Annuity Schedule'!$B$6:$B$65,"&lt;="&amp;C71)</f>
        <v>0</v>
      </c>
      <c r="F71" s="26" t="n">
        <f aca="false">SUMIFS('Annuity Schedule'!$H$6:$H$65,'Annuity Schedule'!$B$6:$B$65,"&gt;="&amp;B71,'Annuity Schedule'!$B$6:$B$65,"&lt;="&amp;C71)</f>
        <v>0</v>
      </c>
      <c r="G71" s="33" t="n">
        <f aca="false">D71+E71+F71</f>
        <v>0</v>
      </c>
      <c r="H71" s="26" t="n">
        <f aca="false">IF(A71&lt;=Inputs!$C$27,-Inputs!$C$17/Inputs!$C$27,0)</f>
        <v>0</v>
      </c>
      <c r="I71" s="26" t="n">
        <f aca="false">-F71*Inputs!$C$18</f>
        <v>-0</v>
      </c>
      <c r="J71" s="33" t="n">
        <f aca="false">G71+H71+I71</f>
        <v>0</v>
      </c>
    </row>
    <row r="72" customFormat="false" ht="15" hidden="false" customHeight="false" outlineLevel="0" collapsed="false">
      <c r="A72" s="27" t="n">
        <v>67</v>
      </c>
      <c r="B72" s="22" t="n">
        <f aca="false">EDATE(Inputs!$C$7,6*(A72-1))</f>
        <v>57892</v>
      </c>
      <c r="C72" s="22" t="n">
        <f aca="false">EDATE(Inputs!$C$7,6*A72)-1</f>
        <v>58075</v>
      </c>
      <c r="D72" s="26" t="n">
        <f aca="false">SUMIFS(Inputs!$E$31:$E$40,Inputs!$B$31:$B$40,"&gt;="&amp;B72,Inputs!$B$31:$B$40,"&lt;="&amp;C72)</f>
        <v>0</v>
      </c>
      <c r="E72" s="26" t="n">
        <f aca="false">SUMIFS('Annuity Schedule'!$D$6:$D$65,'Annuity Schedule'!$B$6:$B$65,"&gt;="&amp;B72,'Annuity Schedule'!$B$6:$B$65,"&lt;="&amp;C72)+SUMIFS('Annuity Schedule'!$E$6:$E$65,'Annuity Schedule'!$B$6:$B$65,"&gt;="&amp;B72,'Annuity Schedule'!$B$6:$B$65,"&lt;="&amp;C72)</f>
        <v>0</v>
      </c>
      <c r="F72" s="26" t="n">
        <f aca="false">SUMIFS('Annuity Schedule'!$H$6:$H$65,'Annuity Schedule'!$B$6:$B$65,"&gt;="&amp;B72,'Annuity Schedule'!$B$6:$B$65,"&lt;="&amp;C72)</f>
        <v>0</v>
      </c>
      <c r="G72" s="33" t="n">
        <f aca="false">D72+E72+F72</f>
        <v>0</v>
      </c>
      <c r="H72" s="26" t="n">
        <f aca="false">IF(A72&lt;=Inputs!$C$27,-Inputs!$C$17/Inputs!$C$27,0)</f>
        <v>0</v>
      </c>
      <c r="I72" s="26" t="n">
        <f aca="false">-F72*Inputs!$C$18</f>
        <v>-0</v>
      </c>
      <c r="J72" s="33" t="n">
        <f aca="false">G72+H72+I72</f>
        <v>0</v>
      </c>
    </row>
    <row r="73" customFormat="false" ht="15" hidden="false" customHeight="false" outlineLevel="0" collapsed="false">
      <c r="A73" s="27" t="n">
        <v>68</v>
      </c>
      <c r="B73" s="22" t="n">
        <f aca="false">EDATE(Inputs!$C$7,6*(A73-1))</f>
        <v>58076</v>
      </c>
      <c r="C73" s="22" t="n">
        <f aca="false">EDATE(Inputs!$C$7,6*A73)-1</f>
        <v>58256</v>
      </c>
      <c r="D73" s="26" t="n">
        <f aca="false">SUMIFS(Inputs!$E$31:$E$40,Inputs!$B$31:$B$40,"&gt;="&amp;B73,Inputs!$B$31:$B$40,"&lt;="&amp;C73)</f>
        <v>0</v>
      </c>
      <c r="E73" s="26" t="n">
        <f aca="false">SUMIFS('Annuity Schedule'!$D$6:$D$65,'Annuity Schedule'!$B$6:$B$65,"&gt;="&amp;B73,'Annuity Schedule'!$B$6:$B$65,"&lt;="&amp;C73)+SUMIFS('Annuity Schedule'!$E$6:$E$65,'Annuity Schedule'!$B$6:$B$65,"&gt;="&amp;B73,'Annuity Schedule'!$B$6:$B$65,"&lt;="&amp;C73)</f>
        <v>0</v>
      </c>
      <c r="F73" s="26" t="n">
        <f aca="false">SUMIFS('Annuity Schedule'!$H$6:$H$65,'Annuity Schedule'!$B$6:$B$65,"&gt;="&amp;B73,'Annuity Schedule'!$B$6:$B$65,"&lt;="&amp;C73)</f>
        <v>0</v>
      </c>
      <c r="G73" s="33" t="n">
        <f aca="false">D73+E73+F73</f>
        <v>0</v>
      </c>
      <c r="H73" s="26" t="n">
        <f aca="false">IF(A73&lt;=Inputs!$C$27,-Inputs!$C$17/Inputs!$C$27,0)</f>
        <v>0</v>
      </c>
      <c r="I73" s="26" t="n">
        <f aca="false">-F73*Inputs!$C$18</f>
        <v>-0</v>
      </c>
      <c r="J73" s="33" t="n">
        <f aca="false">G73+H73+I73</f>
        <v>0</v>
      </c>
    </row>
    <row r="74" customFormat="false" ht="15" hidden="false" customHeight="false" outlineLevel="0" collapsed="false">
      <c r="A74" s="27" t="n">
        <v>69</v>
      </c>
      <c r="B74" s="22" t="n">
        <f aca="false">EDATE(Inputs!$C$7,6*(A74-1))</f>
        <v>58257</v>
      </c>
      <c r="C74" s="22" t="n">
        <f aca="false">EDATE(Inputs!$C$7,6*A74)-1</f>
        <v>58440</v>
      </c>
      <c r="D74" s="26" t="n">
        <f aca="false">SUMIFS(Inputs!$E$31:$E$40,Inputs!$B$31:$B$40,"&gt;="&amp;B74,Inputs!$B$31:$B$40,"&lt;="&amp;C74)</f>
        <v>0</v>
      </c>
      <c r="E74" s="26" t="n">
        <f aca="false">SUMIFS('Annuity Schedule'!$D$6:$D$65,'Annuity Schedule'!$B$6:$B$65,"&gt;="&amp;B74,'Annuity Schedule'!$B$6:$B$65,"&lt;="&amp;C74)+SUMIFS('Annuity Schedule'!$E$6:$E$65,'Annuity Schedule'!$B$6:$B$65,"&gt;="&amp;B74,'Annuity Schedule'!$B$6:$B$65,"&lt;="&amp;C74)</f>
        <v>0</v>
      </c>
      <c r="F74" s="26" t="n">
        <f aca="false">SUMIFS('Annuity Schedule'!$H$6:$H$65,'Annuity Schedule'!$B$6:$B$65,"&gt;="&amp;B74,'Annuity Schedule'!$B$6:$B$65,"&lt;="&amp;C74)</f>
        <v>0</v>
      </c>
      <c r="G74" s="33" t="n">
        <f aca="false">D74+E74+F74</f>
        <v>0</v>
      </c>
      <c r="H74" s="26" t="n">
        <f aca="false">IF(A74&lt;=Inputs!$C$27,-Inputs!$C$17/Inputs!$C$27,0)</f>
        <v>0</v>
      </c>
      <c r="I74" s="26" t="n">
        <f aca="false">-F74*Inputs!$C$18</f>
        <v>-0</v>
      </c>
      <c r="J74" s="33" t="n">
        <f aca="false">G74+H74+I74</f>
        <v>0</v>
      </c>
    </row>
    <row r="75" customFormat="false" ht="15" hidden="false" customHeight="false" outlineLevel="0" collapsed="false">
      <c r="A75" s="27" t="n">
        <v>70</v>
      </c>
      <c r="B75" s="22" t="n">
        <f aca="false">EDATE(Inputs!$C$7,6*(A75-1))</f>
        <v>58441</v>
      </c>
      <c r="C75" s="22" t="n">
        <f aca="false">EDATE(Inputs!$C$7,6*A75)-1</f>
        <v>58622</v>
      </c>
      <c r="D75" s="26" t="n">
        <f aca="false">SUMIFS(Inputs!$E$31:$E$40,Inputs!$B$31:$B$40,"&gt;="&amp;B75,Inputs!$B$31:$B$40,"&lt;="&amp;C75)</f>
        <v>0</v>
      </c>
      <c r="E75" s="26" t="n">
        <f aca="false">SUMIFS('Annuity Schedule'!$D$6:$D$65,'Annuity Schedule'!$B$6:$B$65,"&gt;="&amp;B75,'Annuity Schedule'!$B$6:$B$65,"&lt;="&amp;C75)+SUMIFS('Annuity Schedule'!$E$6:$E$65,'Annuity Schedule'!$B$6:$B$65,"&gt;="&amp;B75,'Annuity Schedule'!$B$6:$B$65,"&lt;="&amp;C75)</f>
        <v>0</v>
      </c>
      <c r="F75" s="26" t="n">
        <f aca="false">SUMIFS('Annuity Schedule'!$H$6:$H$65,'Annuity Schedule'!$B$6:$B$65,"&gt;="&amp;B75,'Annuity Schedule'!$B$6:$B$65,"&lt;="&amp;C75)</f>
        <v>0</v>
      </c>
      <c r="G75" s="33" t="n">
        <f aca="false">D75+E75+F75</f>
        <v>0</v>
      </c>
      <c r="H75" s="26" t="n">
        <f aca="false">IF(A75&lt;=Inputs!$C$27,-Inputs!$C$17/Inputs!$C$27,0)</f>
        <v>0</v>
      </c>
      <c r="I75" s="26" t="n">
        <f aca="false">-F75*Inputs!$C$18</f>
        <v>-0</v>
      </c>
      <c r="J75" s="33" t="n">
        <f aca="false">G75+H75+I75</f>
        <v>0</v>
      </c>
    </row>
    <row r="76" customFormat="false" ht="15" hidden="false" customHeight="false" outlineLevel="0" collapsed="false">
      <c r="A76" s="27" t="n">
        <v>71</v>
      </c>
      <c r="B76" s="22" t="n">
        <f aca="false">EDATE(Inputs!$C$7,6*(A76-1))</f>
        <v>58623</v>
      </c>
      <c r="C76" s="22" t="n">
        <f aca="false">EDATE(Inputs!$C$7,6*A76)-1</f>
        <v>58806</v>
      </c>
      <c r="D76" s="26" t="n">
        <f aca="false">SUMIFS(Inputs!$E$31:$E$40,Inputs!$B$31:$B$40,"&gt;="&amp;B76,Inputs!$B$31:$B$40,"&lt;="&amp;C76)</f>
        <v>0</v>
      </c>
      <c r="E76" s="26" t="n">
        <f aca="false">SUMIFS('Annuity Schedule'!$D$6:$D$65,'Annuity Schedule'!$B$6:$B$65,"&gt;="&amp;B76,'Annuity Schedule'!$B$6:$B$65,"&lt;="&amp;C76)+SUMIFS('Annuity Schedule'!$E$6:$E$65,'Annuity Schedule'!$B$6:$B$65,"&gt;="&amp;B76,'Annuity Schedule'!$B$6:$B$65,"&lt;="&amp;C76)</f>
        <v>0</v>
      </c>
      <c r="F76" s="26" t="n">
        <f aca="false">SUMIFS('Annuity Schedule'!$H$6:$H$65,'Annuity Schedule'!$B$6:$B$65,"&gt;="&amp;B76,'Annuity Schedule'!$B$6:$B$65,"&lt;="&amp;C76)</f>
        <v>0</v>
      </c>
      <c r="G76" s="33" t="n">
        <f aca="false">D76+E76+F76</f>
        <v>0</v>
      </c>
      <c r="H76" s="26" t="n">
        <f aca="false">IF(A76&lt;=Inputs!$C$27,-Inputs!$C$17/Inputs!$C$27,0)</f>
        <v>0</v>
      </c>
      <c r="I76" s="26" t="n">
        <f aca="false">-F76*Inputs!$C$18</f>
        <v>-0</v>
      </c>
      <c r="J76" s="33" t="n">
        <f aca="false">G76+H76+I76</f>
        <v>0</v>
      </c>
    </row>
    <row r="77" customFormat="false" ht="15" hidden="false" customHeight="false" outlineLevel="0" collapsed="false">
      <c r="A77" s="27" t="n">
        <v>72</v>
      </c>
      <c r="B77" s="22" t="n">
        <f aca="false">EDATE(Inputs!$C$7,6*(A77-1))</f>
        <v>58807</v>
      </c>
      <c r="C77" s="22" t="n">
        <f aca="false">EDATE(Inputs!$C$7,6*A77)-1</f>
        <v>58987</v>
      </c>
      <c r="D77" s="26" t="n">
        <f aca="false">SUMIFS(Inputs!$E$31:$E$40,Inputs!$B$31:$B$40,"&gt;="&amp;B77,Inputs!$B$31:$B$40,"&lt;="&amp;C77)</f>
        <v>0</v>
      </c>
      <c r="E77" s="26" t="n">
        <f aca="false">SUMIFS('Annuity Schedule'!$D$6:$D$65,'Annuity Schedule'!$B$6:$B$65,"&gt;="&amp;B77,'Annuity Schedule'!$B$6:$B$65,"&lt;="&amp;C77)+SUMIFS('Annuity Schedule'!$E$6:$E$65,'Annuity Schedule'!$B$6:$B$65,"&gt;="&amp;B77,'Annuity Schedule'!$B$6:$B$65,"&lt;="&amp;C77)</f>
        <v>0</v>
      </c>
      <c r="F77" s="26" t="n">
        <f aca="false">SUMIFS('Annuity Schedule'!$H$6:$H$65,'Annuity Schedule'!$B$6:$B$65,"&gt;="&amp;B77,'Annuity Schedule'!$B$6:$B$65,"&lt;="&amp;C77)</f>
        <v>0</v>
      </c>
      <c r="G77" s="33" t="n">
        <f aca="false">D77+E77+F77</f>
        <v>0</v>
      </c>
      <c r="H77" s="26" t="n">
        <f aca="false">IF(A77&lt;=Inputs!$C$27,-Inputs!$C$17/Inputs!$C$27,0)</f>
        <v>0</v>
      </c>
      <c r="I77" s="26" t="n">
        <f aca="false">-F77*Inputs!$C$18</f>
        <v>-0</v>
      </c>
      <c r="J77" s="33" t="n">
        <f aca="false">G77+H77+I77</f>
        <v>0</v>
      </c>
    </row>
    <row r="78" customFormat="false" ht="15" hidden="false" customHeight="false" outlineLevel="0" collapsed="false">
      <c r="A78" s="29" t="s">
        <v>76</v>
      </c>
      <c r="D78" s="31" t="n">
        <f aca="false">SUM(D6:D77)</f>
        <v>427.226382142726</v>
      </c>
      <c r="E78" s="31" t="n">
        <f aca="false">SUM(E6:E77)</f>
        <v>1173.11800446377</v>
      </c>
      <c r="F78" s="31" t="n">
        <f aca="false">SUM(F6:F77)</f>
        <v>113.155792282858</v>
      </c>
      <c r="G78" s="31" t="n">
        <f aca="false">SUM(G6:G77)</f>
        <v>1713.50017888935</v>
      </c>
      <c r="H78" s="31" t="n">
        <f aca="false">SUM(H6:H77)</f>
        <v>-900</v>
      </c>
      <c r="I78" s="31" t="n">
        <f aca="false">SUM(I6:I77)</f>
        <v>-90.5246338262865</v>
      </c>
      <c r="J78" s="31" t="n">
        <f aca="false">SUM(J6:J77)</f>
        <v>722.975545063067</v>
      </c>
    </row>
    <row r="80" customFormat="false" ht="15" hidden="false" customHeight="false" outlineLevel="0" collapsed="false">
      <c r="A80" s="4" t="s">
        <v>99</v>
      </c>
    </row>
    <row r="81" customFormat="false" ht="15" hidden="false" customHeight="false" outlineLevel="0" collapsed="false">
      <c r="A81" s="10" t="s">
        <v>100</v>
      </c>
      <c r="D81" s="23" t="n">
        <f aca="false">IFERROR(IRR(J6:J77,0.05),0)</f>
        <v>0.0678838165065663</v>
      </c>
    </row>
    <row r="82" customFormat="false" ht="15" hidden="false" customHeight="false" outlineLevel="0" collapsed="false">
      <c r="A82" s="29" t="s">
        <v>101</v>
      </c>
      <c r="D82" s="34" t="n">
        <f aca="false">(1+D81)^2-1</f>
        <v>0.14037584555663</v>
      </c>
    </row>
    <row r="83" customFormat="false" ht="15" hidden="false" customHeight="false" outlineLevel="0" collapsed="false">
      <c r="A83" s="2" t="s">
        <v>102</v>
      </c>
    </row>
    <row r="85" customFormat="false" ht="15" hidden="false" customHeight="false" outlineLevel="0" collapsed="false">
      <c r="A85" s="4" t="s">
        <v>103</v>
      </c>
    </row>
    <row r="86" customFormat="false" ht="15" hidden="false" customHeight="false" outlineLevel="0" collapsed="false">
      <c r="A86" s="10" t="s">
        <v>104</v>
      </c>
      <c r="B86" s="10"/>
      <c r="C86" s="10"/>
      <c r="D86" s="10"/>
      <c r="E86" s="10"/>
      <c r="F86" s="10"/>
      <c r="G86" s="10"/>
      <c r="H86" s="35" t="str">
        <f aca="false">IF(ABS(D78-Inputs!E41)&lt;0.01,"OK","CHECK")</f>
        <v>OK</v>
      </c>
    </row>
    <row r="87" customFormat="false" ht="15" hidden="false" customHeight="false" outlineLevel="0" collapsed="false">
      <c r="A87" s="10" t="s">
        <v>105</v>
      </c>
      <c r="B87" s="10"/>
      <c r="C87" s="10"/>
      <c r="D87" s="10"/>
      <c r="E87" s="10"/>
      <c r="F87" s="10"/>
      <c r="G87" s="10"/>
      <c r="H87" s="35" t="str">
        <f aca="false">IF(ABS('Annuity Schedule'!D66-Inputs!C26)&lt;0.01,"OK","CHECK")</f>
        <v>OK</v>
      </c>
    </row>
    <row r="88" customFormat="false" ht="15" hidden="false" customHeight="false" outlineLevel="0" collapsed="false">
      <c r="A88" s="10" t="s">
        <v>106</v>
      </c>
      <c r="B88" s="10"/>
      <c r="C88" s="10"/>
      <c r="D88" s="10"/>
      <c r="E88" s="10"/>
      <c r="F88" s="10"/>
      <c r="G88" s="10"/>
      <c r="H88" s="35" t="str">
        <f aca="false">IF(ABS(INDEX('Annuity Schedule'!F6:F65,Inputs!C15))&lt;0.01,"OK","CHECK")</f>
        <v>OK</v>
      </c>
    </row>
    <row r="89" customFormat="false" ht="15" hidden="false" customHeight="false" outlineLevel="0" collapsed="false">
      <c r="A89" s="10" t="s">
        <v>107</v>
      </c>
      <c r="B89" s="10"/>
      <c r="C89" s="10"/>
      <c r="D89" s="10"/>
      <c r="E89" s="10"/>
      <c r="F89" s="10"/>
      <c r="G89" s="10"/>
      <c r="H89" s="35" t="str">
        <f aca="false">IF(ABS(E78+F78-'Annuity Schedule'!D66-'Annuity Schedule'!E66-'Annuity Schedule'!H66)&lt;0.01,"OK","CHECK")</f>
        <v>OK</v>
      </c>
    </row>
    <row r="90" customFormat="false" ht="15" hidden="false" customHeight="false" outlineLevel="0" collapsed="false">
      <c r="A90" s="10" t="s">
        <v>108</v>
      </c>
      <c r="B90" s="10"/>
      <c r="C90" s="10"/>
      <c r="D90" s="10"/>
      <c r="E90" s="10"/>
      <c r="F90" s="10"/>
      <c r="G90" s="10"/>
      <c r="H90" s="35" t="str">
        <f aca="false">IF(Inputs!C25&lt;=1,"OK","CHECK")</f>
        <v>OK</v>
      </c>
    </row>
    <row r="91" customFormat="false" ht="15" hidden="false" customHeight="false" outlineLevel="0" collapsed="false">
      <c r="A91" s="10" t="s">
        <v>109</v>
      </c>
      <c r="B91" s="10"/>
      <c r="C91" s="10"/>
      <c r="D91" s="10"/>
      <c r="E91" s="10"/>
      <c r="F91" s="10"/>
      <c r="G91" s="10"/>
      <c r="H91" s="35" t="str">
        <f aca="false">IF(COUNTIF(Inputs!B31:B40,"&gt;"&amp;Inputs!C21)=0,"OK","CHECK")</f>
        <v>OK</v>
      </c>
    </row>
  </sheetData>
  <mergeCells count="6">
    <mergeCell ref="A86:G86"/>
    <mergeCell ref="A87:G87"/>
    <mergeCell ref="A88:G88"/>
    <mergeCell ref="A89:G89"/>
    <mergeCell ref="A90:G90"/>
    <mergeCell ref="A91:G91"/>
  </mergeCells>
  <conditionalFormatting sqref="H86:H91">
    <cfRule type="cellIs" priority="2" operator="equal" aboveAverage="0" equalAverage="0" bottom="0" percent="0" rank="0" text="" dxfId="1">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2026-10-25T20:15:11Z</dcterms:created>
  <dc:creator>sachinnagpal.in</dc:creator>
  <dc:description/>
  <dc:language>en-US</dc:language>
  <cp:lastModifiedBy/>
  <dcterms:modified xsi:type="dcterms:W3CDTF">2026-10-25T20:15:12Z</dcterms:modified>
  <cp:revision>0</cp:revision>
  <dc:subject/>
  <dc:title>L-HAM-Annuity-Schedule.xlsx</dc:title>
</cp:coreProperties>
</file>

<file path=docProps/custom.xml><?xml version="1.0" encoding="utf-8"?>
<Properties xmlns="http://schemas.openxmlformats.org/officeDocument/2006/custom-properties" xmlns:vt="http://schemas.openxmlformats.org/officeDocument/2006/docPropsVTypes"/>
</file>