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Inputs" sheetId="2" state="visible" r:id="rId4"/>
    <sheet name="Tracker"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<sst xmlns="http://schemas.openxmlformats.org/spreadsheetml/2006/main" count="97" uniqueCount="89">
  <si>
    <t xml:space="preserve">Template H: DSCR, DSRA and MMRA Covenant Tracker</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</si>
  <si>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</si>
  <si>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</si>
  <si>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</si>
  <si>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Tracks a project loan period by period (half-yearly): cash flow available for debt service (CFADS), interest and principal, the debt service coverage ratio (DSCR) against the lender's covenant and lock-up levels, the loan life coverage ratio (LLCR), and whether the debt service reserve account (DSRA) and major maintenance reserve account (MMRA) hold the balances the loan agreement requires.</t>
  </si>
  <si>
    <t xml:space="preserve">How to use it (step by step)</t>
  </si>
  <si>
    <t xml:space="preserve">Step 1</t>
  </si>
  <si>
    <t xml:space="preserve">Go to 'Inputs'. Type the loan amount, annual interest rate, the first period end date, the covenant DSCR, the lock-up DSCR (below which distributions stop), the default DSCR, how many months of debt service the DSRA must hold, and how many future periods of major maintenance the MMRA must cover.</t>
  </si>
  <si>
    <t xml:space="preserve">Step 2</t>
  </si>
  <si>
    <t xml:space="preserve">Go to 'Tracker'. Each column is a half-year. In the yellow rows type revenue, operating and maintenance cost, major maintenance spend and how much of it was paid out of the MMRA, tax paid and any other cash item. Type the repayment schedule as a % of the loan for each period (it must add to 100%).</t>
  </si>
  <si>
    <t xml:space="preserve">Step 3</t>
  </si>
  <si>
    <t xml:space="preserve">Type the actual DSRA and MMRA balances at each period end (from bank statements).</t>
  </si>
  <si>
    <t xml:space="preserve">Step 4</t>
  </si>
  <si>
    <t xml:space="preserve">Read the results: DSCR and status (Pass, Lock-up or Default) for each period, LLCR, and any DSRA or MMRA shortfall in red.</t>
  </si>
  <si>
    <t xml:space="preserve">Step 5</t>
  </si>
  <si>
    <t xml:space="preserve">The summary at the top of 'Tracker' shows the minimum and average DSCR, minimum LLCR and how many periods breached. Check that the checks read OK.</t>
  </si>
  <si>
    <t xml:space="preserve">Tabs in this file</t>
  </si>
  <si>
    <t xml:space="preserve">Inputs</t>
  </si>
  <si>
    <t xml:space="preserve">Loan terms and covenant levels.</t>
  </si>
  <si>
    <t xml:space="preserve">Tracker</t>
  </si>
  <si>
    <t xml:space="preserve">Period-by-period CFADS, debt service, DSCR, LLCR, DSRA and MMRA, with a summary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</si>
  <si>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</si>
  <si>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</si>
  <si>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</si>
  <si>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</si>
  <si>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</si>
  <si>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</si>
  <si>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</si>
  <si>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</si>
  <si>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</si>
  <si>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CFADS = revenue - O&amp;M cost - (major maintenance spend - amount paid from MMRA) - tax paid +/- other items.</t>
  </si>
  <si>
    <t xml:space="preserve">DSCR = CFADS / (interest + principal) for the period. LLCR = present value of CFADS from this period to the final repayment, at the loan rate / opening debt.</t>
  </si>
  <si>
    <t xml:space="preserve">Interest each half-year = opening debt x annual rate / 2.</t>
  </si>
  <si>
    <t xml:space="preserve">DSRA required = debt service of the next periods covered (for example 6 months = next one half-year). MMRA required = major maintenance spend expected in the next 'X' periods.</t>
  </si>
  <si>
    <t xml:space="preserve">Covenant definitions differ between loan agreements (for example historic vs projected DSCR, cash sweep rules). Change the formulas only if your agreement defines things differently, and keep a note of it.</t>
  </si>
  <si>
    <t xml:space="preserve">Up to 30 half-yearly periods (15 years).</t>
  </si>
  <si>
    <t xml:space="preserve">Version</t>
  </si>
  <si>
    <t xml:space="preserve">v1.0, October 2026. Works in Excel 2010 or later, Excel for Microsoft 365, LibreOffice and Google Sheets. Amounts in Indian Rupees (₹).</t>
  </si>
  <si>
    <t xml:space="preserve">Inputs (₹ crore)</t>
  </si>
  <si>
    <t xml:space="preserve">For computation and reconciliation assistance only; not a substitute for formal statutory audit or legal tax advice.</t>
  </si>
  <si>
    <t xml:space="preserve">Loan amount (₹ crore)</t>
  </si>
  <si>
    <t xml:space="preserve">Interest rate (annual)</t>
  </si>
  <si>
    <t xml:space="preserve">First period end date</t>
  </si>
  <si>
    <t xml:space="preserve">Covenant DSCR (minimum)</t>
  </si>
  <si>
    <t xml:space="preserve">Lock-up DSCR (distributions stop below this)</t>
  </si>
  <si>
    <t xml:space="preserve">Default DSCR (event of default below this)</t>
  </si>
  <si>
    <t xml:space="preserve">DSRA must cover (months of debt service)</t>
  </si>
  <si>
    <t xml:space="preserve">MMRA must cover major maintenance due in the next (periods)</t>
  </si>
  <si>
    <t xml:space="preserve">Sample values are illustrative. Use the definitions in your loan agreement.</t>
  </si>
  <si>
    <t xml:space="preserve">Covenant Tracker (₹ crore, half-yearly)</t>
  </si>
  <si>
    <t xml:space="preserve">Yellow rows are inputs. Sample data is illustrative only.</t>
  </si>
  <si>
    <t xml:space="preserve">Minimum DSCR</t>
  </si>
  <si>
    <t xml:space="preserve">Average DSCR</t>
  </si>
  <si>
    <t xml:space="preserve">Minimum LLCR</t>
  </si>
  <si>
    <t xml:space="preserve">Periods below covenant DSCR</t>
  </si>
  <si>
    <t xml:space="preserve">Periods in lock-up or default</t>
  </si>
  <si>
    <t xml:space="preserve">Largest DSRA shortfall</t>
  </si>
  <si>
    <t xml:space="preserve">Largest MMRA shortfall</t>
  </si>
  <si>
    <t xml:space="preserve">Line</t>
  </si>
  <si>
    <t xml:space="preserve">Total / note</t>
  </si>
  <si>
    <t xml:space="preserve">Period no.</t>
  </si>
  <si>
    <t xml:space="preserve">Period end</t>
  </si>
  <si>
    <t xml:space="preserve">Revenue</t>
  </si>
  <si>
    <t xml:space="preserve">Less: O&amp;M cost</t>
  </si>
  <si>
    <t xml:space="preserve">Less: major maintenance spend</t>
  </si>
  <si>
    <t xml:space="preserve">Add: major maintenance paid from MMRA</t>
  </si>
  <si>
    <t xml:space="preserve">Less: tax paid</t>
  </si>
  <si>
    <t xml:space="preserve">Add / (less): other cash items</t>
  </si>
  <si>
    <t xml:space="preserve">CFADS (cash available for debt service)</t>
  </si>
  <si>
    <t xml:space="preserve">Opening debt</t>
  </si>
  <si>
    <t xml:space="preserve">Repayment schedule (% of loan)</t>
  </si>
  <si>
    <t xml:space="preserve">Principal repaid</t>
  </si>
  <si>
    <t xml:space="preserve">Interest</t>
  </si>
  <si>
    <t xml:space="preserve">Debt service (interest + principal)</t>
  </si>
  <si>
    <t xml:space="preserve">Closing debt</t>
  </si>
  <si>
    <t xml:space="preserve">DSCR</t>
  </si>
  <si>
    <t xml:space="preserve">Status</t>
  </si>
  <si>
    <t xml:space="preserve">LLCR</t>
  </si>
  <si>
    <t xml:space="preserve">DSRA required</t>
  </si>
  <si>
    <t xml:space="preserve">DSRA actual balance</t>
  </si>
  <si>
    <t xml:space="preserve">DSRA shortfall</t>
  </si>
  <si>
    <t xml:space="preserve">MMRA required</t>
  </si>
  <si>
    <t xml:space="preserve">MMRA actual balance</t>
  </si>
  <si>
    <t xml:space="preserve">MMRA shortfall</t>
  </si>
  <si>
    <t xml:space="preserve">Checks</t>
  </si>
  <si>
    <t xml:space="preserve">Repayment schedule adds up to 100%</t>
  </si>
  <si>
    <t xml:space="preserve">Loan fully repaid by the last period</t>
  </si>
  <si>
    <t xml:space="preserve">Principal repaid = loan amount</t>
  </si>
  <si>
    <t xml:space="preserve">No period in default</t>
  </si>
</sst>
</file>

<file path=xl/styles.xml><?xml version="1.0" encoding="utf-8"?>
<styleSheet xmlns="http://schemas.openxmlformats.org/spreadsheetml/2006/main">
  <numFmts count="8">
    <numFmt numFmtId="164" formatCode="General"/>
    <numFmt numFmtId="165" formatCode="#,##0.00;\(#,##0.00\);\-"/>
    <numFmt numFmtId="166" formatCode="0.00%;\(0.00%\);\-"/>
    <numFmt numFmtId="167" formatCode="dd\-mmm\-yyyy"/>
    <numFmt numFmtId="168" formatCode="0.00\x"/>
    <numFmt numFmtId="169" formatCode="0"/>
    <numFmt numFmtId="170" formatCode="mmm\-yy"/>
    <numFmt numFmtId="171" formatCode="0.00\x;\-0.00\x;\-"/>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D9E1F2"/>
        <bgColor rgb="FFE2EFDA"/>
      </patternFill>
    </fill>
    <fill>
      <patternFill patternType="solid">
        <fgColor rgb="FF1F3864"/>
        <bgColor rgb="FF333333"/>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9" fontId="10" fillId="3" borderId="1" xfId="0" applyFont="true" applyBorder="true" applyAlignment="false" applyProtection="false">
      <alignment horizontal="general" vertical="bottom" textRotation="0" wrapText="false" indent="0" shrinkToFit="false"/>
      <protection locked="true" hidden="false"/>
    </xf>
    <xf numFmtId="168" fontId="9" fillId="5" borderId="1" xfId="0" applyFont="true" applyBorder="true" applyAlignment="false" applyProtection="false">
      <alignment horizontal="general" vertical="bottom" textRotation="0" wrapText="false" indent="0" shrinkToFit="false"/>
      <protection locked="true" hidden="false"/>
    </xf>
    <xf numFmtId="169" fontId="9" fillId="5" borderId="1" xfId="0" applyFont="true" applyBorder="true" applyAlignment="false" applyProtection="false">
      <alignment horizontal="general" vertical="bottom" textRotation="0" wrapText="false" indent="0" shrinkToFit="false"/>
      <protection locked="true" hidden="false"/>
    </xf>
    <xf numFmtId="165" fontId="9" fillId="5" borderId="1" xfId="0" applyFont="true" applyBorder="true" applyAlignment="false" applyProtection="false">
      <alignment horizontal="general" vertical="bottom" textRotation="0" wrapText="false" indent="0" shrinkToFit="false"/>
      <protection locked="true" hidden="false"/>
    </xf>
    <xf numFmtId="164" fontId="14" fillId="6" borderId="1" xfId="0" applyFont="true" applyBorder="true" applyAlignment="true" applyProtection="false">
      <alignment horizontal="center" vertical="center" textRotation="0" wrapText="true" indent="0" shrinkToFit="false"/>
      <protection locked="true" hidden="false"/>
    </xf>
    <xf numFmtId="169" fontId="14" fillId="6" borderId="1" xfId="0" applyFont="true" applyBorder="true" applyAlignment="false" applyProtection="false">
      <alignment horizontal="general" vertical="bottom" textRotation="0" wrapText="false" indent="0" shrinkToFit="false"/>
      <protection locked="true" hidden="false"/>
    </xf>
    <xf numFmtId="170" fontId="8" fillId="0" borderId="1" xfId="0" applyFont="true" applyBorder="true" applyAlignment="false" applyProtection="false">
      <alignment horizontal="general" vertical="bottom" textRotation="0" wrapText="false" indent="0" shrinkToFit="false"/>
      <protection locked="true" hidden="false"/>
    </xf>
    <xf numFmtId="165" fontId="11"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6" fontId="9" fillId="5" borderId="1" xfId="0" applyFont="true" applyBorder="true" applyAlignment="false" applyProtection="false">
      <alignment horizontal="general" vertical="bottom" textRotation="0" wrapText="false" indent="0" shrinkToFit="false"/>
      <protection locked="true" hidden="false"/>
    </xf>
    <xf numFmtId="165" fontId="9" fillId="0" borderId="1" xfId="0" applyFont="true" applyBorder="true" applyAlignment="false" applyProtection="false">
      <alignment horizontal="general" vertical="bottom" textRotation="0" wrapText="false" indent="0" shrinkToFit="false"/>
      <protection locked="true" hidden="false"/>
    </xf>
    <xf numFmtId="171" fontId="9" fillId="0" borderId="1" xfId="0" applyFont="true" applyBorder="true" applyAlignment="false" applyProtection="false">
      <alignment horizontal="general" vertical="bottom" textRotation="0" wrapText="false" indent="0" shrinkToFit="false"/>
      <protection locked="true" hidden="false"/>
    </xf>
    <xf numFmtId="171" fontId="8"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ill>
        <patternFill>
          <bgColor rgb="FFFFC7CE"/>
        </patternFill>
      </fill>
    </dxf>
    <dxf>
      <fill>
        <patternFill>
          <bgColor rgb="FFFFEB9C"/>
        </patternFill>
      </fill>
    </dxf>
    <dxf>
      <fill>
        <patternFill>
          <bgColor rgb="FFC6EFCE"/>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E2EFDA"/>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FCE4D6"/>
      <rgbColor rgb="FFC6EFCE"/>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60" hidden="false" customHeight="true" outlineLevel="0" collapsed="false">
      <c r="B10" s="6" t="s">
        <v>6</v>
      </c>
      <c r="C10" s="7" t="s">
        <v>7</v>
      </c>
    </row>
    <row r="11" customFormat="false" ht="60" hidden="false" customHeight="true" outlineLevel="0" collapsed="false">
      <c r="B11" s="6" t="s">
        <v>8</v>
      </c>
      <c r="C11" s="7" t="s">
        <v>9</v>
      </c>
    </row>
    <row r="12" customFormat="false" ht="15"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20" customFormat="false" ht="15" hidden="false" customHeight="false" outlineLevel="0" collapsed="false">
      <c r="B20" s="4" t="s">
        <v>21</v>
      </c>
    </row>
    <row r="21" customFormat="false" ht="15" hidden="false" customHeight="false" outlineLevel="0" collapsed="false">
      <c r="B21" s="8" t="s">
        <v>22</v>
      </c>
      <c r="C21" s="9" t="s">
        <v>23</v>
      </c>
    </row>
    <row r="22" customFormat="false" ht="15" hidden="false" customHeight="false" outlineLevel="0" collapsed="false">
      <c r="B22" s="10" t="s">
        <v>22</v>
      </c>
      <c r="C22" s="9" t="s">
        <v>24</v>
      </c>
    </row>
    <row r="23" customFormat="false" ht="15" hidden="false" customHeight="false" outlineLevel="0" collapsed="false">
      <c r="B23" s="11" t="s">
        <v>22</v>
      </c>
      <c r="C23" s="9" t="s">
        <v>25</v>
      </c>
    </row>
    <row r="24" customFormat="false" ht="15" hidden="false" customHeight="false" outlineLevel="0" collapsed="false">
      <c r="B24" s="12" t="s">
        <v>26</v>
      </c>
      <c r="C24" s="9" t="s">
        <v>27</v>
      </c>
    </row>
    <row r="26" customFormat="false" ht="15" hidden="false" customHeight="false" outlineLevel="0" collapsed="false">
      <c r="B26" s="4" t="s">
        <v>28</v>
      </c>
    </row>
    <row r="27" customFormat="false" ht="30" hidden="false" customHeight="true" outlineLevel="0" collapsed="false">
      <c r="B27" s="13" t="s">
        <v>29</v>
      </c>
      <c r="C27" s="7" t="s">
        <v>30</v>
      </c>
    </row>
    <row r="28" customFormat="false" ht="30" hidden="false" customHeight="true" outlineLevel="0" collapsed="false">
      <c r="B28" s="13" t="s">
        <v>29</v>
      </c>
      <c r="C28" s="7" t="s">
        <v>31</v>
      </c>
    </row>
    <row r="29" customFormat="false" ht="15" hidden="false" customHeight="true" outlineLevel="0" collapsed="false">
      <c r="B29" s="13" t="s">
        <v>29</v>
      </c>
      <c r="C29" s="7" t="s">
        <v>32</v>
      </c>
    </row>
    <row r="30" customFormat="false" ht="30" hidden="false" customHeight="true" outlineLevel="0" collapsed="false">
      <c r="B30" s="13" t="s">
        <v>29</v>
      </c>
      <c r="C30" s="7" t="s">
        <v>33</v>
      </c>
    </row>
    <row r="31" customFormat="false" ht="45" hidden="false" customHeight="true" outlineLevel="0" collapsed="false">
      <c r="B31" s="13" t="s">
        <v>29</v>
      </c>
      <c r="C31" s="7" t="s">
        <v>34</v>
      </c>
    </row>
    <row r="32" customFormat="false" ht="15" hidden="false" customHeight="true" outlineLevel="0" collapsed="false">
      <c r="B32" s="13" t="s">
        <v>29</v>
      </c>
      <c r="C32" s="7" t="s">
        <v>35</v>
      </c>
    </row>
    <row r="34" customFormat="false" ht="15" hidden="false" customHeight="false" outlineLevel="0" collapsed="false">
      <c r="B34" s="14" t="s">
        <v>36</v>
      </c>
      <c r="C34" s="9" t="s">
        <v>37</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6"/>
    <col collapsed="false" customWidth="true" hidden="false" outlineLevel="0" max="2" min="2" style="0" width="3"/>
    <col collapsed="false" customWidth="true" hidden="false" outlineLevel="0" max="3" min="3" style="0" width="16"/>
  </cols>
  <sheetData>
    <row r="1" customFormat="false" ht="17.35" hidden="false" customHeight="false" outlineLevel="0" collapsed="false">
      <c r="A1" s="15" t="s">
        <v>38</v>
      </c>
    </row>
    <row r="2" customFormat="false" ht="15" hidden="false" customHeight="false" outlineLevel="0" collapsed="false">
      <c r="A2" s="16" t="s">
        <v>39</v>
      </c>
    </row>
    <row r="5" customFormat="false" ht="15" hidden="false" customHeight="false" outlineLevel="0" collapsed="false">
      <c r="A5" s="14" t="s">
        <v>40</v>
      </c>
      <c r="C5" s="17" t="n">
        <v>800</v>
      </c>
    </row>
    <row r="6" customFormat="false" ht="15" hidden="false" customHeight="false" outlineLevel="0" collapsed="false">
      <c r="A6" s="14" t="s">
        <v>41</v>
      </c>
      <c r="C6" s="18" t="n">
        <v>0.09</v>
      </c>
    </row>
    <row r="7" customFormat="false" ht="15" hidden="false" customHeight="false" outlineLevel="0" collapsed="false">
      <c r="A7" s="14" t="s">
        <v>42</v>
      </c>
      <c r="C7" s="19" t="n">
        <v>46295</v>
      </c>
    </row>
    <row r="8" customFormat="false" ht="15" hidden="false" customHeight="false" outlineLevel="0" collapsed="false">
      <c r="A8" s="14" t="s">
        <v>43</v>
      </c>
      <c r="C8" s="20" t="n">
        <v>1.2</v>
      </c>
    </row>
    <row r="9" customFormat="false" ht="15" hidden="false" customHeight="false" outlineLevel="0" collapsed="false">
      <c r="A9" s="14" t="s">
        <v>44</v>
      </c>
      <c r="C9" s="20" t="n">
        <v>1.1</v>
      </c>
    </row>
    <row r="10" customFormat="false" ht="15" hidden="false" customHeight="false" outlineLevel="0" collapsed="false">
      <c r="A10" s="14" t="s">
        <v>45</v>
      </c>
      <c r="C10" s="20" t="n">
        <v>1</v>
      </c>
    </row>
    <row r="11" customFormat="false" ht="15" hidden="false" customHeight="false" outlineLevel="0" collapsed="false">
      <c r="A11" s="14" t="s">
        <v>46</v>
      </c>
      <c r="C11" s="21" t="n">
        <v>6</v>
      </c>
    </row>
    <row r="12" customFormat="false" ht="15" hidden="false" customHeight="false" outlineLevel="0" collapsed="false">
      <c r="A12" s="14" t="s">
        <v>47</v>
      </c>
      <c r="C12" s="21" t="n">
        <v>4</v>
      </c>
    </row>
    <row r="14" customFormat="false" ht="15" hidden="false" customHeight="false" outlineLevel="0" collapsed="false">
      <c r="A14" s="2" t="s">
        <v>48</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F4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15" topLeftCell="C16" activePane="bottomRight" state="frozen"/>
      <selection pane="topLeft" activeCell="A1" activeCellId="0" sqref="A1"/>
      <selection pane="topRight" activeCell="C1" activeCellId="0" sqref="C1"/>
      <selection pane="bottomLeft" activeCell="A16" activeCellId="0" sqref="A16"/>
      <selection pane="bottomRigh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4"/>
    <col collapsed="false" customWidth="true" hidden="false" outlineLevel="0" max="32" min="3" style="0" width="10.51"/>
  </cols>
  <sheetData>
    <row r="1" customFormat="false" ht="17.35" hidden="false" customHeight="false" outlineLevel="0" collapsed="false">
      <c r="A1" s="15" t="s">
        <v>49</v>
      </c>
    </row>
    <row r="2" customFormat="false" ht="15" hidden="false" customHeight="false" outlineLevel="0" collapsed="false">
      <c r="A2" s="16" t="s">
        <v>39</v>
      </c>
    </row>
    <row r="3" customFormat="false" ht="15" hidden="false" customHeight="false" outlineLevel="0" collapsed="false">
      <c r="A3" s="2" t="s">
        <v>50</v>
      </c>
    </row>
    <row r="5" customFormat="false" ht="15" hidden="false" customHeight="false" outlineLevel="0" collapsed="false">
      <c r="A5" s="14" t="s">
        <v>51</v>
      </c>
      <c r="B5" s="22" t="n">
        <f aca="false">IFERROR(SMALL(C32:AF32,COUNTIF(C32:AF32,"&lt;=0")+1),0)</f>
        <v>1.19000298121832</v>
      </c>
    </row>
    <row r="6" customFormat="false" ht="15" hidden="false" customHeight="false" outlineLevel="0" collapsed="false">
      <c r="A6" s="14" t="s">
        <v>52</v>
      </c>
      <c r="B6" s="22" t="n">
        <f aca="false">IFERROR(AVERAGEIF(C32:AF32,"&gt;0"),0)</f>
        <v>1.86985737815541</v>
      </c>
    </row>
    <row r="7" customFormat="false" ht="15" hidden="false" customHeight="false" outlineLevel="0" collapsed="false">
      <c r="A7" s="14" t="s">
        <v>53</v>
      </c>
      <c r="B7" s="22" t="n">
        <f aca="false">IFERROR(SMALL(C34:AF34,COUNTIF(C34:AF34,"&lt;=0")+1),0)</f>
        <v>1.67517723852636</v>
      </c>
    </row>
    <row r="8" customFormat="false" ht="15" hidden="false" customHeight="false" outlineLevel="0" collapsed="false">
      <c r="A8" s="14" t="s">
        <v>54</v>
      </c>
      <c r="B8" s="23" t="n">
        <f aca="false">COUNTIFS(C33:AF33,"Below covenant")+COUNTIFS(C33:AF33,"Lock-up")+COUNTIFS(C33:AF33,"Default")</f>
        <v>1</v>
      </c>
    </row>
    <row r="9" customFormat="false" ht="15" hidden="false" customHeight="false" outlineLevel="0" collapsed="false">
      <c r="A9" s="14" t="s">
        <v>55</v>
      </c>
      <c r="B9" s="23" t="n">
        <f aca="false">COUNTIFS(C33:AF33,"Lock-up")+COUNTIFS(C33:AF33,"Default")</f>
        <v>0</v>
      </c>
    </row>
    <row r="10" customFormat="false" ht="15" hidden="false" customHeight="false" outlineLevel="0" collapsed="false">
      <c r="A10" s="14" t="s">
        <v>56</v>
      </c>
      <c r="B10" s="24" t="n">
        <f aca="false">MAX(C38:AF38)</f>
        <v>7.9992</v>
      </c>
    </row>
    <row r="11" customFormat="false" ht="15" hidden="false" customHeight="false" outlineLevel="0" collapsed="false">
      <c r="A11" s="14" t="s">
        <v>57</v>
      </c>
      <c r="B11" s="24" t="n">
        <f aca="false">MAX(C42:AF42)</f>
        <v>18</v>
      </c>
    </row>
    <row r="14" customFormat="false" ht="19.5" hidden="false" customHeight="true" outlineLevel="0" collapsed="false">
      <c r="A14" s="25" t="s">
        <v>58</v>
      </c>
      <c r="B14" s="25" t="s">
        <v>59</v>
      </c>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row>
    <row r="15" customFormat="false" ht="15" hidden="false" customHeight="false" outlineLevel="0" collapsed="false">
      <c r="A15" s="14" t="s">
        <v>60</v>
      </c>
      <c r="C15" s="26" t="n">
        <v>1</v>
      </c>
      <c r="D15" s="26" t="n">
        <v>2</v>
      </c>
      <c r="E15" s="26" t="n">
        <v>3</v>
      </c>
      <c r="F15" s="26" t="n">
        <v>4</v>
      </c>
      <c r="G15" s="26" t="n">
        <v>5</v>
      </c>
      <c r="H15" s="26" t="n">
        <v>6</v>
      </c>
      <c r="I15" s="26" t="n">
        <v>7</v>
      </c>
      <c r="J15" s="26" t="n">
        <v>8</v>
      </c>
      <c r="K15" s="26" t="n">
        <v>9</v>
      </c>
      <c r="L15" s="26" t="n">
        <v>10</v>
      </c>
      <c r="M15" s="26" t="n">
        <v>11</v>
      </c>
      <c r="N15" s="26" t="n">
        <v>12</v>
      </c>
      <c r="O15" s="26" t="n">
        <v>13</v>
      </c>
      <c r="P15" s="26" t="n">
        <v>14</v>
      </c>
      <c r="Q15" s="26" t="n">
        <v>15</v>
      </c>
      <c r="R15" s="26" t="n">
        <v>16</v>
      </c>
      <c r="S15" s="26" t="n">
        <v>17</v>
      </c>
      <c r="T15" s="26" t="n">
        <v>18</v>
      </c>
      <c r="U15" s="26" t="n">
        <v>19</v>
      </c>
      <c r="V15" s="26" t="n">
        <v>20</v>
      </c>
      <c r="W15" s="26" t="n">
        <v>21</v>
      </c>
      <c r="X15" s="26" t="n">
        <v>22</v>
      </c>
      <c r="Y15" s="26" t="n">
        <v>23</v>
      </c>
      <c r="Z15" s="26" t="n">
        <v>24</v>
      </c>
      <c r="AA15" s="26" t="n">
        <v>25</v>
      </c>
      <c r="AB15" s="26" t="n">
        <v>26</v>
      </c>
      <c r="AC15" s="26" t="n">
        <v>27</v>
      </c>
      <c r="AD15" s="26" t="n">
        <v>28</v>
      </c>
      <c r="AE15" s="26" t="n">
        <v>29</v>
      </c>
      <c r="AF15" s="26" t="n">
        <v>30</v>
      </c>
    </row>
    <row r="16" customFormat="false" ht="15" hidden="false" customHeight="false" outlineLevel="0" collapsed="false">
      <c r="A16" s="14" t="s">
        <v>61</v>
      </c>
      <c r="C16" s="27" t="n">
        <f aca="false">EOMONTH(Inputs!$C$7,0)</f>
        <v>46295</v>
      </c>
      <c r="D16" s="27" t="n">
        <f aca="false">EOMONTH(Inputs!$C$7,6)</f>
        <v>46477</v>
      </c>
      <c r="E16" s="27" t="n">
        <f aca="false">EOMONTH(Inputs!$C$7,12)</f>
        <v>46660</v>
      </c>
      <c r="F16" s="27" t="n">
        <f aca="false">EOMONTH(Inputs!$C$7,18)</f>
        <v>46843</v>
      </c>
      <c r="G16" s="27" t="n">
        <f aca="false">EOMONTH(Inputs!$C$7,24)</f>
        <v>47026</v>
      </c>
      <c r="H16" s="27" t="n">
        <f aca="false">EOMONTH(Inputs!$C$7,30)</f>
        <v>47208</v>
      </c>
      <c r="I16" s="27" t="n">
        <f aca="false">EOMONTH(Inputs!$C$7,36)</f>
        <v>47391</v>
      </c>
      <c r="J16" s="27" t="n">
        <f aca="false">EOMONTH(Inputs!$C$7,42)</f>
        <v>47573</v>
      </c>
      <c r="K16" s="27" t="n">
        <f aca="false">EOMONTH(Inputs!$C$7,48)</f>
        <v>47756</v>
      </c>
      <c r="L16" s="27" t="n">
        <f aca="false">EOMONTH(Inputs!$C$7,54)</f>
        <v>47938</v>
      </c>
      <c r="M16" s="27" t="n">
        <f aca="false">EOMONTH(Inputs!$C$7,60)</f>
        <v>48121</v>
      </c>
      <c r="N16" s="27" t="n">
        <f aca="false">EOMONTH(Inputs!$C$7,66)</f>
        <v>48304</v>
      </c>
      <c r="O16" s="27" t="n">
        <f aca="false">EOMONTH(Inputs!$C$7,72)</f>
        <v>48487</v>
      </c>
      <c r="P16" s="27" t="n">
        <f aca="false">EOMONTH(Inputs!$C$7,78)</f>
        <v>48669</v>
      </c>
      <c r="Q16" s="27" t="n">
        <f aca="false">EOMONTH(Inputs!$C$7,84)</f>
        <v>48852</v>
      </c>
      <c r="R16" s="27" t="n">
        <f aca="false">EOMONTH(Inputs!$C$7,90)</f>
        <v>49034</v>
      </c>
      <c r="S16" s="27" t="n">
        <f aca="false">EOMONTH(Inputs!$C$7,96)</f>
        <v>49217</v>
      </c>
      <c r="T16" s="27" t="n">
        <f aca="false">EOMONTH(Inputs!$C$7,102)</f>
        <v>49399</v>
      </c>
      <c r="U16" s="27" t="n">
        <f aca="false">EOMONTH(Inputs!$C$7,108)</f>
        <v>49582</v>
      </c>
      <c r="V16" s="27" t="n">
        <f aca="false">EOMONTH(Inputs!$C$7,114)</f>
        <v>49765</v>
      </c>
      <c r="W16" s="27" t="n">
        <f aca="false">EOMONTH(Inputs!$C$7,120)</f>
        <v>49948</v>
      </c>
      <c r="X16" s="27" t="n">
        <f aca="false">EOMONTH(Inputs!$C$7,126)</f>
        <v>50130</v>
      </c>
      <c r="Y16" s="27" t="n">
        <f aca="false">EOMONTH(Inputs!$C$7,132)</f>
        <v>50313</v>
      </c>
      <c r="Z16" s="27" t="n">
        <f aca="false">EOMONTH(Inputs!$C$7,138)</f>
        <v>50495</v>
      </c>
      <c r="AA16" s="27" t="n">
        <f aca="false">EOMONTH(Inputs!$C$7,144)</f>
        <v>50678</v>
      </c>
      <c r="AB16" s="27" t="n">
        <f aca="false">EOMONTH(Inputs!$C$7,150)</f>
        <v>50860</v>
      </c>
      <c r="AC16" s="27" t="n">
        <f aca="false">EOMONTH(Inputs!$C$7,156)</f>
        <v>51043</v>
      </c>
      <c r="AD16" s="27" t="n">
        <f aca="false">EOMONTH(Inputs!$C$7,162)</f>
        <v>51226</v>
      </c>
      <c r="AE16" s="27" t="n">
        <f aca="false">EOMONTH(Inputs!$C$7,168)</f>
        <v>51409</v>
      </c>
      <c r="AF16" s="27" t="n">
        <f aca="false">EOMONTH(Inputs!$C$7,174)</f>
        <v>51591</v>
      </c>
    </row>
    <row r="17" customFormat="false" ht="15" hidden="false" customHeight="false" outlineLevel="0" collapsed="false">
      <c r="A17" s="9" t="s">
        <v>62</v>
      </c>
      <c r="B17" s="24" t="n">
        <f aca="false">SUM(C17:AF17)</f>
        <v>3268.51</v>
      </c>
      <c r="C17" s="17" t="n">
        <v>82</v>
      </c>
      <c r="D17" s="17" t="n">
        <v>84.05</v>
      </c>
      <c r="E17" s="17" t="n">
        <v>86.15</v>
      </c>
      <c r="F17" s="17" t="n">
        <v>88.31</v>
      </c>
      <c r="G17" s="17" t="n">
        <v>90.51</v>
      </c>
      <c r="H17" s="17" t="n">
        <v>92.78</v>
      </c>
      <c r="I17" s="17" t="n">
        <v>95.09</v>
      </c>
      <c r="J17" s="17" t="n">
        <v>97.47</v>
      </c>
      <c r="K17" s="17" t="n">
        <v>99.91</v>
      </c>
      <c r="L17" s="17" t="n">
        <v>102.41</v>
      </c>
      <c r="M17" s="17" t="n">
        <v>104.97</v>
      </c>
      <c r="N17" s="17" t="n">
        <v>107.59</v>
      </c>
      <c r="O17" s="17" t="n">
        <v>110.28</v>
      </c>
      <c r="P17" s="17" t="n">
        <v>113.04</v>
      </c>
      <c r="Q17" s="17" t="n">
        <v>115.86</v>
      </c>
      <c r="R17" s="17" t="n">
        <v>118.76</v>
      </c>
      <c r="S17" s="17" t="n">
        <v>121.73</v>
      </c>
      <c r="T17" s="17" t="n">
        <v>124.77</v>
      </c>
      <c r="U17" s="17" t="n">
        <v>127.89</v>
      </c>
      <c r="V17" s="17" t="n">
        <v>131.09</v>
      </c>
      <c r="W17" s="17" t="n">
        <v>134.37</v>
      </c>
      <c r="X17" s="17" t="n">
        <v>137.73</v>
      </c>
      <c r="Y17" s="17" t="n">
        <v>141.17</v>
      </c>
      <c r="Z17" s="17" t="n">
        <v>144.7</v>
      </c>
      <c r="AA17" s="17" t="n">
        <v>148.32</v>
      </c>
      <c r="AB17" s="17" t="n">
        <v>152.02</v>
      </c>
      <c r="AC17" s="17" t="n">
        <v>155.82</v>
      </c>
      <c r="AD17" s="17" t="n">
        <v>159.72</v>
      </c>
      <c r="AE17" s="17"/>
      <c r="AF17" s="17"/>
    </row>
    <row r="18" customFormat="false" ht="15" hidden="false" customHeight="false" outlineLevel="0" collapsed="false">
      <c r="A18" s="9" t="s">
        <v>63</v>
      </c>
      <c r="B18" s="24" t="n">
        <f aca="false">SUM(C18:AF18)</f>
        <v>478.32</v>
      </c>
      <c r="C18" s="17" t="n">
        <v>12</v>
      </c>
      <c r="D18" s="17" t="n">
        <v>12.3</v>
      </c>
      <c r="E18" s="17" t="n">
        <v>12.61</v>
      </c>
      <c r="F18" s="17" t="n">
        <v>12.92</v>
      </c>
      <c r="G18" s="17" t="n">
        <v>13.25</v>
      </c>
      <c r="H18" s="17" t="n">
        <v>13.58</v>
      </c>
      <c r="I18" s="17" t="n">
        <v>13.92</v>
      </c>
      <c r="J18" s="17" t="n">
        <v>14.26</v>
      </c>
      <c r="K18" s="17" t="n">
        <v>14.62</v>
      </c>
      <c r="L18" s="17" t="n">
        <v>14.99</v>
      </c>
      <c r="M18" s="17" t="n">
        <v>15.36</v>
      </c>
      <c r="N18" s="17" t="n">
        <v>15.75</v>
      </c>
      <c r="O18" s="17" t="n">
        <v>16.14</v>
      </c>
      <c r="P18" s="17" t="n">
        <v>16.54</v>
      </c>
      <c r="Q18" s="17" t="n">
        <v>16.96</v>
      </c>
      <c r="R18" s="17" t="n">
        <v>17.38</v>
      </c>
      <c r="S18" s="17" t="n">
        <v>17.81</v>
      </c>
      <c r="T18" s="17" t="n">
        <v>18.26</v>
      </c>
      <c r="U18" s="17" t="n">
        <v>18.72</v>
      </c>
      <c r="V18" s="17" t="n">
        <v>19.18</v>
      </c>
      <c r="W18" s="17" t="n">
        <v>19.66</v>
      </c>
      <c r="X18" s="17" t="n">
        <v>20.15</v>
      </c>
      <c r="Y18" s="17" t="n">
        <v>20.66</v>
      </c>
      <c r="Z18" s="17" t="n">
        <v>21.18</v>
      </c>
      <c r="AA18" s="17" t="n">
        <v>21.7</v>
      </c>
      <c r="AB18" s="17" t="n">
        <v>22.25</v>
      </c>
      <c r="AC18" s="17" t="n">
        <v>22.8</v>
      </c>
      <c r="AD18" s="17" t="n">
        <v>23.37</v>
      </c>
      <c r="AE18" s="17"/>
      <c r="AF18" s="17"/>
    </row>
    <row r="19" customFormat="false" ht="15" hidden="false" customHeight="false" outlineLevel="0" collapsed="false">
      <c r="A19" s="9" t="s">
        <v>64</v>
      </c>
      <c r="B19" s="24" t="n">
        <f aca="false">SUM(C19:AF19)</f>
        <v>135</v>
      </c>
      <c r="C19" s="17" t="n">
        <v>0</v>
      </c>
      <c r="D19" s="17" t="n">
        <v>0</v>
      </c>
      <c r="E19" s="17" t="n">
        <v>0</v>
      </c>
      <c r="F19" s="17" t="n">
        <v>0</v>
      </c>
      <c r="G19" s="17" t="n">
        <v>0</v>
      </c>
      <c r="H19" s="17" t="n">
        <v>0</v>
      </c>
      <c r="I19" s="17" t="n">
        <v>0</v>
      </c>
      <c r="J19" s="17" t="n">
        <v>45</v>
      </c>
      <c r="K19" s="17" t="n">
        <v>0</v>
      </c>
      <c r="L19" s="17" t="n">
        <v>0</v>
      </c>
      <c r="M19" s="17" t="n">
        <v>0</v>
      </c>
      <c r="N19" s="17" t="n">
        <v>0</v>
      </c>
      <c r="O19" s="17" t="n">
        <v>0</v>
      </c>
      <c r="P19" s="17" t="n">
        <v>0</v>
      </c>
      <c r="Q19" s="17" t="n">
        <v>0</v>
      </c>
      <c r="R19" s="17" t="n">
        <v>0</v>
      </c>
      <c r="S19" s="17" t="n">
        <v>0</v>
      </c>
      <c r="T19" s="17" t="n">
        <v>45</v>
      </c>
      <c r="U19" s="17" t="n">
        <v>0</v>
      </c>
      <c r="V19" s="17" t="n">
        <v>0</v>
      </c>
      <c r="W19" s="17" t="n">
        <v>0</v>
      </c>
      <c r="X19" s="17" t="n">
        <v>0</v>
      </c>
      <c r="Y19" s="17" t="n">
        <v>0</v>
      </c>
      <c r="Z19" s="17" t="n">
        <v>0</v>
      </c>
      <c r="AA19" s="17" t="n">
        <v>0</v>
      </c>
      <c r="AB19" s="17" t="n">
        <v>0</v>
      </c>
      <c r="AC19" s="17" t="n">
        <v>0</v>
      </c>
      <c r="AD19" s="17" t="n">
        <v>45</v>
      </c>
      <c r="AE19" s="17"/>
      <c r="AF19" s="17"/>
    </row>
    <row r="20" customFormat="false" ht="15" hidden="false" customHeight="false" outlineLevel="0" collapsed="false">
      <c r="A20" s="9" t="s">
        <v>65</v>
      </c>
      <c r="B20" s="24" t="n">
        <f aca="false">SUM(C20:AF20)</f>
        <v>100</v>
      </c>
      <c r="C20" s="17" t="n">
        <v>0</v>
      </c>
      <c r="D20" s="17" t="n">
        <v>0</v>
      </c>
      <c r="E20" s="17" t="n">
        <v>0</v>
      </c>
      <c r="F20" s="17" t="n">
        <v>0</v>
      </c>
      <c r="G20" s="17" t="n">
        <v>0</v>
      </c>
      <c r="H20" s="17" t="n">
        <v>0</v>
      </c>
      <c r="I20" s="17" t="n">
        <v>0</v>
      </c>
      <c r="J20" s="17" t="n">
        <v>30</v>
      </c>
      <c r="K20" s="17" t="n">
        <v>0</v>
      </c>
      <c r="L20" s="17" t="n">
        <v>0</v>
      </c>
      <c r="M20" s="17" t="n">
        <v>0</v>
      </c>
      <c r="N20" s="17" t="n">
        <v>0</v>
      </c>
      <c r="O20" s="17" t="n">
        <v>0</v>
      </c>
      <c r="P20" s="17" t="n">
        <v>0</v>
      </c>
      <c r="Q20" s="17" t="n">
        <v>0</v>
      </c>
      <c r="R20" s="17" t="n">
        <v>0</v>
      </c>
      <c r="S20" s="17" t="n">
        <v>0</v>
      </c>
      <c r="T20" s="17" t="n">
        <v>35</v>
      </c>
      <c r="U20" s="17" t="n">
        <v>0</v>
      </c>
      <c r="V20" s="17" t="n">
        <v>0</v>
      </c>
      <c r="W20" s="17" t="n">
        <v>0</v>
      </c>
      <c r="X20" s="17" t="n">
        <v>0</v>
      </c>
      <c r="Y20" s="17" t="n">
        <v>0</v>
      </c>
      <c r="Z20" s="17" t="n">
        <v>0</v>
      </c>
      <c r="AA20" s="17" t="n">
        <v>0</v>
      </c>
      <c r="AB20" s="17" t="n">
        <v>0</v>
      </c>
      <c r="AC20" s="17" t="n">
        <v>0</v>
      </c>
      <c r="AD20" s="17" t="n">
        <v>35</v>
      </c>
      <c r="AE20" s="17"/>
      <c r="AF20" s="17"/>
    </row>
    <row r="21" customFormat="false" ht="15" hidden="false" customHeight="false" outlineLevel="0" collapsed="false">
      <c r="A21" s="9" t="s">
        <v>66</v>
      </c>
      <c r="B21" s="24" t="n">
        <f aca="false">SUM(C21:AF21)</f>
        <v>199.26</v>
      </c>
      <c r="C21" s="17" t="n">
        <v>5</v>
      </c>
      <c r="D21" s="17" t="n">
        <v>5.12</v>
      </c>
      <c r="E21" s="17" t="n">
        <v>5.25</v>
      </c>
      <c r="F21" s="17" t="n">
        <v>5.38</v>
      </c>
      <c r="G21" s="17" t="n">
        <v>5.52</v>
      </c>
      <c r="H21" s="17" t="n">
        <v>5.66</v>
      </c>
      <c r="I21" s="17" t="n">
        <v>5.8</v>
      </c>
      <c r="J21" s="17" t="n">
        <v>5.94</v>
      </c>
      <c r="K21" s="17" t="n">
        <v>6.09</v>
      </c>
      <c r="L21" s="17" t="n">
        <v>6.24</v>
      </c>
      <c r="M21" s="17" t="n">
        <v>6.4</v>
      </c>
      <c r="N21" s="17" t="n">
        <v>6.56</v>
      </c>
      <c r="O21" s="17" t="n">
        <v>6.72</v>
      </c>
      <c r="P21" s="17" t="n">
        <v>6.89</v>
      </c>
      <c r="Q21" s="17" t="n">
        <v>7.06</v>
      </c>
      <c r="R21" s="17" t="n">
        <v>7.24</v>
      </c>
      <c r="S21" s="17" t="n">
        <v>7.42</v>
      </c>
      <c r="T21" s="17" t="n">
        <v>7.61</v>
      </c>
      <c r="U21" s="17" t="n">
        <v>7.8</v>
      </c>
      <c r="V21" s="17" t="n">
        <v>7.99</v>
      </c>
      <c r="W21" s="17" t="n">
        <v>8.19</v>
      </c>
      <c r="X21" s="17" t="n">
        <v>8.4</v>
      </c>
      <c r="Y21" s="17" t="n">
        <v>8.61</v>
      </c>
      <c r="Z21" s="17" t="n">
        <v>8.82</v>
      </c>
      <c r="AA21" s="17" t="n">
        <v>9.04</v>
      </c>
      <c r="AB21" s="17" t="n">
        <v>9.27</v>
      </c>
      <c r="AC21" s="17" t="n">
        <v>9.5</v>
      </c>
      <c r="AD21" s="17" t="n">
        <v>9.74</v>
      </c>
      <c r="AE21" s="17"/>
      <c r="AF21" s="17"/>
    </row>
    <row r="22" customFormat="false" ht="15" hidden="false" customHeight="false" outlineLevel="0" collapsed="false">
      <c r="A22" s="9" t="s">
        <v>67</v>
      </c>
      <c r="B22" s="24" t="n">
        <f aca="false">SUM(C22:AF22)</f>
        <v>0</v>
      </c>
      <c r="C22" s="17" t="n">
        <v>0</v>
      </c>
      <c r="D22" s="17" t="n">
        <v>0</v>
      </c>
      <c r="E22" s="17" t="n">
        <v>0</v>
      </c>
      <c r="F22" s="17" t="n">
        <v>0</v>
      </c>
      <c r="G22" s="17" t="n">
        <v>0</v>
      </c>
      <c r="H22" s="17" t="n">
        <v>0</v>
      </c>
      <c r="I22" s="17" t="n">
        <v>0</v>
      </c>
      <c r="J22" s="17" t="n">
        <v>0</v>
      </c>
      <c r="K22" s="17" t="n">
        <v>0</v>
      </c>
      <c r="L22" s="17" t="n">
        <v>0</v>
      </c>
      <c r="M22" s="17" t="n">
        <v>0</v>
      </c>
      <c r="N22" s="17" t="n">
        <v>0</v>
      </c>
      <c r="O22" s="17" t="n">
        <v>0</v>
      </c>
      <c r="P22" s="17" t="n">
        <v>0</v>
      </c>
      <c r="Q22" s="17" t="n">
        <v>0</v>
      </c>
      <c r="R22" s="17" t="n">
        <v>0</v>
      </c>
      <c r="S22" s="17" t="n">
        <v>0</v>
      </c>
      <c r="T22" s="17" t="n">
        <v>0</v>
      </c>
      <c r="U22" s="17" t="n">
        <v>0</v>
      </c>
      <c r="V22" s="17" t="n">
        <v>0</v>
      </c>
      <c r="W22" s="17" t="n">
        <v>0</v>
      </c>
      <c r="X22" s="17" t="n">
        <v>0</v>
      </c>
      <c r="Y22" s="17" t="n">
        <v>0</v>
      </c>
      <c r="Z22" s="17" t="n">
        <v>0</v>
      </c>
      <c r="AA22" s="17" t="n">
        <v>0</v>
      </c>
      <c r="AB22" s="17" t="n">
        <v>0</v>
      </c>
      <c r="AC22" s="17" t="n">
        <v>0</v>
      </c>
      <c r="AD22" s="17" t="n">
        <v>0</v>
      </c>
      <c r="AE22" s="17"/>
      <c r="AF22" s="17"/>
    </row>
    <row r="23" customFormat="false" ht="15" hidden="false" customHeight="false" outlineLevel="0" collapsed="false">
      <c r="A23" s="14" t="s">
        <v>68</v>
      </c>
      <c r="B23" s="24" t="n">
        <f aca="false">SUM(C23:AF23)</f>
        <v>2555.93</v>
      </c>
      <c r="C23" s="24" t="n">
        <f aca="false">N(C17)-N(C18)-N(C19)+N(C20)-N(C21)+N(C22)</f>
        <v>65</v>
      </c>
      <c r="D23" s="24" t="n">
        <f aca="false">N(D17)-N(D18)-N(D19)+N(D20)-N(D21)+N(D22)</f>
        <v>66.63</v>
      </c>
      <c r="E23" s="24" t="n">
        <f aca="false">N(E17)-N(E18)-N(E19)+N(E20)-N(E21)+N(E22)</f>
        <v>68.29</v>
      </c>
      <c r="F23" s="24" t="n">
        <f aca="false">N(F17)-N(F18)-N(F19)+N(F20)-N(F21)+N(F22)</f>
        <v>70.01</v>
      </c>
      <c r="G23" s="24" t="n">
        <f aca="false">N(G17)-N(G18)-N(G19)+N(G20)-N(G21)+N(G22)</f>
        <v>71.74</v>
      </c>
      <c r="H23" s="24" t="n">
        <f aca="false">N(H17)-N(H18)-N(H19)+N(H20)-N(H21)+N(H22)</f>
        <v>73.54</v>
      </c>
      <c r="I23" s="24" t="n">
        <f aca="false">N(I17)-N(I18)-N(I19)+N(I20)-N(I21)+N(I22)</f>
        <v>75.37</v>
      </c>
      <c r="J23" s="24" t="n">
        <f aca="false">N(J17)-N(J18)-N(J19)+N(J20)-N(J21)+N(J22)</f>
        <v>62.27</v>
      </c>
      <c r="K23" s="24" t="n">
        <f aca="false">N(K17)-N(K18)-N(K19)+N(K20)-N(K21)+N(K22)</f>
        <v>79.2</v>
      </c>
      <c r="L23" s="24" t="n">
        <f aca="false">N(L17)-N(L18)-N(L19)+N(L20)-N(L21)+N(L22)</f>
        <v>81.18</v>
      </c>
      <c r="M23" s="24" t="n">
        <f aca="false">N(M17)-N(M18)-N(M19)+N(M20)-N(M21)+N(M22)</f>
        <v>83.21</v>
      </c>
      <c r="N23" s="24" t="n">
        <f aca="false">N(N17)-N(N18)-N(N19)+N(N20)-N(N21)+N(N22)</f>
        <v>85.28</v>
      </c>
      <c r="O23" s="24" t="n">
        <f aca="false">N(O17)-N(O18)-N(O19)+N(O20)-N(O21)+N(O22)</f>
        <v>87.42</v>
      </c>
      <c r="P23" s="24" t="n">
        <f aca="false">N(P17)-N(P18)-N(P19)+N(P20)-N(P21)+N(P22)</f>
        <v>89.61</v>
      </c>
      <c r="Q23" s="24" t="n">
        <f aca="false">N(Q17)-N(Q18)-N(Q19)+N(Q20)-N(Q21)+N(Q22)</f>
        <v>91.84</v>
      </c>
      <c r="R23" s="24" t="n">
        <f aca="false">N(R17)-N(R18)-N(R19)+N(R20)-N(R21)+N(R22)</f>
        <v>94.14</v>
      </c>
      <c r="S23" s="24" t="n">
        <f aca="false">N(S17)-N(S18)-N(S19)+N(S20)-N(S21)+N(S22)</f>
        <v>96.5</v>
      </c>
      <c r="T23" s="24" t="n">
        <f aca="false">N(T17)-N(T18)-N(T19)+N(T20)-N(T21)+N(T22)</f>
        <v>88.9</v>
      </c>
      <c r="U23" s="24" t="n">
        <f aca="false">N(U17)-N(U18)-N(U19)+N(U20)-N(U21)+N(U22)</f>
        <v>101.37</v>
      </c>
      <c r="V23" s="24" t="n">
        <f aca="false">N(V17)-N(V18)-N(V19)+N(V20)-N(V21)+N(V22)</f>
        <v>103.92</v>
      </c>
      <c r="W23" s="24" t="n">
        <f aca="false">N(W17)-N(W18)-N(W19)+N(W20)-N(W21)+N(W22)</f>
        <v>106.52</v>
      </c>
      <c r="X23" s="24" t="n">
        <f aca="false">N(X17)-N(X18)-N(X19)+N(X20)-N(X21)+N(X22)</f>
        <v>109.18</v>
      </c>
      <c r="Y23" s="24" t="n">
        <f aca="false">N(Y17)-N(Y18)-N(Y19)+N(Y20)-N(Y21)+N(Y22)</f>
        <v>111.9</v>
      </c>
      <c r="Z23" s="24" t="n">
        <f aca="false">N(Z17)-N(Z18)-N(Z19)+N(Z20)-N(Z21)+N(Z22)</f>
        <v>114.7</v>
      </c>
      <c r="AA23" s="24" t="n">
        <f aca="false">N(AA17)-N(AA18)-N(AA19)+N(AA20)-N(AA21)+N(AA22)</f>
        <v>117.58</v>
      </c>
      <c r="AB23" s="24" t="n">
        <f aca="false">N(AB17)-N(AB18)-N(AB19)+N(AB20)-N(AB21)+N(AB22)</f>
        <v>120.5</v>
      </c>
      <c r="AC23" s="24" t="n">
        <f aca="false">N(AC17)-N(AC18)-N(AC19)+N(AC20)-N(AC21)+N(AC22)</f>
        <v>123.52</v>
      </c>
      <c r="AD23" s="24" t="n">
        <f aca="false">N(AD17)-N(AD18)-N(AD19)+N(AD20)-N(AD21)+N(AD22)</f>
        <v>116.61</v>
      </c>
      <c r="AE23" s="24" t="n">
        <f aca="false">N(AE17)-N(AE18)-N(AE19)+N(AE20)-N(AE21)+N(AE22)</f>
        <v>0</v>
      </c>
      <c r="AF23" s="24" t="n">
        <f aca="false">N(AF17)-N(AF18)-N(AF19)+N(AF20)-N(AF21)+N(AF22)</f>
        <v>0</v>
      </c>
    </row>
    <row r="25" customFormat="false" ht="15" hidden="false" customHeight="false" outlineLevel="0" collapsed="false">
      <c r="A25" s="9" t="s">
        <v>69</v>
      </c>
      <c r="C25" s="28" t="n">
        <f aca="false">Inputs!$C$5</f>
        <v>800</v>
      </c>
      <c r="D25" s="29" t="n">
        <f aca="false">C30</f>
        <v>782.72</v>
      </c>
      <c r="E25" s="29" t="n">
        <f aca="false">D30</f>
        <v>765.44</v>
      </c>
      <c r="F25" s="29" t="n">
        <f aca="false">E30</f>
        <v>746.4</v>
      </c>
      <c r="G25" s="29" t="n">
        <f aca="false">F30</f>
        <v>727.36</v>
      </c>
      <c r="H25" s="29" t="n">
        <f aca="false">G30</f>
        <v>706.56</v>
      </c>
      <c r="I25" s="29" t="n">
        <f aca="false">H30</f>
        <v>685.76</v>
      </c>
      <c r="J25" s="29" t="n">
        <f aca="false">I30</f>
        <v>663.28</v>
      </c>
      <c r="K25" s="29" t="n">
        <f aca="false">J30</f>
        <v>640.8</v>
      </c>
      <c r="L25" s="29" t="n">
        <f aca="false">K30</f>
        <v>616.56</v>
      </c>
      <c r="M25" s="29" t="n">
        <f aca="false">L30</f>
        <v>592.32</v>
      </c>
      <c r="N25" s="29" t="n">
        <f aca="false">M30</f>
        <v>566.32</v>
      </c>
      <c r="O25" s="29" t="n">
        <f aca="false">N30</f>
        <v>540.32</v>
      </c>
      <c r="P25" s="29" t="n">
        <f aca="false">O30</f>
        <v>512.64</v>
      </c>
      <c r="Q25" s="29" t="n">
        <f aca="false">P30</f>
        <v>484.96</v>
      </c>
      <c r="R25" s="29" t="n">
        <f aca="false">Q30</f>
        <v>455.52</v>
      </c>
      <c r="S25" s="29" t="n">
        <f aca="false">R30</f>
        <v>426.08</v>
      </c>
      <c r="T25" s="29" t="n">
        <f aca="false">S30</f>
        <v>394.88</v>
      </c>
      <c r="U25" s="29" t="n">
        <f aca="false">T30</f>
        <v>363.68</v>
      </c>
      <c r="V25" s="29" t="n">
        <f aca="false">U30</f>
        <v>330.8</v>
      </c>
      <c r="W25" s="29" t="n">
        <f aca="false">V30</f>
        <v>297.92</v>
      </c>
      <c r="X25" s="29" t="n">
        <f aca="false">W30</f>
        <v>263.28</v>
      </c>
      <c r="Y25" s="29" t="n">
        <f aca="false">X30</f>
        <v>228.64</v>
      </c>
      <c r="Z25" s="29" t="n">
        <f aca="false">Y30</f>
        <v>192.24</v>
      </c>
      <c r="AA25" s="29" t="n">
        <f aca="false">Z30</f>
        <v>155.84</v>
      </c>
      <c r="AB25" s="29" t="n">
        <f aca="false">AA30</f>
        <v>117.76</v>
      </c>
      <c r="AC25" s="29" t="n">
        <f aca="false">AB30</f>
        <v>79.6800000000002</v>
      </c>
      <c r="AD25" s="29" t="n">
        <f aca="false">AC30</f>
        <v>39.8400000000002</v>
      </c>
      <c r="AE25" s="29" t="n">
        <f aca="false">AD30</f>
        <v>2.41584530158434E-013</v>
      </c>
      <c r="AF25" s="29" t="n">
        <f aca="false">AE30</f>
        <v>2.41584530158434E-013</v>
      </c>
    </row>
    <row r="26" customFormat="false" ht="15" hidden="false" customHeight="false" outlineLevel="0" collapsed="false">
      <c r="A26" s="9" t="s">
        <v>70</v>
      </c>
      <c r="B26" s="30" t="n">
        <f aca="false">SUM(C26:AF26)</f>
        <v>1</v>
      </c>
      <c r="C26" s="18" t="n">
        <v>0.0216</v>
      </c>
      <c r="D26" s="18" t="n">
        <v>0.0216</v>
      </c>
      <c r="E26" s="18" t="n">
        <v>0.0238</v>
      </c>
      <c r="F26" s="18" t="n">
        <v>0.0238</v>
      </c>
      <c r="G26" s="18" t="n">
        <v>0.026</v>
      </c>
      <c r="H26" s="18" t="n">
        <v>0.026</v>
      </c>
      <c r="I26" s="18" t="n">
        <v>0.0281</v>
      </c>
      <c r="J26" s="18" t="n">
        <v>0.0281</v>
      </c>
      <c r="K26" s="18" t="n">
        <v>0.0303</v>
      </c>
      <c r="L26" s="18" t="n">
        <v>0.0303</v>
      </c>
      <c r="M26" s="18" t="n">
        <v>0.0325</v>
      </c>
      <c r="N26" s="18" t="n">
        <v>0.0325</v>
      </c>
      <c r="O26" s="18" t="n">
        <v>0.0346</v>
      </c>
      <c r="P26" s="18" t="n">
        <v>0.0346</v>
      </c>
      <c r="Q26" s="18" t="n">
        <v>0.0368</v>
      </c>
      <c r="R26" s="18" t="n">
        <v>0.0368</v>
      </c>
      <c r="S26" s="18" t="n">
        <v>0.039</v>
      </c>
      <c r="T26" s="18" t="n">
        <v>0.039</v>
      </c>
      <c r="U26" s="18" t="n">
        <v>0.0411</v>
      </c>
      <c r="V26" s="18" t="n">
        <v>0.0411</v>
      </c>
      <c r="W26" s="18" t="n">
        <v>0.0433</v>
      </c>
      <c r="X26" s="18" t="n">
        <v>0.0433</v>
      </c>
      <c r="Y26" s="18" t="n">
        <v>0.0455</v>
      </c>
      <c r="Z26" s="18" t="n">
        <v>0.0455</v>
      </c>
      <c r="AA26" s="18" t="n">
        <v>0.0476</v>
      </c>
      <c r="AB26" s="18" t="n">
        <v>0.0476</v>
      </c>
      <c r="AC26" s="18" t="n">
        <v>0.0498</v>
      </c>
      <c r="AD26" s="18" t="n">
        <v>0.0498</v>
      </c>
      <c r="AE26" s="18"/>
      <c r="AF26" s="18"/>
    </row>
    <row r="27" customFormat="false" ht="15" hidden="false" customHeight="false" outlineLevel="0" collapsed="false">
      <c r="A27" s="9" t="s">
        <v>71</v>
      </c>
      <c r="B27" s="24" t="n">
        <f aca="false">SUM(C27:AF27)</f>
        <v>800</v>
      </c>
      <c r="C27" s="29" t="n">
        <f aca="false">MIN(C25,N(C26)*Inputs!$C$5)</f>
        <v>17.28</v>
      </c>
      <c r="D27" s="29" t="n">
        <f aca="false">MIN(D25,N(D26)*Inputs!$C$5)</f>
        <v>17.28</v>
      </c>
      <c r="E27" s="29" t="n">
        <f aca="false">MIN(E25,N(E26)*Inputs!$C$5)</f>
        <v>19.04</v>
      </c>
      <c r="F27" s="29" t="n">
        <f aca="false">MIN(F25,N(F26)*Inputs!$C$5)</f>
        <v>19.04</v>
      </c>
      <c r="G27" s="29" t="n">
        <f aca="false">MIN(G25,N(G26)*Inputs!$C$5)</f>
        <v>20.8</v>
      </c>
      <c r="H27" s="29" t="n">
        <f aca="false">MIN(H25,N(H26)*Inputs!$C$5)</f>
        <v>20.8</v>
      </c>
      <c r="I27" s="29" t="n">
        <f aca="false">MIN(I25,N(I26)*Inputs!$C$5)</f>
        <v>22.48</v>
      </c>
      <c r="J27" s="29" t="n">
        <f aca="false">MIN(J25,N(J26)*Inputs!$C$5)</f>
        <v>22.48</v>
      </c>
      <c r="K27" s="29" t="n">
        <f aca="false">MIN(K25,N(K26)*Inputs!$C$5)</f>
        <v>24.24</v>
      </c>
      <c r="L27" s="29" t="n">
        <f aca="false">MIN(L25,N(L26)*Inputs!$C$5)</f>
        <v>24.24</v>
      </c>
      <c r="M27" s="29" t="n">
        <f aca="false">MIN(M25,N(M26)*Inputs!$C$5)</f>
        <v>26</v>
      </c>
      <c r="N27" s="29" t="n">
        <f aca="false">MIN(N25,N(N26)*Inputs!$C$5)</f>
        <v>26</v>
      </c>
      <c r="O27" s="29" t="n">
        <f aca="false">MIN(O25,N(O26)*Inputs!$C$5)</f>
        <v>27.68</v>
      </c>
      <c r="P27" s="29" t="n">
        <f aca="false">MIN(P25,N(P26)*Inputs!$C$5)</f>
        <v>27.68</v>
      </c>
      <c r="Q27" s="29" t="n">
        <f aca="false">MIN(Q25,N(Q26)*Inputs!$C$5)</f>
        <v>29.44</v>
      </c>
      <c r="R27" s="29" t="n">
        <f aca="false">MIN(R25,N(R26)*Inputs!$C$5)</f>
        <v>29.44</v>
      </c>
      <c r="S27" s="29" t="n">
        <f aca="false">MIN(S25,N(S26)*Inputs!$C$5)</f>
        <v>31.2</v>
      </c>
      <c r="T27" s="29" t="n">
        <f aca="false">MIN(T25,N(T26)*Inputs!$C$5)</f>
        <v>31.2</v>
      </c>
      <c r="U27" s="29" t="n">
        <f aca="false">MIN(U25,N(U26)*Inputs!$C$5)</f>
        <v>32.88</v>
      </c>
      <c r="V27" s="29" t="n">
        <f aca="false">MIN(V25,N(V26)*Inputs!$C$5)</f>
        <v>32.88</v>
      </c>
      <c r="W27" s="29" t="n">
        <f aca="false">MIN(W25,N(W26)*Inputs!$C$5)</f>
        <v>34.64</v>
      </c>
      <c r="X27" s="29" t="n">
        <f aca="false">MIN(X25,N(X26)*Inputs!$C$5)</f>
        <v>34.64</v>
      </c>
      <c r="Y27" s="29" t="n">
        <f aca="false">MIN(Y25,N(Y26)*Inputs!$C$5)</f>
        <v>36.4</v>
      </c>
      <c r="Z27" s="29" t="n">
        <f aca="false">MIN(Z25,N(Z26)*Inputs!$C$5)</f>
        <v>36.4</v>
      </c>
      <c r="AA27" s="29" t="n">
        <f aca="false">MIN(AA25,N(AA26)*Inputs!$C$5)</f>
        <v>38.08</v>
      </c>
      <c r="AB27" s="29" t="n">
        <f aca="false">MIN(AB25,N(AB26)*Inputs!$C$5)</f>
        <v>38.08</v>
      </c>
      <c r="AC27" s="29" t="n">
        <f aca="false">MIN(AC25,N(AC26)*Inputs!$C$5)</f>
        <v>39.84</v>
      </c>
      <c r="AD27" s="29" t="n">
        <f aca="false">MIN(AD25,N(AD26)*Inputs!$C$5)</f>
        <v>39.84</v>
      </c>
      <c r="AE27" s="29" t="n">
        <f aca="false">MIN(AE25,N(AE26)*Inputs!$C$5)</f>
        <v>0</v>
      </c>
      <c r="AF27" s="29" t="n">
        <f aca="false">MIN(AF25,N(AF26)*Inputs!$C$5)</f>
        <v>0</v>
      </c>
    </row>
    <row r="28" customFormat="false" ht="15" hidden="false" customHeight="false" outlineLevel="0" collapsed="false">
      <c r="A28" s="9" t="s">
        <v>72</v>
      </c>
      <c r="B28" s="24" t="n">
        <f aca="false">SUM(C28:AF28)</f>
        <v>592.992</v>
      </c>
      <c r="C28" s="29" t="n">
        <f aca="false">C25*Inputs!$C$6/2</f>
        <v>36</v>
      </c>
      <c r="D28" s="29" t="n">
        <f aca="false">D25*Inputs!$C$6/2</f>
        <v>35.2224</v>
      </c>
      <c r="E28" s="29" t="n">
        <f aca="false">E25*Inputs!$C$6/2</f>
        <v>34.4448</v>
      </c>
      <c r="F28" s="29" t="n">
        <f aca="false">F25*Inputs!$C$6/2</f>
        <v>33.588</v>
      </c>
      <c r="G28" s="29" t="n">
        <f aca="false">G25*Inputs!$C$6/2</f>
        <v>32.7312</v>
      </c>
      <c r="H28" s="29" t="n">
        <f aca="false">H25*Inputs!$C$6/2</f>
        <v>31.7952</v>
      </c>
      <c r="I28" s="29" t="n">
        <f aca="false">I25*Inputs!$C$6/2</f>
        <v>30.8592</v>
      </c>
      <c r="J28" s="29" t="n">
        <f aca="false">J25*Inputs!$C$6/2</f>
        <v>29.8476</v>
      </c>
      <c r="K28" s="29" t="n">
        <f aca="false">K25*Inputs!$C$6/2</f>
        <v>28.836</v>
      </c>
      <c r="L28" s="29" t="n">
        <f aca="false">L25*Inputs!$C$6/2</f>
        <v>27.7452</v>
      </c>
      <c r="M28" s="29" t="n">
        <f aca="false">M25*Inputs!$C$6/2</f>
        <v>26.6544</v>
      </c>
      <c r="N28" s="29" t="n">
        <f aca="false">N25*Inputs!$C$6/2</f>
        <v>25.4844</v>
      </c>
      <c r="O28" s="29" t="n">
        <f aca="false">O25*Inputs!$C$6/2</f>
        <v>24.3144</v>
      </c>
      <c r="P28" s="29" t="n">
        <f aca="false">P25*Inputs!$C$6/2</f>
        <v>23.0688</v>
      </c>
      <c r="Q28" s="29" t="n">
        <f aca="false">Q25*Inputs!$C$6/2</f>
        <v>21.8232</v>
      </c>
      <c r="R28" s="29" t="n">
        <f aca="false">R25*Inputs!$C$6/2</f>
        <v>20.4984</v>
      </c>
      <c r="S28" s="29" t="n">
        <f aca="false">S25*Inputs!$C$6/2</f>
        <v>19.1736</v>
      </c>
      <c r="T28" s="29" t="n">
        <f aca="false">T25*Inputs!$C$6/2</f>
        <v>17.7696</v>
      </c>
      <c r="U28" s="29" t="n">
        <f aca="false">U25*Inputs!$C$6/2</f>
        <v>16.3656</v>
      </c>
      <c r="V28" s="29" t="n">
        <f aca="false">V25*Inputs!$C$6/2</f>
        <v>14.886</v>
      </c>
      <c r="W28" s="29" t="n">
        <f aca="false">W25*Inputs!$C$6/2</f>
        <v>13.4064</v>
      </c>
      <c r="X28" s="29" t="n">
        <f aca="false">X25*Inputs!$C$6/2</f>
        <v>11.8476</v>
      </c>
      <c r="Y28" s="29" t="n">
        <f aca="false">Y25*Inputs!$C$6/2</f>
        <v>10.2888</v>
      </c>
      <c r="Z28" s="29" t="n">
        <f aca="false">Z25*Inputs!$C$6/2</f>
        <v>8.65080000000001</v>
      </c>
      <c r="AA28" s="29" t="n">
        <f aca="false">AA25*Inputs!$C$6/2</f>
        <v>7.01280000000001</v>
      </c>
      <c r="AB28" s="29" t="n">
        <f aca="false">AB25*Inputs!$C$6/2</f>
        <v>5.29920000000001</v>
      </c>
      <c r="AC28" s="29" t="n">
        <f aca="false">AC25*Inputs!$C$6/2</f>
        <v>3.58560000000001</v>
      </c>
      <c r="AD28" s="29" t="n">
        <f aca="false">AD25*Inputs!$C$6/2</f>
        <v>1.79280000000001</v>
      </c>
      <c r="AE28" s="29" t="n">
        <f aca="false">AE25*Inputs!$C$6/2</f>
        <v>1.08713038571295E-014</v>
      </c>
      <c r="AF28" s="29" t="n">
        <f aca="false">AF25*Inputs!$C$6/2</f>
        <v>1.08713038571295E-014</v>
      </c>
    </row>
    <row r="29" customFormat="false" ht="15" hidden="false" customHeight="false" outlineLevel="0" collapsed="false">
      <c r="A29" s="14" t="s">
        <v>73</v>
      </c>
      <c r="B29" s="24" t="n">
        <f aca="false">SUM(C29:AF29)</f>
        <v>1392.992</v>
      </c>
      <c r="C29" s="31" t="n">
        <f aca="false">C27+C28</f>
        <v>53.28</v>
      </c>
      <c r="D29" s="31" t="n">
        <f aca="false">D27+D28</f>
        <v>52.5024</v>
      </c>
      <c r="E29" s="31" t="n">
        <f aca="false">E27+E28</f>
        <v>53.4848</v>
      </c>
      <c r="F29" s="31" t="n">
        <f aca="false">F27+F28</f>
        <v>52.628</v>
      </c>
      <c r="G29" s="31" t="n">
        <f aca="false">G27+G28</f>
        <v>53.5312</v>
      </c>
      <c r="H29" s="31" t="n">
        <f aca="false">H27+H28</f>
        <v>52.5952</v>
      </c>
      <c r="I29" s="31" t="n">
        <f aca="false">I27+I28</f>
        <v>53.3392</v>
      </c>
      <c r="J29" s="31" t="n">
        <f aca="false">J27+J28</f>
        <v>52.3276</v>
      </c>
      <c r="K29" s="31" t="n">
        <f aca="false">K27+K28</f>
        <v>53.076</v>
      </c>
      <c r="L29" s="31" t="n">
        <f aca="false">L27+L28</f>
        <v>51.9852</v>
      </c>
      <c r="M29" s="31" t="n">
        <f aca="false">M27+M28</f>
        <v>52.6544</v>
      </c>
      <c r="N29" s="31" t="n">
        <f aca="false">N27+N28</f>
        <v>51.4844</v>
      </c>
      <c r="O29" s="31" t="n">
        <f aca="false">O27+O28</f>
        <v>51.9944</v>
      </c>
      <c r="P29" s="31" t="n">
        <f aca="false">P27+P28</f>
        <v>50.7488</v>
      </c>
      <c r="Q29" s="31" t="n">
        <f aca="false">Q27+Q28</f>
        <v>51.2632</v>
      </c>
      <c r="R29" s="31" t="n">
        <f aca="false">R27+R28</f>
        <v>49.9384</v>
      </c>
      <c r="S29" s="31" t="n">
        <f aca="false">S27+S28</f>
        <v>50.3736</v>
      </c>
      <c r="T29" s="31" t="n">
        <f aca="false">T27+T28</f>
        <v>48.9696</v>
      </c>
      <c r="U29" s="31" t="n">
        <f aca="false">U27+U28</f>
        <v>49.2456</v>
      </c>
      <c r="V29" s="31" t="n">
        <f aca="false">V27+V28</f>
        <v>47.766</v>
      </c>
      <c r="W29" s="31" t="n">
        <f aca="false">W27+W28</f>
        <v>48.0464</v>
      </c>
      <c r="X29" s="31" t="n">
        <f aca="false">X27+X28</f>
        <v>46.4876</v>
      </c>
      <c r="Y29" s="31" t="n">
        <f aca="false">Y27+Y28</f>
        <v>46.6888</v>
      </c>
      <c r="Z29" s="31" t="n">
        <f aca="false">Z27+Z28</f>
        <v>45.0508</v>
      </c>
      <c r="AA29" s="31" t="n">
        <f aca="false">AA27+AA28</f>
        <v>45.0928</v>
      </c>
      <c r="AB29" s="31" t="n">
        <f aca="false">AB27+AB28</f>
        <v>43.3792</v>
      </c>
      <c r="AC29" s="31" t="n">
        <f aca="false">AC27+AC28</f>
        <v>43.4256</v>
      </c>
      <c r="AD29" s="31" t="n">
        <f aca="false">AD27+AD28</f>
        <v>41.6328</v>
      </c>
      <c r="AE29" s="31" t="n">
        <f aca="false">AE27+AE28</f>
        <v>1.08713038571295E-014</v>
      </c>
      <c r="AF29" s="31" t="n">
        <f aca="false">AF27+AF28</f>
        <v>1.08713038571295E-014</v>
      </c>
    </row>
    <row r="30" customFormat="false" ht="15" hidden="false" customHeight="false" outlineLevel="0" collapsed="false">
      <c r="A30" s="9" t="s">
        <v>74</v>
      </c>
      <c r="C30" s="29" t="n">
        <f aca="false">C25-C27</f>
        <v>782.72</v>
      </c>
      <c r="D30" s="29" t="n">
        <f aca="false">D25-D27</f>
        <v>765.44</v>
      </c>
      <c r="E30" s="29" t="n">
        <f aca="false">E25-E27</f>
        <v>746.4</v>
      </c>
      <c r="F30" s="29" t="n">
        <f aca="false">F25-F27</f>
        <v>727.36</v>
      </c>
      <c r="G30" s="29" t="n">
        <f aca="false">G25-G27</f>
        <v>706.56</v>
      </c>
      <c r="H30" s="29" t="n">
        <f aca="false">H25-H27</f>
        <v>685.76</v>
      </c>
      <c r="I30" s="29" t="n">
        <f aca="false">I25-I27</f>
        <v>663.28</v>
      </c>
      <c r="J30" s="29" t="n">
        <f aca="false">J25-J27</f>
        <v>640.8</v>
      </c>
      <c r="K30" s="29" t="n">
        <f aca="false">K25-K27</f>
        <v>616.56</v>
      </c>
      <c r="L30" s="29" t="n">
        <f aca="false">L25-L27</f>
        <v>592.32</v>
      </c>
      <c r="M30" s="29" t="n">
        <f aca="false">M25-M27</f>
        <v>566.32</v>
      </c>
      <c r="N30" s="29" t="n">
        <f aca="false">N25-N27</f>
        <v>540.32</v>
      </c>
      <c r="O30" s="29" t="n">
        <f aca="false">O25-O27</f>
        <v>512.64</v>
      </c>
      <c r="P30" s="29" t="n">
        <f aca="false">P25-P27</f>
        <v>484.96</v>
      </c>
      <c r="Q30" s="29" t="n">
        <f aca="false">Q25-Q27</f>
        <v>455.52</v>
      </c>
      <c r="R30" s="29" t="n">
        <f aca="false">R25-R27</f>
        <v>426.08</v>
      </c>
      <c r="S30" s="29" t="n">
        <f aca="false">S25-S27</f>
        <v>394.88</v>
      </c>
      <c r="T30" s="29" t="n">
        <f aca="false">T25-T27</f>
        <v>363.68</v>
      </c>
      <c r="U30" s="29" t="n">
        <f aca="false">U25-U27</f>
        <v>330.8</v>
      </c>
      <c r="V30" s="29" t="n">
        <f aca="false">V25-V27</f>
        <v>297.92</v>
      </c>
      <c r="W30" s="29" t="n">
        <f aca="false">W25-W27</f>
        <v>263.28</v>
      </c>
      <c r="X30" s="29" t="n">
        <f aca="false">X25-X27</f>
        <v>228.64</v>
      </c>
      <c r="Y30" s="29" t="n">
        <f aca="false">Y25-Y27</f>
        <v>192.24</v>
      </c>
      <c r="Z30" s="29" t="n">
        <f aca="false">Z25-Z27</f>
        <v>155.84</v>
      </c>
      <c r="AA30" s="29" t="n">
        <f aca="false">AA25-AA27</f>
        <v>117.76</v>
      </c>
      <c r="AB30" s="29" t="n">
        <f aca="false">AB25-AB27</f>
        <v>79.6800000000002</v>
      </c>
      <c r="AC30" s="29" t="n">
        <f aca="false">AC25-AC27</f>
        <v>39.8400000000002</v>
      </c>
      <c r="AD30" s="29" t="n">
        <f aca="false">AD25-AD27</f>
        <v>2.41584530158434E-013</v>
      </c>
      <c r="AE30" s="29" t="n">
        <f aca="false">AE25-AE27</f>
        <v>2.41584530158434E-013</v>
      </c>
      <c r="AF30" s="29" t="n">
        <f aca="false">AF25-AF27</f>
        <v>2.41584530158434E-013</v>
      </c>
    </row>
    <row r="32" customFormat="false" ht="15" hidden="false" customHeight="false" outlineLevel="0" collapsed="false">
      <c r="A32" s="14" t="s">
        <v>75</v>
      </c>
      <c r="C32" s="32" t="n">
        <f aca="false">IF(C29&lt;0.005,0,C23/C29)</f>
        <v>1.21996996996997</v>
      </c>
      <c r="D32" s="32" t="n">
        <f aca="false">IF(D29&lt;0.005,0,D23/D29)</f>
        <v>1.2690848418358</v>
      </c>
      <c r="E32" s="32" t="n">
        <f aca="false">IF(E29&lt;0.005,0,E23/E29)</f>
        <v>1.27681135574967</v>
      </c>
      <c r="F32" s="32" t="n">
        <f aca="false">IF(F29&lt;0.005,0,F23/F29)</f>
        <v>1.33028045907122</v>
      </c>
      <c r="G32" s="32" t="n">
        <f aca="false">IF(G29&lt;0.005,0,G23/G29)</f>
        <v>1.34015303225035</v>
      </c>
      <c r="H32" s="32" t="n">
        <f aca="false">IF(H29&lt;0.005,0,H23/H29)</f>
        <v>1.39822645412509</v>
      </c>
      <c r="I32" s="32" t="n">
        <f aca="false">IF(I29&lt;0.005,0,I23/I29)</f>
        <v>1.41303206647269</v>
      </c>
      <c r="J32" s="32" t="n">
        <f aca="false">IF(J29&lt;0.005,0,J23/J29)</f>
        <v>1.19000298121832</v>
      </c>
      <c r="K32" s="32" t="n">
        <f aca="false">IF(K29&lt;0.005,0,K23/K29)</f>
        <v>1.49219986434547</v>
      </c>
      <c r="L32" s="32" t="n">
        <f aca="false">IF(L29&lt;0.005,0,L23/L29)</f>
        <v>1.56159830105492</v>
      </c>
      <c r="M32" s="32" t="n">
        <f aca="false">IF(M29&lt;0.005,0,M23/M29)</f>
        <v>1.58030477984746</v>
      </c>
      <c r="N32" s="32" t="n">
        <f aca="false">IF(N29&lt;0.005,0,N23/N29)</f>
        <v>1.65642408185781</v>
      </c>
      <c r="O32" s="32" t="n">
        <f aca="false">IF(O29&lt;0.005,0,O23/O29)</f>
        <v>1.68133491299063</v>
      </c>
      <c r="P32" s="32" t="n">
        <f aca="false">IF(P29&lt;0.005,0,P23/P29)</f>
        <v>1.76575603758118</v>
      </c>
      <c r="Q32" s="32" t="n">
        <f aca="false">IF(Q29&lt;0.005,0,Q23/Q29)</f>
        <v>1.79153856957818</v>
      </c>
      <c r="R32" s="32" t="n">
        <f aca="false">IF(R29&lt;0.005,0,R23/R29)</f>
        <v>1.88512247088413</v>
      </c>
      <c r="S32" s="32" t="n">
        <f aca="false">IF(S29&lt;0.005,0,S23/S29)</f>
        <v>1.91568599425096</v>
      </c>
      <c r="T32" s="32" t="n">
        <f aca="false">IF(T29&lt;0.005,0,T23/T29)</f>
        <v>1.81541201071685</v>
      </c>
      <c r="U32" s="32" t="n">
        <f aca="false">IF(U29&lt;0.005,0,U23/U29)</f>
        <v>2.05845801452312</v>
      </c>
      <c r="V32" s="32" t="n">
        <f aca="false">IF(V29&lt;0.005,0,V23/V29)</f>
        <v>2.17560607963824</v>
      </c>
      <c r="W32" s="32" t="n">
        <f aca="false">IF(W29&lt;0.005,0,W23/W29)</f>
        <v>2.21702354390756</v>
      </c>
      <c r="X32" s="32" t="n">
        <f aca="false">IF(X29&lt;0.005,0,X23/X29)</f>
        <v>2.34858327812148</v>
      </c>
      <c r="Y32" s="32" t="n">
        <f aca="false">IF(Y29&lt;0.005,0,Y23/Y29)</f>
        <v>2.39672041260431</v>
      </c>
      <c r="Z32" s="32" t="n">
        <f aca="false">IF(Z29&lt;0.005,0,Z23/Z29)</f>
        <v>2.54601472115922</v>
      </c>
      <c r="AA32" s="32" t="n">
        <f aca="false">IF(AA29&lt;0.005,0,AA23/AA29)</f>
        <v>2.60751162048043</v>
      </c>
      <c r="AB32" s="32" t="n">
        <f aca="false">IF(AB29&lt;0.005,0,AB23/AB29)</f>
        <v>2.77782900560637</v>
      </c>
      <c r="AC32" s="32" t="n">
        <f aca="false">IF(AC29&lt;0.005,0,AC23/AC29)</f>
        <v>2.84440514350982</v>
      </c>
      <c r="AD32" s="32" t="n">
        <f aca="false">IF(AD29&lt;0.005,0,AD23/AD29)</f>
        <v>2.80091658500029</v>
      </c>
      <c r="AE32" s="32" t="n">
        <f aca="false">IF(AE29&lt;0.005,0,AE23/AE29)</f>
        <v>0</v>
      </c>
      <c r="AF32" s="32" t="n">
        <f aca="false">IF(AF29&lt;0.005,0,AF23/AF29)</f>
        <v>0</v>
      </c>
    </row>
    <row r="33" customFormat="false" ht="15" hidden="false" customHeight="false" outlineLevel="0" collapsed="false">
      <c r="A33" s="14" t="s">
        <v>76</v>
      </c>
      <c r="C33" s="10" t="str">
        <f aca="false">IF(C29&lt;0.005,"",IF(C32&lt;Inputs!$C$10,"Default",IF(C32&lt;Inputs!$C$9,"Lock-up",IF(C32&lt;Inputs!$C$8,"Below covenant","Pass"))))</f>
        <v>Pass</v>
      </c>
      <c r="D33" s="10" t="str">
        <f aca="false">IF(D29&lt;0.005,"",IF(D32&lt;Inputs!$C$10,"Default",IF(D32&lt;Inputs!$C$9,"Lock-up",IF(D32&lt;Inputs!$C$8,"Below covenant","Pass"))))</f>
        <v>Pass</v>
      </c>
      <c r="E33" s="10" t="str">
        <f aca="false">IF(E29&lt;0.005,"",IF(E32&lt;Inputs!$C$10,"Default",IF(E32&lt;Inputs!$C$9,"Lock-up",IF(E32&lt;Inputs!$C$8,"Below covenant","Pass"))))</f>
        <v>Pass</v>
      </c>
      <c r="F33" s="10" t="str">
        <f aca="false">IF(F29&lt;0.005,"",IF(F32&lt;Inputs!$C$10,"Default",IF(F32&lt;Inputs!$C$9,"Lock-up",IF(F32&lt;Inputs!$C$8,"Below covenant","Pass"))))</f>
        <v>Pass</v>
      </c>
      <c r="G33" s="10" t="str">
        <f aca="false">IF(G29&lt;0.005,"",IF(G32&lt;Inputs!$C$10,"Default",IF(G32&lt;Inputs!$C$9,"Lock-up",IF(G32&lt;Inputs!$C$8,"Below covenant","Pass"))))</f>
        <v>Pass</v>
      </c>
      <c r="H33" s="10" t="str">
        <f aca="false">IF(H29&lt;0.005,"",IF(H32&lt;Inputs!$C$10,"Default",IF(H32&lt;Inputs!$C$9,"Lock-up",IF(H32&lt;Inputs!$C$8,"Below covenant","Pass"))))</f>
        <v>Pass</v>
      </c>
      <c r="I33" s="10" t="str">
        <f aca="false">IF(I29&lt;0.005,"",IF(I32&lt;Inputs!$C$10,"Default",IF(I32&lt;Inputs!$C$9,"Lock-up",IF(I32&lt;Inputs!$C$8,"Below covenant","Pass"))))</f>
        <v>Pass</v>
      </c>
      <c r="J33" s="10" t="str">
        <f aca="false">IF(J29&lt;0.005,"",IF(J32&lt;Inputs!$C$10,"Default",IF(J32&lt;Inputs!$C$9,"Lock-up",IF(J32&lt;Inputs!$C$8,"Below covenant","Pass"))))</f>
        <v>Below covenant</v>
      </c>
      <c r="K33" s="10" t="str">
        <f aca="false">IF(K29&lt;0.005,"",IF(K32&lt;Inputs!$C$10,"Default",IF(K32&lt;Inputs!$C$9,"Lock-up",IF(K32&lt;Inputs!$C$8,"Below covenant","Pass"))))</f>
        <v>Pass</v>
      </c>
      <c r="L33" s="10" t="str">
        <f aca="false">IF(L29&lt;0.005,"",IF(L32&lt;Inputs!$C$10,"Default",IF(L32&lt;Inputs!$C$9,"Lock-up",IF(L32&lt;Inputs!$C$8,"Below covenant","Pass"))))</f>
        <v>Pass</v>
      </c>
      <c r="M33" s="10" t="str">
        <f aca="false">IF(M29&lt;0.005,"",IF(M32&lt;Inputs!$C$10,"Default",IF(M32&lt;Inputs!$C$9,"Lock-up",IF(M32&lt;Inputs!$C$8,"Below covenant","Pass"))))</f>
        <v>Pass</v>
      </c>
      <c r="N33" s="10" t="str">
        <f aca="false">IF(N29&lt;0.005,"",IF(N32&lt;Inputs!$C$10,"Default",IF(N32&lt;Inputs!$C$9,"Lock-up",IF(N32&lt;Inputs!$C$8,"Below covenant","Pass"))))</f>
        <v>Pass</v>
      </c>
      <c r="O33" s="10" t="str">
        <f aca="false">IF(O29&lt;0.005,"",IF(O32&lt;Inputs!$C$10,"Default",IF(O32&lt;Inputs!$C$9,"Lock-up",IF(O32&lt;Inputs!$C$8,"Below covenant","Pass"))))</f>
        <v>Pass</v>
      </c>
      <c r="P33" s="10" t="str">
        <f aca="false">IF(P29&lt;0.005,"",IF(P32&lt;Inputs!$C$10,"Default",IF(P32&lt;Inputs!$C$9,"Lock-up",IF(P32&lt;Inputs!$C$8,"Below covenant","Pass"))))</f>
        <v>Pass</v>
      </c>
      <c r="Q33" s="10" t="str">
        <f aca="false">IF(Q29&lt;0.005,"",IF(Q32&lt;Inputs!$C$10,"Default",IF(Q32&lt;Inputs!$C$9,"Lock-up",IF(Q32&lt;Inputs!$C$8,"Below covenant","Pass"))))</f>
        <v>Pass</v>
      </c>
      <c r="R33" s="10" t="str">
        <f aca="false">IF(R29&lt;0.005,"",IF(R32&lt;Inputs!$C$10,"Default",IF(R32&lt;Inputs!$C$9,"Lock-up",IF(R32&lt;Inputs!$C$8,"Below covenant","Pass"))))</f>
        <v>Pass</v>
      </c>
      <c r="S33" s="10" t="str">
        <f aca="false">IF(S29&lt;0.005,"",IF(S32&lt;Inputs!$C$10,"Default",IF(S32&lt;Inputs!$C$9,"Lock-up",IF(S32&lt;Inputs!$C$8,"Below covenant","Pass"))))</f>
        <v>Pass</v>
      </c>
      <c r="T33" s="10" t="str">
        <f aca="false">IF(T29&lt;0.005,"",IF(T32&lt;Inputs!$C$10,"Default",IF(T32&lt;Inputs!$C$9,"Lock-up",IF(T32&lt;Inputs!$C$8,"Below covenant","Pass"))))</f>
        <v>Pass</v>
      </c>
      <c r="U33" s="10" t="str">
        <f aca="false">IF(U29&lt;0.005,"",IF(U32&lt;Inputs!$C$10,"Default",IF(U32&lt;Inputs!$C$9,"Lock-up",IF(U32&lt;Inputs!$C$8,"Below covenant","Pass"))))</f>
        <v>Pass</v>
      </c>
      <c r="V33" s="10" t="str">
        <f aca="false">IF(V29&lt;0.005,"",IF(V32&lt;Inputs!$C$10,"Default",IF(V32&lt;Inputs!$C$9,"Lock-up",IF(V32&lt;Inputs!$C$8,"Below covenant","Pass"))))</f>
        <v>Pass</v>
      </c>
      <c r="W33" s="10" t="str">
        <f aca="false">IF(W29&lt;0.005,"",IF(W32&lt;Inputs!$C$10,"Default",IF(W32&lt;Inputs!$C$9,"Lock-up",IF(W32&lt;Inputs!$C$8,"Below covenant","Pass"))))</f>
        <v>Pass</v>
      </c>
      <c r="X33" s="10" t="str">
        <f aca="false">IF(X29&lt;0.005,"",IF(X32&lt;Inputs!$C$10,"Default",IF(X32&lt;Inputs!$C$9,"Lock-up",IF(X32&lt;Inputs!$C$8,"Below covenant","Pass"))))</f>
        <v>Pass</v>
      </c>
      <c r="Y33" s="10" t="str">
        <f aca="false">IF(Y29&lt;0.005,"",IF(Y32&lt;Inputs!$C$10,"Default",IF(Y32&lt;Inputs!$C$9,"Lock-up",IF(Y32&lt;Inputs!$C$8,"Below covenant","Pass"))))</f>
        <v>Pass</v>
      </c>
      <c r="Z33" s="10" t="str">
        <f aca="false">IF(Z29&lt;0.005,"",IF(Z32&lt;Inputs!$C$10,"Default",IF(Z32&lt;Inputs!$C$9,"Lock-up",IF(Z32&lt;Inputs!$C$8,"Below covenant","Pass"))))</f>
        <v>Pass</v>
      </c>
      <c r="AA33" s="10" t="str">
        <f aca="false">IF(AA29&lt;0.005,"",IF(AA32&lt;Inputs!$C$10,"Default",IF(AA32&lt;Inputs!$C$9,"Lock-up",IF(AA32&lt;Inputs!$C$8,"Below covenant","Pass"))))</f>
        <v>Pass</v>
      </c>
      <c r="AB33" s="10" t="str">
        <f aca="false">IF(AB29&lt;0.005,"",IF(AB32&lt;Inputs!$C$10,"Default",IF(AB32&lt;Inputs!$C$9,"Lock-up",IF(AB32&lt;Inputs!$C$8,"Below covenant","Pass"))))</f>
        <v>Pass</v>
      </c>
      <c r="AC33" s="10" t="str">
        <f aca="false">IF(AC29&lt;0.005,"",IF(AC32&lt;Inputs!$C$10,"Default",IF(AC32&lt;Inputs!$C$9,"Lock-up",IF(AC32&lt;Inputs!$C$8,"Below covenant","Pass"))))</f>
        <v>Pass</v>
      </c>
      <c r="AD33" s="10" t="str">
        <f aca="false">IF(AD29&lt;0.005,"",IF(AD32&lt;Inputs!$C$10,"Default",IF(AD32&lt;Inputs!$C$9,"Lock-up",IF(AD32&lt;Inputs!$C$8,"Below covenant","Pass"))))</f>
        <v>Pass</v>
      </c>
      <c r="AE33" s="10" t="str">
        <f aca="false">IF(AE29&lt;0.005,"",IF(AE32&lt;Inputs!$C$10,"Default",IF(AE32&lt;Inputs!$C$9,"Lock-up",IF(AE32&lt;Inputs!$C$8,"Below covenant","Pass"))))</f>
        <v/>
      </c>
      <c r="AF33" s="10" t="str">
        <f aca="false">IF(AF29&lt;0.005,"",IF(AF32&lt;Inputs!$C$10,"Default",IF(AF32&lt;Inputs!$C$9,"Lock-up",IF(AF32&lt;Inputs!$C$8,"Below covenant","Pass"))))</f>
        <v/>
      </c>
    </row>
    <row r="34" customFormat="false" ht="15" hidden="false" customHeight="false" outlineLevel="0" collapsed="false">
      <c r="A34" s="9" t="s">
        <v>77</v>
      </c>
      <c r="C34" s="33" t="n">
        <f aca="false">IF(C25&lt;0.005,0,NPV(Inputs!$C$6/2,C23:$AF$23)/C25)</f>
        <v>1.67517723852636</v>
      </c>
      <c r="D34" s="33" t="n">
        <f aca="false">IF(D25&lt;0.005,0,NPV(Inputs!$C$6/2,D23:$AF$23)/D25)</f>
        <v>1.70616334245712</v>
      </c>
      <c r="E34" s="33" t="n">
        <f aca="false">IF(E25&lt;0.005,0,NPV(Inputs!$C$6/2,E23:$AF$23)/E25)</f>
        <v>1.73614305382708</v>
      </c>
      <c r="F34" s="33" t="n">
        <f aca="false">IF(F25&lt;0.005,0,NPV(Inputs!$C$6/2,F23:$AF$23)/F25)</f>
        <v>1.76905739467023</v>
      </c>
      <c r="G34" s="33" t="n">
        <f aca="false">IF(G25&lt;0.005,0,NPV(Inputs!$C$6/2,G23:$AF$23)/G25)</f>
        <v>1.80080501973445</v>
      </c>
      <c r="H34" s="33" t="n">
        <f aca="false">IF(H25&lt;0.005,0,NPV(Inputs!$C$6/2,H23:$AF$23)/H25)</f>
        <v>1.83570545801627</v>
      </c>
      <c r="I34" s="33" t="n">
        <f aca="false">IF(I25&lt;0.005,0,NPV(Inputs!$C$6/2,I23:$AF$23)/I25)</f>
        <v>1.86925844405433</v>
      </c>
      <c r="J34" s="33" t="n">
        <f aca="false">IF(J25&lt;0.005,0,NPV(Inputs!$C$6/2,J23:$AF$23)/J25)</f>
        <v>1.90594694664615</v>
      </c>
      <c r="K34" s="33" t="n">
        <f aca="false">IF(K25&lt;0.005,0,NPV(Inputs!$C$6/2,K23:$AF$23)/K25)</f>
        <v>1.96441078785296</v>
      </c>
      <c r="L34" s="33" t="n">
        <f aca="false">IF(L25&lt;0.005,0,NPV(Inputs!$C$6/2,L23:$AF$23)/L25)</f>
        <v>2.00506063048966</v>
      </c>
      <c r="M34" s="33" t="n">
        <f aca="false">IF(M25&lt;0.005,0,NPV(Inputs!$C$6/2,M23:$AF$23)/M25)</f>
        <v>2.0439812779237</v>
      </c>
      <c r="N34" s="33" t="n">
        <f aca="false">IF(N25&lt;0.005,0,NPV(Inputs!$C$6/2,N23:$AF$23)/N25)</f>
        <v>2.08709225369765</v>
      </c>
      <c r="O34" s="33" t="n">
        <f aca="false">IF(O25&lt;0.005,0,NPV(Inputs!$C$6/2,O23:$AF$23)/O25)</f>
        <v>2.12812847746555</v>
      </c>
      <c r="P34" s="33" t="n">
        <f aca="false">IF(P25&lt;0.005,0,NPV(Inputs!$C$6/2,P23:$AF$23)/P25)</f>
        <v>2.17344441712834</v>
      </c>
      <c r="Q34" s="33" t="n">
        <f aca="false">IF(Q25&lt;0.005,0,NPV(Inputs!$C$6/2,Q23:$AF$23)/Q25)</f>
        <v>2.21610710278482</v>
      </c>
      <c r="R34" s="33" t="n">
        <f aca="false">IF(R25&lt;0.005,0,NPV(Inputs!$C$6/2,R23:$AF$23)/R25)</f>
        <v>2.26388709407275</v>
      </c>
      <c r="S34" s="33" t="n">
        <f aca="false">IF(S25&lt;0.005,0,NPV(Inputs!$C$6/2,S23:$AF$23)/S25)</f>
        <v>2.30827992935871</v>
      </c>
      <c r="T34" s="33" t="n">
        <f aca="false">IF(T25&lt;0.005,0,NPV(Inputs!$C$6/2,T23:$AF$23)/T25)</f>
        <v>2.35836190324835</v>
      </c>
      <c r="U34" s="33" t="n">
        <f aca="false">IF(U25&lt;0.005,0,NPV(Inputs!$C$6/2,U23:$AF$23)/U25)</f>
        <v>2.43147023765583</v>
      </c>
      <c r="V34" s="33" t="n">
        <f aca="false">IF(V25&lt;0.005,0,NPV(Inputs!$C$6/2,V23:$AF$23)/V25)</f>
        <v>2.48699989526013</v>
      </c>
      <c r="W34" s="33" t="n">
        <f aca="false">IF(W25&lt;0.005,0,NPV(Inputs!$C$6/2,W23:$AF$23)/W25)</f>
        <v>2.53692617411686</v>
      </c>
      <c r="X34" s="33" t="n">
        <f aca="false">IF(X25&lt;0.005,0,NPV(Inputs!$C$6/2,X23:$AF$23)/X25)</f>
        <v>2.59530573098441</v>
      </c>
      <c r="Y34" s="33" t="n">
        <f aca="false">IF(Y25&lt;0.005,0,NPV(Inputs!$C$6/2,Y23:$AF$23)/Y25)</f>
        <v>2.64546989604612</v>
      </c>
      <c r="Z34" s="33" t="n">
        <f aca="false">IF(Z25&lt;0.005,0,NPV(Inputs!$C$6/2,Z23:$AF$23)/Z25)</f>
        <v>2.7058829988474</v>
      </c>
      <c r="AA34" s="33" t="n">
        <f aca="false">IF(AA25&lt;0.005,0,NPV(Inputs!$C$6/2,AA23:$AF$23)/AA25)</f>
        <v>2.7520983081677</v>
      </c>
      <c r="AB34" s="33" t="n">
        <f aca="false">IF(AB25&lt;0.005,0,NPV(Inputs!$C$6/2,AB23:$AF$23)/AB25)</f>
        <v>2.80746361549229</v>
      </c>
      <c r="AC34" s="33" t="n">
        <f aca="false">IF(AC25&lt;0.005,0,NPV(Inputs!$C$6/2,AC23:$AF$23)/AC25)</f>
        <v>2.82359722077798</v>
      </c>
      <c r="AD34" s="33" t="n">
        <f aca="false">IF(AD25&lt;0.005,0,NPV(Inputs!$C$6/2,AD23:$AF$23)/AD25)</f>
        <v>2.80091658500027</v>
      </c>
      <c r="AE34" s="33" t="n">
        <f aca="false">IF(AE25&lt;0.005,0,NPV(Inputs!$C$6/2,AE23:$AF$23)/AE25)</f>
        <v>0</v>
      </c>
      <c r="AF34" s="33" t="n">
        <f aca="false">IF(AF25&lt;0.005,0,NPV(Inputs!$C$6/2,AF23:$AF$23)/AF25)</f>
        <v>0</v>
      </c>
    </row>
    <row r="36" customFormat="false" ht="15" hidden="false" customHeight="false" outlineLevel="0" collapsed="false">
      <c r="A36" s="9" t="s">
        <v>78</v>
      </c>
      <c r="C36" s="29" t="n">
        <f aca="false">SUMPRODUCT((C$15:AF$15&gt;C$15)*(C$15:AF$15&lt;=C$15+Inputs!$C$11/6)*C$29:AF$29)</f>
        <v>52.5024</v>
      </c>
      <c r="D36" s="29" t="n">
        <f aca="false">SUMPRODUCT((C$15:AF$15&gt;D$15)*(C$15:AF$15&lt;=D$15+Inputs!$C$11/6)*C$29:AF$29)</f>
        <v>53.4848</v>
      </c>
      <c r="E36" s="29" t="n">
        <f aca="false">SUMPRODUCT((C$15:AF$15&gt;E$15)*(C$15:AF$15&lt;=E$15+Inputs!$C$11/6)*C$29:AF$29)</f>
        <v>52.628</v>
      </c>
      <c r="F36" s="29" t="n">
        <f aca="false">SUMPRODUCT((C$15:AF$15&gt;F$15)*(C$15:AF$15&lt;=F$15+Inputs!$C$11/6)*C$29:AF$29)</f>
        <v>53.5312</v>
      </c>
      <c r="G36" s="29" t="n">
        <f aca="false">SUMPRODUCT((C$15:AF$15&gt;G$15)*(C$15:AF$15&lt;=G$15+Inputs!$C$11/6)*C$29:AF$29)</f>
        <v>52.5952</v>
      </c>
      <c r="H36" s="29" t="n">
        <f aca="false">SUMPRODUCT((C$15:AF$15&gt;H$15)*(C$15:AF$15&lt;=H$15+Inputs!$C$11/6)*C$29:AF$29)</f>
        <v>53.3392</v>
      </c>
      <c r="I36" s="29" t="n">
        <f aca="false">SUMPRODUCT((C$15:AF$15&gt;I$15)*(C$15:AF$15&lt;=I$15+Inputs!$C$11/6)*C$29:AF$29)</f>
        <v>52.3276</v>
      </c>
      <c r="J36" s="29" t="n">
        <f aca="false">SUMPRODUCT((C$15:AF$15&gt;J$15)*(C$15:AF$15&lt;=J$15+Inputs!$C$11/6)*C$29:AF$29)</f>
        <v>53.076</v>
      </c>
      <c r="K36" s="29" t="n">
        <f aca="false">SUMPRODUCT((C$15:AF$15&gt;K$15)*(C$15:AF$15&lt;=K$15+Inputs!$C$11/6)*C$29:AF$29)</f>
        <v>51.9852</v>
      </c>
      <c r="L36" s="29" t="n">
        <f aca="false">SUMPRODUCT((C$15:AF$15&gt;L$15)*(C$15:AF$15&lt;=L$15+Inputs!$C$11/6)*C$29:AF$29)</f>
        <v>52.6544</v>
      </c>
      <c r="M36" s="29" t="n">
        <f aca="false">SUMPRODUCT((C$15:AF$15&gt;M$15)*(C$15:AF$15&lt;=M$15+Inputs!$C$11/6)*C$29:AF$29)</f>
        <v>51.4844</v>
      </c>
      <c r="N36" s="29" t="n">
        <f aca="false">SUMPRODUCT((C$15:AF$15&gt;N$15)*(C$15:AF$15&lt;=N$15+Inputs!$C$11/6)*C$29:AF$29)</f>
        <v>51.9944</v>
      </c>
      <c r="O36" s="29" t="n">
        <f aca="false">SUMPRODUCT((C$15:AF$15&gt;O$15)*(C$15:AF$15&lt;=O$15+Inputs!$C$11/6)*C$29:AF$29)</f>
        <v>50.7488</v>
      </c>
      <c r="P36" s="29" t="n">
        <f aca="false">SUMPRODUCT((C$15:AF$15&gt;P$15)*(C$15:AF$15&lt;=P$15+Inputs!$C$11/6)*C$29:AF$29)</f>
        <v>51.2632</v>
      </c>
      <c r="Q36" s="29" t="n">
        <f aca="false">SUMPRODUCT((C$15:AF$15&gt;Q$15)*(C$15:AF$15&lt;=Q$15+Inputs!$C$11/6)*C$29:AF$29)</f>
        <v>49.9384</v>
      </c>
      <c r="R36" s="29" t="n">
        <f aca="false">SUMPRODUCT((C$15:AF$15&gt;R$15)*(C$15:AF$15&lt;=R$15+Inputs!$C$11/6)*C$29:AF$29)</f>
        <v>50.3736</v>
      </c>
      <c r="S36" s="29" t="n">
        <f aca="false">SUMPRODUCT((C$15:AF$15&gt;S$15)*(C$15:AF$15&lt;=S$15+Inputs!$C$11/6)*C$29:AF$29)</f>
        <v>48.9696</v>
      </c>
      <c r="T36" s="29" t="n">
        <f aca="false">SUMPRODUCT((C$15:AF$15&gt;T$15)*(C$15:AF$15&lt;=T$15+Inputs!$C$11/6)*C$29:AF$29)</f>
        <v>49.2456</v>
      </c>
      <c r="U36" s="29" t="n">
        <f aca="false">SUMPRODUCT((C$15:AF$15&gt;U$15)*(C$15:AF$15&lt;=U$15+Inputs!$C$11/6)*C$29:AF$29)</f>
        <v>47.766</v>
      </c>
      <c r="V36" s="29" t="n">
        <f aca="false">SUMPRODUCT((C$15:AF$15&gt;V$15)*(C$15:AF$15&lt;=V$15+Inputs!$C$11/6)*C$29:AF$29)</f>
        <v>48.0464</v>
      </c>
      <c r="W36" s="29" t="n">
        <f aca="false">SUMPRODUCT((C$15:AF$15&gt;W$15)*(C$15:AF$15&lt;=W$15+Inputs!$C$11/6)*C$29:AF$29)</f>
        <v>46.4876</v>
      </c>
      <c r="X36" s="29" t="n">
        <f aca="false">SUMPRODUCT((C$15:AF$15&gt;X$15)*(C$15:AF$15&lt;=X$15+Inputs!$C$11/6)*C$29:AF$29)</f>
        <v>46.6888</v>
      </c>
      <c r="Y36" s="29" t="n">
        <f aca="false">SUMPRODUCT((C$15:AF$15&gt;Y$15)*(C$15:AF$15&lt;=Y$15+Inputs!$C$11/6)*C$29:AF$29)</f>
        <v>45.0508</v>
      </c>
      <c r="Z36" s="29" t="n">
        <f aca="false">SUMPRODUCT((C$15:AF$15&gt;Z$15)*(C$15:AF$15&lt;=Z$15+Inputs!$C$11/6)*C$29:AF$29)</f>
        <v>45.0928</v>
      </c>
      <c r="AA36" s="29" t="n">
        <f aca="false">SUMPRODUCT((C$15:AF$15&gt;AA$15)*(C$15:AF$15&lt;=AA$15+Inputs!$C$11/6)*C$29:AF$29)</f>
        <v>43.3792</v>
      </c>
      <c r="AB36" s="29" t="n">
        <f aca="false">SUMPRODUCT((C$15:AF$15&gt;AB$15)*(C$15:AF$15&lt;=AB$15+Inputs!$C$11/6)*C$29:AF$29)</f>
        <v>43.4256</v>
      </c>
      <c r="AC36" s="29" t="n">
        <f aca="false">SUMPRODUCT((C$15:AF$15&gt;AC$15)*(C$15:AF$15&lt;=AC$15+Inputs!$C$11/6)*C$29:AF$29)</f>
        <v>41.6328</v>
      </c>
      <c r="AD36" s="29" t="n">
        <f aca="false">SUMPRODUCT((C$15:AF$15&gt;AD$15)*(C$15:AF$15&lt;=AD$15+Inputs!$C$11/6)*C$29:AF$29)</f>
        <v>1.08713038571295E-014</v>
      </c>
      <c r="AE36" s="29" t="n">
        <f aca="false">SUMPRODUCT((C$15:AF$15&gt;AE$15)*(C$15:AF$15&lt;=AE$15+Inputs!$C$11/6)*C$29:AF$29)</f>
        <v>1.08713038571295E-014</v>
      </c>
      <c r="AF36" s="29" t="n">
        <f aca="false">SUMPRODUCT((C$15:AF$15&gt;AF$15)*(C$15:AF$15&lt;=AF$15+Inputs!$C$11/6)*C$29:AF$29)</f>
        <v>0</v>
      </c>
    </row>
    <row r="37" customFormat="false" ht="15" hidden="false" customHeight="false" outlineLevel="0" collapsed="false">
      <c r="A37" s="9" t="s">
        <v>79</v>
      </c>
      <c r="C37" s="17" t="n">
        <v>52.5</v>
      </c>
      <c r="D37" s="17" t="n">
        <v>53.48</v>
      </c>
      <c r="E37" s="17" t="n">
        <v>52.63</v>
      </c>
      <c r="F37" s="17" t="n">
        <v>53.53</v>
      </c>
      <c r="G37" s="17" t="n">
        <v>52.6</v>
      </c>
      <c r="H37" s="17" t="n">
        <v>45.34</v>
      </c>
      <c r="I37" s="17" t="n">
        <v>52.33</v>
      </c>
      <c r="J37" s="17" t="n">
        <v>53.08</v>
      </c>
      <c r="K37" s="17" t="n">
        <v>51.99</v>
      </c>
      <c r="L37" s="17" t="n">
        <v>52.65</v>
      </c>
      <c r="M37" s="17" t="n">
        <v>51.48</v>
      </c>
      <c r="N37" s="17" t="n">
        <v>51.99</v>
      </c>
      <c r="O37" s="17" t="n">
        <v>50.75</v>
      </c>
      <c r="P37" s="17" t="n">
        <v>51.26</v>
      </c>
      <c r="Q37" s="17" t="n">
        <v>49.94</v>
      </c>
      <c r="R37" s="17" t="n">
        <v>50.37</v>
      </c>
      <c r="S37" s="17" t="n">
        <v>48.97</v>
      </c>
      <c r="T37" s="17" t="n">
        <v>49.25</v>
      </c>
      <c r="U37" s="17" t="n">
        <v>47.77</v>
      </c>
      <c r="V37" s="17" t="n">
        <v>48.05</v>
      </c>
      <c r="W37" s="17" t="n">
        <v>46.49</v>
      </c>
      <c r="X37" s="17" t="n">
        <v>46.69</v>
      </c>
      <c r="Y37" s="17" t="n">
        <v>45.05</v>
      </c>
      <c r="Z37" s="17" t="n">
        <v>45.09</v>
      </c>
      <c r="AA37" s="17" t="n">
        <v>43.38</v>
      </c>
      <c r="AB37" s="17" t="n">
        <v>43.43</v>
      </c>
      <c r="AC37" s="17" t="n">
        <v>41.63</v>
      </c>
      <c r="AD37" s="17" t="n">
        <v>0</v>
      </c>
      <c r="AE37" s="17" t="n">
        <v>0</v>
      </c>
      <c r="AF37" s="17" t="n">
        <v>0</v>
      </c>
    </row>
    <row r="38" customFormat="false" ht="15" hidden="false" customHeight="false" outlineLevel="0" collapsed="false">
      <c r="A38" s="9" t="s">
        <v>80</v>
      </c>
      <c r="C38" s="29" t="n">
        <f aca="false">MAX(0,C36-N(C37))</f>
        <v>0.00240000000000151</v>
      </c>
      <c r="D38" s="29" t="n">
        <f aca="false">MAX(0,D36-N(D37))</f>
        <v>0.00480000000001013</v>
      </c>
      <c r="E38" s="29" t="n">
        <f aca="false">MAX(0,E36-N(E37))</f>
        <v>0</v>
      </c>
      <c r="F38" s="29" t="n">
        <f aca="false">MAX(0,F36-N(F37))</f>
        <v>0.0011999999999972</v>
      </c>
      <c r="G38" s="29" t="n">
        <f aca="false">MAX(0,G36-N(G37))</f>
        <v>0</v>
      </c>
      <c r="H38" s="29" t="n">
        <f aca="false">MAX(0,H36-N(H37))</f>
        <v>7.9992</v>
      </c>
      <c r="I38" s="29" t="n">
        <f aca="false">MAX(0,I36-N(I37))</f>
        <v>0</v>
      </c>
      <c r="J38" s="29" t="n">
        <f aca="false">MAX(0,J36-N(J37))</f>
        <v>0</v>
      </c>
      <c r="K38" s="29" t="n">
        <f aca="false">MAX(0,K36-N(K37))</f>
        <v>0</v>
      </c>
      <c r="L38" s="29" t="n">
        <f aca="false">MAX(0,L36-N(L37))</f>
        <v>0.00440000000001106</v>
      </c>
      <c r="M38" s="29" t="n">
        <f aca="false">MAX(0,M36-N(M37))</f>
        <v>0.00440000000001106</v>
      </c>
      <c r="N38" s="29" t="n">
        <f aca="false">MAX(0,N36-N(N37))</f>
        <v>0.00440000000000396</v>
      </c>
      <c r="O38" s="29" t="n">
        <f aca="false">MAX(0,O36-N(O37))</f>
        <v>0</v>
      </c>
      <c r="P38" s="29" t="n">
        <f aca="false">MAX(0,P36-N(P37))</f>
        <v>0.00320000000000675</v>
      </c>
      <c r="Q38" s="29" t="n">
        <f aca="false">MAX(0,Q36-N(Q37))</f>
        <v>0</v>
      </c>
      <c r="R38" s="29" t="n">
        <f aca="false">MAX(0,R36-N(R37))</f>
        <v>0.00360000000001293</v>
      </c>
      <c r="S38" s="29" t="n">
        <f aca="false">MAX(0,S36-N(S37))</f>
        <v>0</v>
      </c>
      <c r="T38" s="29" t="n">
        <f aca="false">MAX(0,T36-N(T37))</f>
        <v>0</v>
      </c>
      <c r="U38" s="29" t="n">
        <f aca="false">MAX(0,U36-N(U37))</f>
        <v>0</v>
      </c>
      <c r="V38" s="29" t="n">
        <f aca="false">MAX(0,V36-N(V37))</f>
        <v>0</v>
      </c>
      <c r="W38" s="29" t="n">
        <f aca="false">MAX(0,W36-N(W37))</f>
        <v>0</v>
      </c>
      <c r="X38" s="29" t="n">
        <f aca="false">MAX(0,X36-N(X37))</f>
        <v>0</v>
      </c>
      <c r="Y38" s="29" t="n">
        <f aca="false">MAX(0,Y36-N(Y37))</f>
        <v>0.000800000000012346</v>
      </c>
      <c r="Z38" s="29" t="n">
        <f aca="false">MAX(0,Z36-N(Z37))</f>
        <v>0.00280000000001479</v>
      </c>
      <c r="AA38" s="29" t="n">
        <f aca="false">MAX(0,AA36-N(AA37))</f>
        <v>0</v>
      </c>
      <c r="AB38" s="29" t="n">
        <f aca="false">MAX(0,AB36-N(AB37))</f>
        <v>0</v>
      </c>
      <c r="AC38" s="29" t="n">
        <f aca="false">MAX(0,AC36-N(AC37))</f>
        <v>0.00280000000000769</v>
      </c>
      <c r="AD38" s="29" t="n">
        <f aca="false">MAX(0,AD36-N(AD37))</f>
        <v>1.08713038571295E-014</v>
      </c>
      <c r="AE38" s="29" t="n">
        <f aca="false">MAX(0,AE36-N(AE37))</f>
        <v>1.08713038571295E-014</v>
      </c>
      <c r="AF38" s="29" t="n">
        <f aca="false">MAX(0,AF36-N(AF37))</f>
        <v>0</v>
      </c>
    </row>
    <row r="40" customFormat="false" ht="15" hidden="false" customHeight="false" outlineLevel="0" collapsed="false">
      <c r="A40" s="9" t="s">
        <v>81</v>
      </c>
      <c r="C40" s="29" t="n">
        <f aca="false">SUMPRODUCT((C$15:AF$15&gt;C$15)*(C$15:AF$15&lt;=C$15+Inputs!$C$12)*C$19:AF$19)</f>
        <v>0</v>
      </c>
      <c r="D40" s="29" t="n">
        <f aca="false">SUMPRODUCT((C$15:AF$15&gt;D$15)*(C$15:AF$15&lt;=D$15+Inputs!$C$12)*C$19:AF$19)</f>
        <v>0</v>
      </c>
      <c r="E40" s="29" t="n">
        <f aca="false">SUMPRODUCT((C$15:AF$15&gt;E$15)*(C$15:AF$15&lt;=E$15+Inputs!$C$12)*C$19:AF$19)</f>
        <v>0</v>
      </c>
      <c r="F40" s="29" t="n">
        <f aca="false">SUMPRODUCT((C$15:AF$15&gt;F$15)*(C$15:AF$15&lt;=F$15+Inputs!$C$12)*C$19:AF$19)</f>
        <v>45</v>
      </c>
      <c r="G40" s="29" t="n">
        <f aca="false">SUMPRODUCT((C$15:AF$15&gt;G$15)*(C$15:AF$15&lt;=G$15+Inputs!$C$12)*C$19:AF$19)</f>
        <v>45</v>
      </c>
      <c r="H40" s="29" t="n">
        <f aca="false">SUMPRODUCT((C$15:AF$15&gt;H$15)*(C$15:AF$15&lt;=H$15+Inputs!$C$12)*C$19:AF$19)</f>
        <v>45</v>
      </c>
      <c r="I40" s="29" t="n">
        <f aca="false">SUMPRODUCT((C$15:AF$15&gt;I$15)*(C$15:AF$15&lt;=I$15+Inputs!$C$12)*C$19:AF$19)</f>
        <v>45</v>
      </c>
      <c r="J40" s="29" t="n">
        <f aca="false">SUMPRODUCT((C$15:AF$15&gt;J$15)*(C$15:AF$15&lt;=J$15+Inputs!$C$12)*C$19:AF$19)</f>
        <v>0</v>
      </c>
      <c r="K40" s="29" t="n">
        <f aca="false">SUMPRODUCT((C$15:AF$15&gt;K$15)*(C$15:AF$15&lt;=K$15+Inputs!$C$12)*C$19:AF$19)</f>
        <v>0</v>
      </c>
      <c r="L40" s="29" t="n">
        <f aca="false">SUMPRODUCT((C$15:AF$15&gt;L$15)*(C$15:AF$15&lt;=L$15+Inputs!$C$12)*C$19:AF$19)</f>
        <v>0</v>
      </c>
      <c r="M40" s="29" t="n">
        <f aca="false">SUMPRODUCT((C$15:AF$15&gt;M$15)*(C$15:AF$15&lt;=M$15+Inputs!$C$12)*C$19:AF$19)</f>
        <v>0</v>
      </c>
      <c r="N40" s="29" t="n">
        <f aca="false">SUMPRODUCT((C$15:AF$15&gt;N$15)*(C$15:AF$15&lt;=N$15+Inputs!$C$12)*C$19:AF$19)</f>
        <v>0</v>
      </c>
      <c r="O40" s="29" t="n">
        <f aca="false">SUMPRODUCT((C$15:AF$15&gt;O$15)*(C$15:AF$15&lt;=O$15+Inputs!$C$12)*C$19:AF$19)</f>
        <v>0</v>
      </c>
      <c r="P40" s="29" t="n">
        <f aca="false">SUMPRODUCT((C$15:AF$15&gt;P$15)*(C$15:AF$15&lt;=P$15+Inputs!$C$12)*C$19:AF$19)</f>
        <v>45</v>
      </c>
      <c r="Q40" s="29" t="n">
        <f aca="false">SUMPRODUCT((C$15:AF$15&gt;Q$15)*(C$15:AF$15&lt;=Q$15+Inputs!$C$12)*C$19:AF$19)</f>
        <v>45</v>
      </c>
      <c r="R40" s="29" t="n">
        <f aca="false">SUMPRODUCT((C$15:AF$15&gt;R$15)*(C$15:AF$15&lt;=R$15+Inputs!$C$12)*C$19:AF$19)</f>
        <v>45</v>
      </c>
      <c r="S40" s="29" t="n">
        <f aca="false">SUMPRODUCT((C$15:AF$15&gt;S$15)*(C$15:AF$15&lt;=S$15+Inputs!$C$12)*C$19:AF$19)</f>
        <v>45</v>
      </c>
      <c r="T40" s="29" t="n">
        <f aca="false">SUMPRODUCT((C$15:AF$15&gt;T$15)*(C$15:AF$15&lt;=T$15+Inputs!$C$12)*C$19:AF$19)</f>
        <v>0</v>
      </c>
      <c r="U40" s="29" t="n">
        <f aca="false">SUMPRODUCT((C$15:AF$15&gt;U$15)*(C$15:AF$15&lt;=U$15+Inputs!$C$12)*C$19:AF$19)</f>
        <v>0</v>
      </c>
      <c r="V40" s="29" t="n">
        <f aca="false">SUMPRODUCT((C$15:AF$15&gt;V$15)*(C$15:AF$15&lt;=V$15+Inputs!$C$12)*C$19:AF$19)</f>
        <v>0</v>
      </c>
      <c r="W40" s="29" t="n">
        <f aca="false">SUMPRODUCT((C$15:AF$15&gt;W$15)*(C$15:AF$15&lt;=W$15+Inputs!$C$12)*C$19:AF$19)</f>
        <v>0</v>
      </c>
      <c r="X40" s="29" t="n">
        <f aca="false">SUMPRODUCT((C$15:AF$15&gt;X$15)*(C$15:AF$15&lt;=X$15+Inputs!$C$12)*C$19:AF$19)</f>
        <v>0</v>
      </c>
      <c r="Y40" s="29" t="n">
        <f aca="false">SUMPRODUCT((C$15:AF$15&gt;Y$15)*(C$15:AF$15&lt;=Y$15+Inputs!$C$12)*C$19:AF$19)</f>
        <v>0</v>
      </c>
      <c r="Z40" s="29" t="n">
        <f aca="false">SUMPRODUCT((C$15:AF$15&gt;Z$15)*(C$15:AF$15&lt;=Z$15+Inputs!$C$12)*C$19:AF$19)</f>
        <v>45</v>
      </c>
      <c r="AA40" s="29" t="n">
        <f aca="false">SUMPRODUCT((C$15:AF$15&gt;AA$15)*(C$15:AF$15&lt;=AA$15+Inputs!$C$12)*C$19:AF$19)</f>
        <v>45</v>
      </c>
      <c r="AB40" s="29" t="n">
        <f aca="false">SUMPRODUCT((C$15:AF$15&gt;AB$15)*(C$15:AF$15&lt;=AB$15+Inputs!$C$12)*C$19:AF$19)</f>
        <v>45</v>
      </c>
      <c r="AC40" s="29" t="n">
        <f aca="false">SUMPRODUCT((C$15:AF$15&gt;AC$15)*(C$15:AF$15&lt;=AC$15+Inputs!$C$12)*C$19:AF$19)</f>
        <v>45</v>
      </c>
      <c r="AD40" s="29" t="n">
        <f aca="false">SUMPRODUCT((C$15:AF$15&gt;AD$15)*(C$15:AF$15&lt;=AD$15+Inputs!$C$12)*C$19:AF$19)</f>
        <v>0</v>
      </c>
      <c r="AE40" s="29" t="n">
        <f aca="false">SUMPRODUCT((C$15:AF$15&gt;AE$15)*(C$15:AF$15&lt;=AE$15+Inputs!$C$12)*C$19:AF$19)</f>
        <v>0</v>
      </c>
      <c r="AF40" s="29" t="n">
        <f aca="false">SUMPRODUCT((C$15:AF$15&gt;AF$15)*(C$15:AF$15&lt;=AF$15+Inputs!$C$12)*C$19:AF$19)</f>
        <v>0</v>
      </c>
    </row>
    <row r="41" customFormat="false" ht="15" hidden="false" customHeight="false" outlineLevel="0" collapsed="false">
      <c r="A41" s="9" t="s">
        <v>82</v>
      </c>
      <c r="C41" s="17" t="n">
        <v>0</v>
      </c>
      <c r="D41" s="17" t="n">
        <v>0</v>
      </c>
      <c r="E41" s="17" t="n">
        <v>0</v>
      </c>
      <c r="F41" s="17" t="n">
        <v>45</v>
      </c>
      <c r="G41" s="17" t="n">
        <v>45</v>
      </c>
      <c r="H41" s="17" t="n">
        <v>45</v>
      </c>
      <c r="I41" s="17" t="n">
        <v>45</v>
      </c>
      <c r="J41" s="17" t="n">
        <v>0</v>
      </c>
      <c r="K41" s="17" t="n">
        <v>0</v>
      </c>
      <c r="L41" s="17" t="n">
        <v>0</v>
      </c>
      <c r="M41" s="17" t="n">
        <v>0</v>
      </c>
      <c r="N41" s="17" t="n">
        <v>0</v>
      </c>
      <c r="O41" s="17" t="n">
        <v>0</v>
      </c>
      <c r="P41" s="17" t="n">
        <v>27</v>
      </c>
      <c r="Q41" s="17" t="n">
        <v>45</v>
      </c>
      <c r="R41" s="17" t="n">
        <v>45</v>
      </c>
      <c r="S41" s="17" t="n">
        <v>45</v>
      </c>
      <c r="T41" s="17" t="n">
        <v>0</v>
      </c>
      <c r="U41" s="17" t="n">
        <v>0</v>
      </c>
      <c r="V41" s="17" t="n">
        <v>0</v>
      </c>
      <c r="W41" s="17" t="n">
        <v>0</v>
      </c>
      <c r="X41" s="17" t="n">
        <v>0</v>
      </c>
      <c r="Y41" s="17" t="n">
        <v>0</v>
      </c>
      <c r="Z41" s="17" t="n">
        <v>45</v>
      </c>
      <c r="AA41" s="17" t="n">
        <v>45</v>
      </c>
      <c r="AB41" s="17" t="n">
        <v>45</v>
      </c>
      <c r="AC41" s="17" t="n">
        <v>45</v>
      </c>
      <c r="AD41" s="17" t="n">
        <v>0</v>
      </c>
      <c r="AE41" s="17" t="n">
        <v>0</v>
      </c>
      <c r="AF41" s="17" t="n">
        <v>0</v>
      </c>
    </row>
    <row r="42" customFormat="false" ht="15" hidden="false" customHeight="false" outlineLevel="0" collapsed="false">
      <c r="A42" s="9" t="s">
        <v>83</v>
      </c>
      <c r="C42" s="29" t="n">
        <f aca="false">MAX(0,C40-N(C41))</f>
        <v>0</v>
      </c>
      <c r="D42" s="29" t="n">
        <f aca="false">MAX(0,D40-N(D41))</f>
        <v>0</v>
      </c>
      <c r="E42" s="29" t="n">
        <f aca="false">MAX(0,E40-N(E41))</f>
        <v>0</v>
      </c>
      <c r="F42" s="29" t="n">
        <f aca="false">MAX(0,F40-N(F41))</f>
        <v>0</v>
      </c>
      <c r="G42" s="29" t="n">
        <f aca="false">MAX(0,G40-N(G41))</f>
        <v>0</v>
      </c>
      <c r="H42" s="29" t="n">
        <f aca="false">MAX(0,H40-N(H41))</f>
        <v>0</v>
      </c>
      <c r="I42" s="29" t="n">
        <f aca="false">MAX(0,I40-N(I41))</f>
        <v>0</v>
      </c>
      <c r="J42" s="29" t="n">
        <f aca="false">MAX(0,J40-N(J41))</f>
        <v>0</v>
      </c>
      <c r="K42" s="29" t="n">
        <f aca="false">MAX(0,K40-N(K41))</f>
        <v>0</v>
      </c>
      <c r="L42" s="29" t="n">
        <f aca="false">MAX(0,L40-N(L41))</f>
        <v>0</v>
      </c>
      <c r="M42" s="29" t="n">
        <f aca="false">MAX(0,M40-N(M41))</f>
        <v>0</v>
      </c>
      <c r="N42" s="29" t="n">
        <f aca="false">MAX(0,N40-N(N41))</f>
        <v>0</v>
      </c>
      <c r="O42" s="29" t="n">
        <f aca="false">MAX(0,O40-N(O41))</f>
        <v>0</v>
      </c>
      <c r="P42" s="29" t="n">
        <f aca="false">MAX(0,P40-N(P41))</f>
        <v>18</v>
      </c>
      <c r="Q42" s="29" t="n">
        <f aca="false">MAX(0,Q40-N(Q41))</f>
        <v>0</v>
      </c>
      <c r="R42" s="29" t="n">
        <f aca="false">MAX(0,R40-N(R41))</f>
        <v>0</v>
      </c>
      <c r="S42" s="29" t="n">
        <f aca="false">MAX(0,S40-N(S41))</f>
        <v>0</v>
      </c>
      <c r="T42" s="29" t="n">
        <f aca="false">MAX(0,T40-N(T41))</f>
        <v>0</v>
      </c>
      <c r="U42" s="29" t="n">
        <f aca="false">MAX(0,U40-N(U41))</f>
        <v>0</v>
      </c>
      <c r="V42" s="29" t="n">
        <f aca="false">MAX(0,V40-N(V41))</f>
        <v>0</v>
      </c>
      <c r="W42" s="29" t="n">
        <f aca="false">MAX(0,W40-N(W41))</f>
        <v>0</v>
      </c>
      <c r="X42" s="29" t="n">
        <f aca="false">MAX(0,X40-N(X41))</f>
        <v>0</v>
      </c>
      <c r="Y42" s="29" t="n">
        <f aca="false">MAX(0,Y40-N(Y41))</f>
        <v>0</v>
      </c>
      <c r="Z42" s="29" t="n">
        <f aca="false">MAX(0,Z40-N(Z41))</f>
        <v>0</v>
      </c>
      <c r="AA42" s="29" t="n">
        <f aca="false">MAX(0,AA40-N(AA41))</f>
        <v>0</v>
      </c>
      <c r="AB42" s="29" t="n">
        <f aca="false">MAX(0,AB40-N(AB41))</f>
        <v>0</v>
      </c>
      <c r="AC42" s="29" t="n">
        <f aca="false">MAX(0,AC40-N(AC41))</f>
        <v>0</v>
      </c>
      <c r="AD42" s="29" t="n">
        <f aca="false">MAX(0,AD40-N(AD41))</f>
        <v>0</v>
      </c>
      <c r="AE42" s="29" t="n">
        <f aca="false">MAX(0,AE40-N(AE41))</f>
        <v>0</v>
      </c>
      <c r="AF42" s="29" t="n">
        <f aca="false">MAX(0,AF40-N(AF41))</f>
        <v>0</v>
      </c>
    </row>
    <row r="44" customFormat="false" ht="15" hidden="false" customHeight="false" outlineLevel="0" collapsed="false">
      <c r="A44" s="4" t="s">
        <v>84</v>
      </c>
    </row>
    <row r="45" customFormat="false" ht="15" hidden="false" customHeight="false" outlineLevel="0" collapsed="false">
      <c r="A45" s="10" t="s">
        <v>85</v>
      </c>
      <c r="B45" s="34" t="str">
        <f aca="false">IF(ABS(B26-1)&lt;0.0001,"OK","CHECK")</f>
        <v>OK</v>
      </c>
    </row>
    <row r="46" customFormat="false" ht="15" hidden="false" customHeight="false" outlineLevel="0" collapsed="false">
      <c r="A46" s="10" t="s">
        <v>86</v>
      </c>
      <c r="B46" s="34" t="str">
        <f aca="false">IF(ABS(AF30)&lt;0.01,"OK","CHECK")</f>
        <v>OK</v>
      </c>
    </row>
    <row r="47" customFormat="false" ht="15" hidden="false" customHeight="false" outlineLevel="0" collapsed="false">
      <c r="A47" s="10" t="s">
        <v>87</v>
      </c>
      <c r="B47" s="34" t="str">
        <f aca="false">IF(ABS(B27-Inputs!C5)&lt;0.01,"OK","CHECK")</f>
        <v>OK</v>
      </c>
    </row>
    <row r="48" customFormat="false" ht="15" hidden="false" customHeight="false" outlineLevel="0" collapsed="false">
      <c r="A48" s="10" t="s">
        <v>88</v>
      </c>
      <c r="B48" s="34" t="str">
        <f aca="false">IF(COUNTIF(C33:AF33,"Default")=0,"OK","CHECK")</f>
        <v>OK</v>
      </c>
    </row>
  </sheetData>
  <conditionalFormatting sqref="C33:AF33">
    <cfRule type="cellIs" priority="2" operator="equal" aboveAverage="0" equalAverage="0" bottom="0" percent="0" rank="0" text="" dxfId="0">
      <formula>"Default"</formula>
    </cfRule>
    <cfRule type="cellIs" priority="3" operator="equal" aboveAverage="0" equalAverage="0" bottom="0" percent="0" rank="0" text="" dxfId="1">
      <formula>"Lock-up"</formula>
    </cfRule>
    <cfRule type="cellIs" priority="4" operator="equal" aboveAverage="0" equalAverage="0" bottom="0" percent="0" rank="0" text="" dxfId="1">
      <formula>"Below covenant"</formula>
    </cfRule>
    <cfRule type="cellIs" priority="5" operator="equal" aboveAverage="0" equalAverage="0" bottom="0" percent="0" rank="0" text="" dxfId="2">
      <formula>"Pass"</formula>
    </cfRule>
  </conditionalFormatting>
  <conditionalFormatting sqref="C38:AF38">
    <cfRule type="cellIs" priority="6" operator="greaterThan" aboveAverage="0" equalAverage="0" bottom="0" percent="0" rank="0" text="" dxfId="3">
      <formula>0.005</formula>
    </cfRule>
  </conditionalFormatting>
  <conditionalFormatting sqref="C42:AF42">
    <cfRule type="cellIs" priority="7" operator="greaterThan" aboveAverage="0" equalAverage="0" bottom="0" percent="0" rank="0" text="" dxfId="3">
      <formula>0.005</formula>
    </cfRule>
  </conditionalFormatting>
  <conditionalFormatting sqref="B45:B48">
    <cfRule type="cellIs" priority="8" operator="equal" aboveAverage="0" equalAverage="0" bottom="0" percent="0" rank="0" text="" dxfId="3">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2026-10-25T20:15:10Z</dcterms:created>
  <dc:creator>sachinnagpal.in</dc:creator>
  <dc:description/>
  <dc:language>en-US</dc:language>
  <cp:lastModifiedBy/>
  <dcterms:modified xsi:type="dcterms:W3CDTF">2026-10-25T20:15:10Z</dcterms:modified>
  <cp:revision>0</cp:revision>
  <dc:subject/>
  <dc:title>H-DSCR-DSRA-MMRA-Covenant-Tracker.xlsx</dc:title>
</cp:coreProperties>
</file>

<file path=docProps/custom.xml><?xml version="1.0" encoding="utf-8"?>
<Properties xmlns="http://schemas.openxmlformats.org/officeDocument/2006/custom-properties" xmlns:vt="http://schemas.openxmlformats.org/officeDocument/2006/docPropsVTypes"/>
</file>