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Inputs" sheetId="2" state="visible" r:id="rId4"/>
    <sheet name="Schedule" sheetId="3" state="visible" r:id="rId5"/>
    <sheet name="FY Summary" sheetId="4" state="visible" r:id="rId6"/>
    <sheet name="Journal Entries"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<sst xmlns="http://schemas.openxmlformats.org/spreadsheetml/2006/main" count="169" uniqueCount="143">
  <si>
    <t xml:space="preserve">Template D: Ind AS 116 Lease Accounting Schedule</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</si>
  <si>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</si>
  <si>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</si>
  <si>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</si>
  <si>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Builds the full lessee accounting for one lease under Ind AS 116: the present value of lease payments (initial lease liability), the right-of-use (ROU) asset, a month-by-month schedule using the effective interest method that splits every payment into finance cost and principal, straight-line depreciation of the ROU asset, a financial-year summary with current and non-current liability, and the journal entries.</t>
  </si>
  <si>
    <t xml:space="preserve">How to use it (step by step)</t>
  </si>
  <si>
    <t xml:space="preserve">Step 1</t>
  </si>
  <si>
    <t xml:space="preserve">Go to the 'Inputs' tab and fill the yellow cells: lease start date (commencement), lease term in months, rent per instalment, how often rent is paid, whether it is paid at the start (advance) or end (arrears) of each period, any escalation (for example 5% every 12 months), and your incremental borrowing rate (the rate at which you could borrow for a similar term and security).</t>
  </si>
  <si>
    <t xml:space="preserve">Step 2</t>
  </si>
  <si>
    <t xml:space="preserve">Fill initial direct costs, lease incentives received, payments made before the start date and any restoration cost provision, if you have them. Leave as 0 if not.</t>
  </si>
  <si>
    <t xml:space="preserve">Step 3</t>
  </si>
  <si>
    <t xml:space="preserve">Leave 'ROU depreciation period' blank to depreciate over the lease term, or type a shorter period (for example the useful life if that is shorter, or a longer one if ownership transfers).</t>
  </si>
  <si>
    <t xml:space="preserve">Step 4</t>
  </si>
  <si>
    <t xml:space="preserve">Look at the results box on 'Inputs': initial lease liability and ROU asset. The 'Schedule' tab shows every month; the 'FY Summary' tab gives the yearly figures for your accounts.</t>
  </si>
  <si>
    <t xml:space="preserve">Step 5</t>
  </si>
  <si>
    <t xml:space="preserve">Use the 'Journal Entries' tab for the entries at commencement and the monthly entries.</t>
  </si>
  <si>
    <t xml:space="preserve">Step 6</t>
  </si>
  <si>
    <t xml:space="preserve">Check the checks box on 'FY Summary'. All should read OK (for example the liability falls to zero at the end of the lease).</t>
  </si>
  <si>
    <t xml:space="preserve">Tabs in this file</t>
  </si>
  <si>
    <t xml:space="preserve">Inputs</t>
  </si>
  <si>
    <t xml:space="preserve">Lease terms, discount rate, and the headline results.</t>
  </si>
  <si>
    <t xml:space="preserve">Schedule</t>
  </si>
  <si>
    <t xml:space="preserve">Month-by-month liability, interest, principal and ROU depreciation.</t>
  </si>
  <si>
    <t xml:space="preserve">FY Summary</t>
  </si>
  <si>
    <t xml:space="preserve">Year-wise finance cost, depreciation, payments, closing liability (current / non-current), ROU asset, and checks.</t>
  </si>
  <si>
    <t xml:space="preserve">Journal Entries</t>
  </si>
  <si>
    <t xml:space="preserve">Entries at commencement and each month.</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</si>
  <si>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</si>
  <si>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</si>
  <si>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</si>
  <si>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</si>
  <si>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</si>
  <si>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</si>
  <si>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</si>
  <si>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</si>
  <si>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</si>
  <si>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Monthly discount rate: 'Effective' uses (1 + annual rate)^(1/12) - 1; 'Nominal' uses annual rate / 12. Use the convention in your accounting policy.</t>
  </si>
  <si>
    <t xml:space="preserve">Present value = each payment x 1 / (1 + monthly rate)^(months from commencement). A cross-check using Excel's NPV function is included.</t>
  </si>
  <si>
    <t xml:space="preserve">Interest for a month = (opening liability - any payment at the start of the month) x monthly rate.</t>
  </si>
  <si>
    <t xml:space="preserve">Escalation steps up every 'N' months from commencement. For arrears payments the step is based on the first month the instalment covers.</t>
  </si>
  <si>
    <t xml:space="preserve">Year-end balances use the last completed month on or before 31 March. Leases up to 360 months (30 years).</t>
  </si>
  <si>
    <t xml:space="preserve">Not covered: variable payments, lease modifications or remeasurement, short-term / low-value exemptions, foreign-currency leases and sub-leases.</t>
  </si>
  <si>
    <t xml:space="preserve">Version</t>
  </si>
  <si>
    <t xml:space="preserve">v1.0, October 2026. Works in Excel 2010 or later, Excel for Microsoft 365, LibreOffice and Google Sheets. Amounts in Indian Rupees (₹).</t>
  </si>
  <si>
    <t xml:space="preserve">Lease Inputs (₹)</t>
  </si>
  <si>
    <t xml:space="preserve">For computation and reconciliation assistance only; not a substitute for formal statutory audit or legal tax advice.</t>
  </si>
  <si>
    <t xml:space="preserve">Sample lease is illustrative only.</t>
  </si>
  <si>
    <t xml:space="preserve">Lease name / asset</t>
  </si>
  <si>
    <t xml:space="preserve">Sample office premises lease</t>
  </si>
  <si>
    <t xml:space="preserve">Commencement date</t>
  </si>
  <si>
    <t xml:space="preserve">Lease term (months)</t>
  </si>
  <si>
    <t xml:space="preserve">Rent per instalment (₹, before escalation)</t>
  </si>
  <si>
    <t xml:space="preserve">Payment frequency</t>
  </si>
  <si>
    <t xml:space="preserve">Monthly</t>
  </si>
  <si>
    <t xml:space="preserve">Payment timing</t>
  </si>
  <si>
    <t xml:space="preserve">Advance</t>
  </si>
  <si>
    <t xml:space="preserve">Escalation %</t>
  </si>
  <si>
    <t xml:space="preserve">Escalation every (months)</t>
  </si>
  <si>
    <t xml:space="preserve">Incremental borrowing rate (annual)</t>
  </si>
  <si>
    <t xml:space="preserve">Monthly rate convention</t>
  </si>
  <si>
    <t xml:space="preserve">Effective</t>
  </si>
  <si>
    <t xml:space="preserve">Initial direct costs (₹)</t>
  </si>
  <si>
    <t xml:space="preserve">Lease incentives received (₹)</t>
  </si>
  <si>
    <t xml:space="preserve">Payments made before commencement (₹)</t>
  </si>
  <si>
    <t xml:space="preserve">Restoration cost provision (₹, present value)</t>
  </si>
  <si>
    <t xml:space="preserve">ROU depreciation period (months, blank = lease term)</t>
  </si>
  <si>
    <t xml:space="preserve">Derived</t>
  </si>
  <si>
    <t xml:space="preserve">Months per instalment</t>
  </si>
  <si>
    <t xml:space="preserve">Monthly discount rate</t>
  </si>
  <si>
    <t xml:space="preserve">ROU depreciation months used</t>
  </si>
  <si>
    <t xml:space="preserve">Lease end date</t>
  </si>
  <si>
    <t xml:space="preserve">Results</t>
  </si>
  <si>
    <t xml:space="preserve">Initial lease liability (PV of lease payments)</t>
  </si>
  <si>
    <t xml:space="preserve">Right-of-use asset at commencement</t>
  </si>
  <si>
    <t xml:space="preserve">Total undiscounted lease payments</t>
  </si>
  <si>
    <t xml:space="preserve">Total finance cost over the lease</t>
  </si>
  <si>
    <t xml:space="preserve">Total ROU depreciation over the lease</t>
  </si>
  <si>
    <t xml:space="preserve">Monthly Lease Schedule (₹)</t>
  </si>
  <si>
    <t xml:space="preserve">All cells are formulas. Change the Inputs tab only.</t>
  </si>
  <si>
    <t xml:space="preserve">Month no.</t>
  </si>
  <si>
    <t xml:space="preserve">Period start</t>
  </si>
  <si>
    <t xml:space="preserve">Period end</t>
  </si>
  <si>
    <t xml:space="preserve">Within lease term?</t>
  </si>
  <si>
    <t xml:space="preserve">Escalation factor</t>
  </si>
  <si>
    <t xml:space="preserve">Payment at start (advance)</t>
  </si>
  <si>
    <t xml:space="preserve">Payment at end (arrears)</t>
  </si>
  <si>
    <t xml:space="preserve">Discount factor (start)</t>
  </si>
  <si>
    <t xml:space="preserve">Discount factor (end)</t>
  </si>
  <si>
    <t xml:space="preserve">Present value of payments</t>
  </si>
  <si>
    <t xml:space="preserve">Opening lease liability</t>
  </si>
  <si>
    <t xml:space="preserve">Finance cost (interest)</t>
  </si>
  <si>
    <t xml:space="preserve">Closing lease liability</t>
  </si>
  <si>
    <t xml:space="preserve">Total payment</t>
  </si>
  <si>
    <t xml:space="preserve">Principal repaid</t>
  </si>
  <si>
    <t xml:space="preserve">ROU opening</t>
  </si>
  <si>
    <t xml:space="preserve">ROU depreciation</t>
  </si>
  <si>
    <t xml:space="preserve">ROU closing</t>
  </si>
  <si>
    <t xml:space="preserve">Financial year</t>
  </si>
  <si>
    <t xml:space="preserve">Financial-Year Summary (₹)</t>
  </si>
  <si>
    <t xml:space="preserve">FY start</t>
  </si>
  <si>
    <t xml:space="preserve">FY end</t>
  </si>
  <si>
    <t xml:space="preserve">Lease payments</t>
  </si>
  <si>
    <t xml:space="preserve">Finance cost</t>
  </si>
  <si>
    <t xml:space="preserve">of which current (next 12 months)</t>
  </si>
  <si>
    <t xml:space="preserve">of which non-current</t>
  </si>
  <si>
    <t xml:space="preserve">Closing ROU asset</t>
  </si>
  <si>
    <t xml:space="preserve">Total P&amp;L charge</t>
  </si>
  <si>
    <t xml:space="preserve">TOTAL</t>
  </si>
  <si>
    <t xml:space="preserve">Checks</t>
  </si>
  <si>
    <t xml:space="preserve">PV by formula = PV using Excel NPV function</t>
  </si>
  <si>
    <t xml:space="preserve">Lease liability is nil at the end of the lease term</t>
  </si>
  <si>
    <t xml:space="preserve">Total payments = initial liability + total finance cost</t>
  </si>
  <si>
    <t xml:space="preserve">ROU asset fully depreciated over the depreciation period</t>
  </si>
  <si>
    <t xml:space="preserve">FY totals = schedule totals (payments, interest, depreciation)</t>
  </si>
  <si>
    <t xml:space="preserve">Lease term between 1 and 360 months</t>
  </si>
  <si>
    <t xml:space="preserve">ROU depreciation period between 1 and 360 months</t>
  </si>
  <si>
    <t xml:space="preserve">Journal Entries (₹)</t>
  </si>
  <si>
    <t xml:space="preserve">When</t>
  </si>
  <si>
    <t xml:space="preserve">Debit</t>
  </si>
  <si>
    <t xml:space="preserve">Credit</t>
  </si>
  <si>
    <t xml:space="preserve">Amount (₹)</t>
  </si>
  <si>
    <t xml:space="preserve">Note</t>
  </si>
  <si>
    <t xml:space="preserve">At commencement</t>
  </si>
  <si>
    <t xml:space="preserve">Right-of-use asset</t>
  </si>
  <si>
    <t xml:space="preserve">Lease liability</t>
  </si>
  <si>
    <t xml:space="preserve">Initial measurement of liability</t>
  </si>
  <si>
    <t xml:space="preserve">Bank / creditors</t>
  </si>
  <si>
    <t xml:space="preserve">Initial direct costs</t>
  </si>
  <si>
    <t xml:space="preserve">Bank / receivable</t>
  </si>
  <si>
    <t xml:space="preserve">Lease incentives received</t>
  </si>
  <si>
    <t xml:space="preserve">Advance rent (prepaid)</t>
  </si>
  <si>
    <t xml:space="preserve">Payments made before commencement</t>
  </si>
  <si>
    <t xml:space="preserve">Provision for restoration</t>
  </si>
  <si>
    <t xml:space="preserve">Restoration cost</t>
  </si>
  <si>
    <t xml:space="preserve">Month 1</t>
  </si>
  <si>
    <t xml:space="preserve">Finance cost (P&amp;L)</t>
  </si>
  <si>
    <t xml:space="preserve">Interest on liability</t>
  </si>
  <si>
    <t xml:space="preserve">Bank</t>
  </si>
  <si>
    <t xml:space="preserve">Rent paid</t>
  </si>
  <si>
    <t xml:space="preserve">Depreciation (P&amp;L)</t>
  </si>
  <si>
    <t xml:space="preserve">Accumulated depreciation - ROU</t>
  </si>
  <si>
    <t xml:space="preserve">Straight-line depreciation</t>
  </si>
  <si>
    <t xml:space="preserve">Each later month: use that month's row on the Schedule tab (finance cost, total payment, ROU depreciation).</t>
  </si>
</sst>
</file>

<file path=xl/styles.xml><?xml version="1.0" encoding="utf-8"?>
<styleSheet xmlns="http://schemas.openxmlformats.org/spreadsheetml/2006/main">
  <numFmts count="10">
    <numFmt numFmtId="164" formatCode="General"/>
    <numFmt numFmtId="165" formatCode="dd\-mmm\-yyyy"/>
    <numFmt numFmtId="166" formatCode="0"/>
    <numFmt numFmtId="167" formatCode="#,##0;\(#,##0\);\-"/>
    <numFmt numFmtId="168" formatCode="0.0%;\(0.0%\);\-"/>
    <numFmt numFmtId="169" formatCode="0.00%;\(0.00%\);\-"/>
    <numFmt numFmtId="170" formatCode="0.0000%"/>
    <numFmt numFmtId="171" formatCode="0.0000"/>
    <numFmt numFmtId="172" formatCode="0.000000"/>
    <numFmt numFmtId="173" formatCode="#,##0.00;\(#,##0.00\);\-"/>
  </numFmts>
  <fonts count="16">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
      <i val="true"/>
      <sz val="9"/>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D9E1F2"/>
        <bgColor rgb="FFE2EFDA"/>
      </patternFill>
    </fill>
    <fill>
      <patternFill patternType="solid">
        <fgColor rgb="FF1F3864"/>
        <bgColor rgb="FF333333"/>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8" fontId="10" fillId="3" borderId="1" xfId="0" applyFont="true" applyBorder="true" applyAlignment="false" applyProtection="false">
      <alignment horizontal="general" vertical="bottom" textRotation="0" wrapText="false" indent="0" shrinkToFit="false"/>
      <protection locked="true" hidden="false"/>
    </xf>
    <xf numFmtId="169" fontId="10" fillId="3"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70" fontId="8" fillId="0"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7" fontId="9" fillId="5" borderId="1" xfId="0" applyFont="true" applyBorder="true" applyAlignment="false" applyProtection="false">
      <alignment horizontal="general" vertical="bottom" textRotation="0" wrapText="false" indent="0" shrinkToFit="false"/>
      <protection locked="true" hidden="false"/>
    </xf>
    <xf numFmtId="164" fontId="14" fillId="6" borderId="1" xfId="0" applyFont="true" applyBorder="true" applyAlignment="true" applyProtection="false">
      <alignment horizontal="center" vertical="center" textRotation="0" wrapText="true" indent="0" shrinkToFit="false"/>
      <protection locked="true" hidden="false"/>
    </xf>
    <xf numFmtId="171" fontId="8" fillId="0"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72" fontId="8" fillId="0" borderId="1" xfId="0" applyFont="true" applyBorder="true" applyAlignment="false" applyProtection="false">
      <alignment horizontal="general" vertical="bottom" textRotation="0" wrapText="false" indent="0" shrinkToFit="false"/>
      <protection locked="true" hidden="false"/>
    </xf>
    <xf numFmtId="173" fontId="8" fillId="0" borderId="1" xfId="0" applyFont="true" applyBorder="true" applyAlignment="false" applyProtection="false">
      <alignment horizontal="general" vertical="bottom" textRotation="0" wrapText="false" indent="0" shrinkToFit="false"/>
      <protection locked="true" hidden="false"/>
    </xf>
    <xf numFmtId="173"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xf numFmtId="167" fontId="11" fillId="0" borderId="1" xfId="0" applyFont="true" applyBorder="tru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ont>
        <name val="Arial"/>
        <charset val="1"/>
        <family val="0"/>
        <color rgb="FFA6A6A6"/>
      </font>
    </dxf>
    <dxf>
      <font>
        <name val="Arial"/>
        <charset val="1"/>
        <family val="0"/>
        <color rgb="FFBFBFBF"/>
      </font>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3366FF"/>
      <rgbColor rgb="FF33CCCC"/>
      <rgbColor rgb="FF99CC00"/>
      <rgbColor rgb="FFFFCC00"/>
      <rgbColor rgb="FFFF9900"/>
      <rgbColor rgb="FFFF6600"/>
      <rgbColor rgb="FF595959"/>
      <rgbColor rgb="FFA6A6A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7"/>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60" hidden="false" customHeight="true" outlineLevel="0" collapsed="false">
      <c r="B10" s="6" t="s">
        <v>6</v>
      </c>
      <c r="C10" s="7" t="s">
        <v>7</v>
      </c>
    </row>
    <row r="11" customFormat="false" ht="30"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15" hidden="false" customHeight="true" outlineLevel="0" collapsed="false">
      <c r="B14" s="6" t="s">
        <v>14</v>
      </c>
      <c r="C14" s="7" t="s">
        <v>15</v>
      </c>
    </row>
    <row r="15" customFormat="false" ht="30" hidden="false" customHeight="true" outlineLevel="0" collapsed="false">
      <c r="B15" s="6" t="s">
        <v>16</v>
      </c>
      <c r="C15" s="7" t="s">
        <v>17</v>
      </c>
    </row>
    <row r="17" customFormat="false" ht="15" hidden="false" customHeight="false" outlineLevel="0" collapsed="false">
      <c r="B17" s="4"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0" customFormat="false" ht="30" hidden="false" customHeight="true" outlineLevel="0" collapsed="false">
      <c r="B20" s="6" t="s">
        <v>23</v>
      </c>
      <c r="C20" s="7" t="s">
        <v>24</v>
      </c>
    </row>
    <row r="21" customFormat="false" ht="15" hidden="false" customHeight="true" outlineLevel="0" collapsed="false">
      <c r="B21" s="6" t="s">
        <v>25</v>
      </c>
      <c r="C21" s="7" t="s">
        <v>26</v>
      </c>
    </row>
    <row r="23" customFormat="false" ht="15" hidden="false" customHeight="false" outlineLevel="0" collapsed="false">
      <c r="B23" s="4" t="s">
        <v>27</v>
      </c>
    </row>
    <row r="24" customFormat="false" ht="15" hidden="false" customHeight="false" outlineLevel="0" collapsed="false">
      <c r="B24" s="8" t="s">
        <v>28</v>
      </c>
      <c r="C24" s="9" t="s">
        <v>29</v>
      </c>
    </row>
    <row r="25" customFormat="false" ht="15" hidden="false" customHeight="false" outlineLevel="0" collapsed="false">
      <c r="B25" s="10" t="s">
        <v>28</v>
      </c>
      <c r="C25" s="9" t="s">
        <v>30</v>
      </c>
    </row>
    <row r="26" customFormat="false" ht="15" hidden="false" customHeight="false" outlineLevel="0" collapsed="false">
      <c r="B26" s="11" t="s">
        <v>28</v>
      </c>
      <c r="C26" s="9" t="s">
        <v>31</v>
      </c>
    </row>
    <row r="27" customFormat="false" ht="15" hidden="false" customHeight="false" outlineLevel="0" collapsed="false">
      <c r="B27" s="12" t="s">
        <v>32</v>
      </c>
      <c r="C27" s="9" t="s">
        <v>33</v>
      </c>
    </row>
    <row r="29" customFormat="false" ht="15" hidden="false" customHeight="false" outlineLevel="0" collapsed="false">
      <c r="B29" s="4" t="s">
        <v>34</v>
      </c>
    </row>
    <row r="30" customFormat="false" ht="30" hidden="false" customHeight="true" outlineLevel="0" collapsed="false">
      <c r="B30" s="13" t="s">
        <v>35</v>
      </c>
      <c r="C30" s="7" t="s">
        <v>36</v>
      </c>
    </row>
    <row r="31" customFormat="false" ht="30" hidden="false" customHeight="true" outlineLevel="0" collapsed="false">
      <c r="B31" s="13" t="s">
        <v>35</v>
      </c>
      <c r="C31" s="7" t="s">
        <v>37</v>
      </c>
    </row>
    <row r="32" customFormat="false" ht="30" hidden="false" customHeight="true" outlineLevel="0" collapsed="false">
      <c r="B32" s="13" t="s">
        <v>35</v>
      </c>
      <c r="C32" s="7" t="s">
        <v>38</v>
      </c>
    </row>
    <row r="33" customFormat="false" ht="30" hidden="false" customHeight="true" outlineLevel="0" collapsed="false">
      <c r="B33" s="13" t="s">
        <v>35</v>
      </c>
      <c r="C33" s="7" t="s">
        <v>39</v>
      </c>
    </row>
    <row r="34" customFormat="false" ht="30" hidden="false" customHeight="true" outlineLevel="0" collapsed="false">
      <c r="B34" s="13" t="s">
        <v>35</v>
      </c>
      <c r="C34" s="7" t="s">
        <v>40</v>
      </c>
    </row>
    <row r="35" customFormat="false" ht="30" hidden="false" customHeight="true" outlineLevel="0" collapsed="false">
      <c r="B35" s="13" t="s">
        <v>35</v>
      </c>
      <c r="C35" s="7" t="s">
        <v>41</v>
      </c>
    </row>
    <row r="37" customFormat="false" ht="15" hidden="false" customHeight="false" outlineLevel="0" collapsed="false">
      <c r="B37" s="14" t="s">
        <v>42</v>
      </c>
      <c r="C37" s="9" t="s">
        <v>43</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3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8"/>
    <col collapsed="false" customWidth="true" hidden="false" outlineLevel="0" max="2" min="2" style="0" width="3"/>
    <col collapsed="false" customWidth="true" hidden="false" outlineLevel="0" max="3" min="3" style="0" width="26"/>
  </cols>
  <sheetData>
    <row r="1" customFormat="false" ht="17.35" hidden="false" customHeight="false" outlineLevel="0" collapsed="false">
      <c r="A1" s="15" t="s">
        <v>44</v>
      </c>
    </row>
    <row r="2" customFormat="false" ht="15" hidden="false" customHeight="false" outlineLevel="0" collapsed="false">
      <c r="A2" s="16" t="s">
        <v>45</v>
      </c>
    </row>
    <row r="3" customFormat="false" ht="15" hidden="false" customHeight="false" outlineLevel="0" collapsed="false">
      <c r="A3" s="2" t="s">
        <v>46</v>
      </c>
    </row>
    <row r="5" customFormat="false" ht="15" hidden="false" customHeight="false" outlineLevel="0" collapsed="false">
      <c r="A5" s="14" t="s">
        <v>47</v>
      </c>
      <c r="C5" s="8" t="s">
        <v>48</v>
      </c>
    </row>
    <row r="6" customFormat="false" ht="15" hidden="false" customHeight="false" outlineLevel="0" collapsed="false">
      <c r="A6" s="14" t="s">
        <v>49</v>
      </c>
      <c r="C6" s="17" t="n">
        <v>46113</v>
      </c>
    </row>
    <row r="7" customFormat="false" ht="15" hidden="false" customHeight="false" outlineLevel="0" collapsed="false">
      <c r="A7" s="14" t="s">
        <v>50</v>
      </c>
      <c r="C7" s="18" t="n">
        <v>60</v>
      </c>
    </row>
    <row r="8" customFormat="false" ht="15" hidden="false" customHeight="false" outlineLevel="0" collapsed="false">
      <c r="A8" s="14" t="s">
        <v>51</v>
      </c>
      <c r="C8" s="19" t="n">
        <v>100000</v>
      </c>
    </row>
    <row r="9" customFormat="false" ht="15" hidden="false" customHeight="false" outlineLevel="0" collapsed="false">
      <c r="A9" s="14" t="s">
        <v>52</v>
      </c>
      <c r="C9" s="8" t="s">
        <v>53</v>
      </c>
    </row>
    <row r="10" customFormat="false" ht="15" hidden="false" customHeight="false" outlineLevel="0" collapsed="false">
      <c r="A10" s="14" t="s">
        <v>54</v>
      </c>
      <c r="C10" s="8" t="s">
        <v>55</v>
      </c>
    </row>
    <row r="11" customFormat="false" ht="15" hidden="false" customHeight="false" outlineLevel="0" collapsed="false">
      <c r="A11" s="14" t="s">
        <v>56</v>
      </c>
      <c r="C11" s="20" t="n">
        <v>0.05</v>
      </c>
    </row>
    <row r="12" customFormat="false" ht="15" hidden="false" customHeight="false" outlineLevel="0" collapsed="false">
      <c r="A12" s="14" t="s">
        <v>57</v>
      </c>
      <c r="C12" s="18" t="n">
        <v>12</v>
      </c>
    </row>
    <row r="13" customFormat="false" ht="15" hidden="false" customHeight="false" outlineLevel="0" collapsed="false">
      <c r="A13" s="14" t="s">
        <v>58</v>
      </c>
      <c r="C13" s="21" t="n">
        <v>0.095</v>
      </c>
    </row>
    <row r="14" customFormat="false" ht="15" hidden="false" customHeight="false" outlineLevel="0" collapsed="false">
      <c r="A14" s="14" t="s">
        <v>59</v>
      </c>
      <c r="C14" s="8" t="s">
        <v>60</v>
      </c>
    </row>
    <row r="15" customFormat="false" ht="15" hidden="false" customHeight="false" outlineLevel="0" collapsed="false">
      <c r="A15" s="14" t="s">
        <v>61</v>
      </c>
      <c r="C15" s="19" t="n">
        <v>50000</v>
      </c>
    </row>
    <row r="16" customFormat="false" ht="15" hidden="false" customHeight="false" outlineLevel="0" collapsed="false">
      <c r="A16" s="14" t="s">
        <v>62</v>
      </c>
      <c r="C16" s="19" t="n">
        <v>0</v>
      </c>
    </row>
    <row r="17" customFormat="false" ht="15" hidden="false" customHeight="false" outlineLevel="0" collapsed="false">
      <c r="A17" s="14" t="s">
        <v>63</v>
      </c>
      <c r="C17" s="19" t="n">
        <v>0</v>
      </c>
    </row>
    <row r="18" customFormat="false" ht="15" hidden="false" customHeight="false" outlineLevel="0" collapsed="false">
      <c r="A18" s="14" t="s">
        <v>64</v>
      </c>
      <c r="C18" s="19" t="n">
        <v>0</v>
      </c>
    </row>
    <row r="19" customFormat="false" ht="15" hidden="false" customHeight="false" outlineLevel="0" collapsed="false">
      <c r="A19" s="14" t="s">
        <v>65</v>
      </c>
      <c r="C19" s="18"/>
    </row>
    <row r="21" customFormat="false" ht="15" hidden="false" customHeight="false" outlineLevel="0" collapsed="false">
      <c r="A21" s="4" t="s">
        <v>66</v>
      </c>
    </row>
    <row r="22" customFormat="false" ht="15" hidden="false" customHeight="false" outlineLevel="0" collapsed="false">
      <c r="A22" s="9" t="s">
        <v>67</v>
      </c>
      <c r="C22" s="22" t="n">
        <f aca="false">INDEX({1,3,6,12},MATCH(C9,{"Monthly","Quarterly","Half-yearly","Annual"},0))</f>
        <v>1</v>
      </c>
    </row>
    <row r="23" customFormat="false" ht="15" hidden="false" customHeight="false" outlineLevel="0" collapsed="false">
      <c r="A23" s="9" t="s">
        <v>68</v>
      </c>
      <c r="C23" s="23" t="n">
        <f aca="false">IF(C14="Nominal",C13/12,(1+C13)^(1/12)-1)</f>
        <v>0.00759153429058257</v>
      </c>
    </row>
    <row r="24" customFormat="false" ht="15" hidden="false" customHeight="false" outlineLevel="0" collapsed="false">
      <c r="A24" s="9" t="s">
        <v>69</v>
      </c>
      <c r="C24" s="22" t="n">
        <f aca="false">IF(N(C19)&gt;0,C19,C7)</f>
        <v>60</v>
      </c>
    </row>
    <row r="25" customFormat="false" ht="15" hidden="false" customHeight="false" outlineLevel="0" collapsed="false">
      <c r="A25" s="9" t="s">
        <v>70</v>
      </c>
      <c r="C25" s="24" t="n">
        <f aca="false">EDATE(C6,C7)-1</f>
        <v>47938</v>
      </c>
    </row>
    <row r="27" customFormat="false" ht="15" hidden="false" customHeight="false" outlineLevel="0" collapsed="false">
      <c r="A27" s="4" t="s">
        <v>71</v>
      </c>
    </row>
    <row r="28" customFormat="false" ht="15" hidden="false" customHeight="false" outlineLevel="0" collapsed="false">
      <c r="A28" s="14" t="s">
        <v>72</v>
      </c>
      <c r="C28" s="25" t="n">
        <f aca="false">SUM(Schedule!J9:J368)</f>
        <v>5303337.91949122</v>
      </c>
    </row>
    <row r="29" customFormat="false" ht="15" hidden="false" customHeight="false" outlineLevel="0" collapsed="false">
      <c r="A29" s="14" t="s">
        <v>73</v>
      </c>
      <c r="C29" s="25" t="n">
        <f aca="false">C28+C15-C16+C17+C18</f>
        <v>5353337.91949122</v>
      </c>
    </row>
    <row r="30" customFormat="false" ht="15" hidden="false" customHeight="false" outlineLevel="0" collapsed="false">
      <c r="A30" s="14" t="s">
        <v>74</v>
      </c>
      <c r="C30" s="25" t="n">
        <f aca="false">SUM(Schedule!N9:N368)</f>
        <v>6630757.5</v>
      </c>
    </row>
    <row r="31" customFormat="false" ht="15" hidden="false" customHeight="false" outlineLevel="0" collapsed="false">
      <c r="A31" s="14" t="s">
        <v>75</v>
      </c>
      <c r="C31" s="25" t="n">
        <f aca="false">SUM(Schedule!L9:L368)</f>
        <v>1327419.58050878</v>
      </c>
    </row>
    <row r="32" customFormat="false" ht="15" hidden="false" customHeight="false" outlineLevel="0" collapsed="false">
      <c r="A32" s="14" t="s">
        <v>76</v>
      </c>
      <c r="C32" s="25" t="n">
        <f aca="false">SUM(Schedule!Q9:Q368)</f>
        <v>5353337.91949122</v>
      </c>
    </row>
  </sheetData>
  <dataValidations count="3">
    <dataValidation allowBlank="true" error="Pick a value from the list" errorStyle="stop" errorTitle="Invalid entry" operator="between" showDropDown="false" showErrorMessage="false" showInputMessage="false" sqref="C9" type="list">
      <formula1>"Monthly,Quarterly,Half-yearly,Annual"</formula1>
      <formula2>0</formula2>
    </dataValidation>
    <dataValidation allowBlank="true" error="Pick a value from the list" errorStyle="stop" errorTitle="Invalid entry" operator="between" showDropDown="false" showErrorMessage="false" showInputMessage="false" sqref="C10" type="list">
      <formula1>"Advance,Arrears"</formula1>
      <formula2>0</formula2>
    </dataValidation>
    <dataValidation allowBlank="true" error="Pick a value from the list" errorStyle="stop" errorTitle="Invalid entry" operator="between" showDropDown="false" showErrorMessage="false" showInputMessage="false" sqref="C14" type="list">
      <formula1>"Effective,Nominal"</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S36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3" ySplit="8" topLeftCell="D9" activePane="bottomRight" state="frozen"/>
      <selection pane="topLeft" activeCell="A1" activeCellId="0" sqref="A1"/>
      <selection pane="topRight" activeCell="D1" activeCellId="0" sqref="D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7"/>
    <col collapsed="false" customWidth="true" hidden="false" outlineLevel="0" max="3" min="2" style="0" width="11"/>
    <col collapsed="false" customWidth="true" hidden="false" outlineLevel="0" max="4" min="4" style="0" width="9"/>
    <col collapsed="false" customWidth="true" hidden="false" outlineLevel="0" max="5" min="5" style="0" width="10"/>
    <col collapsed="false" customWidth="true" hidden="false" outlineLevel="0" max="7" min="6" style="0" width="13"/>
    <col collapsed="false" customWidth="true" hidden="false" outlineLevel="0" max="9" min="8" style="0" width="10"/>
    <col collapsed="false" customWidth="true" hidden="false" outlineLevel="0" max="18" min="10" style="0" width="13"/>
    <col collapsed="false" customWidth="true" hidden="false" outlineLevel="0" max="19" min="19" style="0" width="11"/>
  </cols>
  <sheetData>
    <row r="1" customFormat="false" ht="17.35" hidden="false" customHeight="false" outlineLevel="0" collapsed="false">
      <c r="A1" s="15" t="s">
        <v>77</v>
      </c>
    </row>
    <row r="2" customFormat="false" ht="15" hidden="false" customHeight="false" outlineLevel="0" collapsed="false">
      <c r="A2" s="16" t="s">
        <v>45</v>
      </c>
    </row>
    <row r="3" customFormat="false" ht="15" hidden="false" customHeight="false" outlineLevel="0" collapsed="false">
      <c r="A3" s="2" t="s">
        <v>78</v>
      </c>
    </row>
    <row r="8" customFormat="false" ht="43.5" hidden="false" customHeight="true" outlineLevel="0" collapsed="false">
      <c r="A8" s="26" t="s">
        <v>79</v>
      </c>
      <c r="B8" s="26" t="s">
        <v>80</v>
      </c>
      <c r="C8" s="26" t="s">
        <v>81</v>
      </c>
      <c r="D8" s="26" t="s">
        <v>82</v>
      </c>
      <c r="E8" s="26" t="s">
        <v>83</v>
      </c>
      <c r="F8" s="26" t="s">
        <v>84</v>
      </c>
      <c r="G8" s="26" t="s">
        <v>85</v>
      </c>
      <c r="H8" s="26" t="s">
        <v>86</v>
      </c>
      <c r="I8" s="26" t="s">
        <v>87</v>
      </c>
      <c r="J8" s="26" t="s">
        <v>88</v>
      </c>
      <c r="K8" s="26" t="s">
        <v>89</v>
      </c>
      <c r="L8" s="26" t="s">
        <v>90</v>
      </c>
      <c r="M8" s="26" t="s">
        <v>91</v>
      </c>
      <c r="N8" s="26" t="s">
        <v>92</v>
      </c>
      <c r="O8" s="26" t="s">
        <v>93</v>
      </c>
      <c r="P8" s="26" t="s">
        <v>94</v>
      </c>
      <c r="Q8" s="26" t="s">
        <v>95</v>
      </c>
      <c r="R8" s="26" t="s">
        <v>96</v>
      </c>
      <c r="S8" s="26" t="s">
        <v>97</v>
      </c>
    </row>
    <row r="9" customFormat="false" ht="15" hidden="false" customHeight="false" outlineLevel="0" collapsed="false">
      <c r="A9" s="22" t="n">
        <v>1</v>
      </c>
      <c r="B9" s="24" t="n">
        <f aca="false">EDATE(Inputs!$C$6,A9-1)</f>
        <v>46113</v>
      </c>
      <c r="C9" s="24" t="n">
        <f aca="false">EDATE(Inputs!$C$6,A9)-1</f>
        <v>46142</v>
      </c>
      <c r="D9" s="10" t="str">
        <f aca="false">IF(A9&lt;=Inputs!$C$7,"Yes","No")</f>
        <v>Yes</v>
      </c>
      <c r="E9" s="27" t="n">
        <f aca="false">IF(N(Inputs!$C$12)=0,1,(1+Inputs!$C$11)^INT((A9-1)/Inputs!$C$12))</f>
        <v>1</v>
      </c>
      <c r="F9" s="28" t="n">
        <f aca="false">IF(AND(D9="Yes",Inputs!$C$10="Advance",MOD(A9-1,Inputs!$C$22)=0),Inputs!$C$8*E9,0)</f>
        <v>100000</v>
      </c>
      <c r="G9" s="28" t="n">
        <f aca="false">IF(AND(D9="Yes",Inputs!$C$10="Arrears",MOD(A9,Inputs!$C$22)=0),Inputs!$C$8*IF(N(Inputs!$C$12)=0,1,(1+Inputs!$C$11)^INT((A9-Inputs!$C$22)/Inputs!$C$12)),0)</f>
        <v>0</v>
      </c>
      <c r="H9" s="29" t="n">
        <f aca="false">1/(1+Inputs!$C$23)^(A9-1)</f>
        <v>1</v>
      </c>
      <c r="I9" s="29" t="n">
        <f aca="false">1/(1+Inputs!$C$23)^A9</f>
        <v>0.99246566288796</v>
      </c>
      <c r="J9" s="30" t="n">
        <f aca="false">F9*H9+G9*I9</f>
        <v>100000</v>
      </c>
      <c r="K9" s="31" t="n">
        <f aca="false">Inputs!$C$28</f>
        <v>5303337.91949122</v>
      </c>
      <c r="L9" s="30" t="n">
        <f aca="false">IF(D9="Yes",(K9-F9)*Inputs!$C$23,0)</f>
        <v>39501.3182413061</v>
      </c>
      <c r="M9" s="30" t="n">
        <f aca="false">K9-F9+L9-G9</f>
        <v>5242839.23773252</v>
      </c>
      <c r="N9" s="30" t="n">
        <f aca="false">F9+G9</f>
        <v>100000</v>
      </c>
      <c r="O9" s="30" t="n">
        <f aca="false">N9-L9</f>
        <v>60498.6817586939</v>
      </c>
      <c r="P9" s="31" t="n">
        <f aca="false">Inputs!$C$29</f>
        <v>5353337.91949122</v>
      </c>
      <c r="Q9" s="30" t="n">
        <f aca="false">IF(A9&lt;=Inputs!$C$24,Inputs!$C$29/Inputs!$C$24,0)</f>
        <v>89222.298658187</v>
      </c>
      <c r="R9" s="30" t="n">
        <f aca="false">P9-Q9</f>
        <v>5264115.62083303</v>
      </c>
      <c r="S9" s="10" t="str">
        <f aca="false">"FY "&amp;(YEAR(B9)-(MONTH(B9)&lt;4))&amp;"-"&amp;RIGHT(YEAR(B9)-(MONTH(B9)&lt;4)+1,2)</f>
        <v>FY 2026-27</v>
      </c>
    </row>
    <row r="10" customFormat="false" ht="15" hidden="false" customHeight="false" outlineLevel="0" collapsed="false">
      <c r="A10" s="22" t="n">
        <v>2</v>
      </c>
      <c r="B10" s="24" t="n">
        <f aca="false">EDATE(Inputs!$C$6,A10-1)</f>
        <v>46143</v>
      </c>
      <c r="C10" s="24" t="n">
        <f aca="false">EDATE(Inputs!$C$6,A10)-1</f>
        <v>46173</v>
      </c>
      <c r="D10" s="10" t="str">
        <f aca="false">IF(A10&lt;=Inputs!$C$7,"Yes","No")</f>
        <v>Yes</v>
      </c>
      <c r="E10" s="27" t="n">
        <f aca="false">IF(N(Inputs!$C$12)=0,1,(1+Inputs!$C$11)^INT((A10-1)/Inputs!$C$12))</f>
        <v>1</v>
      </c>
      <c r="F10" s="28" t="n">
        <f aca="false">IF(AND(D10="Yes",Inputs!$C$10="Advance",MOD(A10-1,Inputs!$C$22)=0),Inputs!$C$8*E10,0)</f>
        <v>100000</v>
      </c>
      <c r="G10" s="28" t="n">
        <f aca="false">IF(AND(D10="Yes",Inputs!$C$10="Arrears",MOD(A10,Inputs!$C$22)=0),Inputs!$C$8*IF(N(Inputs!$C$12)=0,1,(1+Inputs!$C$11)^INT((A10-Inputs!$C$22)/Inputs!$C$12)),0)</f>
        <v>0</v>
      </c>
      <c r="H10" s="29" t="n">
        <f aca="false">1/(1+Inputs!$C$23)^(A10-1)</f>
        <v>0.99246566288796</v>
      </c>
      <c r="I10" s="29" t="n">
        <f aca="false">1/(1+Inputs!$C$23)^A10</f>
        <v>0.984988092011639</v>
      </c>
      <c r="J10" s="30" t="n">
        <f aca="false">F10*H10+G10*I10</f>
        <v>99246.566288796</v>
      </c>
      <c r="K10" s="30" t="n">
        <f aca="false">M9</f>
        <v>5242839.23773252</v>
      </c>
      <c r="L10" s="30" t="n">
        <f aca="false">IF(D10="Yes",(K10-F10)*Inputs!$C$23,0)</f>
        <v>39042.0404242</v>
      </c>
      <c r="M10" s="30" t="n">
        <f aca="false">K10-F10+L10-G10</f>
        <v>5181881.27815672</v>
      </c>
      <c r="N10" s="30" t="n">
        <f aca="false">F10+G10</f>
        <v>100000</v>
      </c>
      <c r="O10" s="30" t="n">
        <f aca="false">N10-L10</f>
        <v>60957.9595758</v>
      </c>
      <c r="P10" s="30" t="n">
        <f aca="false">R9</f>
        <v>5264115.62083303</v>
      </c>
      <c r="Q10" s="30" t="n">
        <f aca="false">IF(A10&lt;=Inputs!$C$24,Inputs!$C$29/Inputs!$C$24,0)</f>
        <v>89222.298658187</v>
      </c>
      <c r="R10" s="30" t="n">
        <f aca="false">P10-Q10</f>
        <v>5174893.32217484</v>
      </c>
      <c r="S10" s="10" t="str">
        <f aca="false">"FY "&amp;(YEAR(B10)-(MONTH(B10)&lt;4))&amp;"-"&amp;RIGHT(YEAR(B10)-(MONTH(B10)&lt;4)+1,2)</f>
        <v>FY 2026-27</v>
      </c>
    </row>
    <row r="11" customFormat="false" ht="15" hidden="false" customHeight="false" outlineLevel="0" collapsed="false">
      <c r="A11" s="22" t="n">
        <v>3</v>
      </c>
      <c r="B11" s="24" t="n">
        <f aca="false">EDATE(Inputs!$C$6,A11-1)</f>
        <v>46174</v>
      </c>
      <c r="C11" s="24" t="n">
        <f aca="false">EDATE(Inputs!$C$6,A11)-1</f>
        <v>46203</v>
      </c>
      <c r="D11" s="10" t="str">
        <f aca="false">IF(A11&lt;=Inputs!$C$7,"Yes","No")</f>
        <v>Yes</v>
      </c>
      <c r="E11" s="27" t="n">
        <f aca="false">IF(N(Inputs!$C$12)=0,1,(1+Inputs!$C$11)^INT((A11-1)/Inputs!$C$12))</f>
        <v>1</v>
      </c>
      <c r="F11" s="28" t="n">
        <f aca="false">IF(AND(D11="Yes",Inputs!$C$10="Advance",MOD(A11-1,Inputs!$C$22)=0),Inputs!$C$8*E11,0)</f>
        <v>100000</v>
      </c>
      <c r="G11" s="28" t="n">
        <f aca="false">IF(AND(D11="Yes",Inputs!$C$10="Arrears",MOD(A11,Inputs!$C$22)=0),Inputs!$C$8*IF(N(Inputs!$C$12)=0,1,(1+Inputs!$C$11)^INT((A11-Inputs!$C$22)/Inputs!$C$12)),0)</f>
        <v>0</v>
      </c>
      <c r="H11" s="29" t="n">
        <f aca="false">1/(1+Inputs!$C$23)^(A11-1)</f>
        <v>0.984988092011639</v>
      </c>
      <c r="I11" s="29" t="n">
        <f aca="false">1/(1+Inputs!$C$23)^A11</f>
        <v>0.977566859675078</v>
      </c>
      <c r="J11" s="30" t="n">
        <f aca="false">F11*H11+G11*I11</f>
        <v>98498.8092011639</v>
      </c>
      <c r="K11" s="30" t="n">
        <f aca="false">M10</f>
        <v>5181881.27815672</v>
      </c>
      <c r="L11" s="30" t="n">
        <f aca="false">IF(D11="Yes",(K11-F11)*Inputs!$C$23,0)</f>
        <v>38579.2759837963</v>
      </c>
      <c r="M11" s="30" t="n">
        <f aca="false">K11-F11+L11-G11</f>
        <v>5120460.55414052</v>
      </c>
      <c r="N11" s="30" t="n">
        <f aca="false">F11+G11</f>
        <v>100000</v>
      </c>
      <c r="O11" s="30" t="n">
        <f aca="false">N11-L11</f>
        <v>61420.7240162037</v>
      </c>
      <c r="P11" s="30" t="n">
        <f aca="false">R10</f>
        <v>5174893.32217484</v>
      </c>
      <c r="Q11" s="30" t="n">
        <f aca="false">IF(A11&lt;=Inputs!$C$24,Inputs!$C$29/Inputs!$C$24,0)</f>
        <v>89222.298658187</v>
      </c>
      <c r="R11" s="30" t="n">
        <f aca="false">P11-Q11</f>
        <v>5085671.02351666</v>
      </c>
      <c r="S11" s="10" t="str">
        <f aca="false">"FY "&amp;(YEAR(B11)-(MONTH(B11)&lt;4))&amp;"-"&amp;RIGHT(YEAR(B11)-(MONTH(B11)&lt;4)+1,2)</f>
        <v>FY 2026-27</v>
      </c>
    </row>
    <row r="12" customFormat="false" ht="15" hidden="false" customHeight="false" outlineLevel="0" collapsed="false">
      <c r="A12" s="22" t="n">
        <v>4</v>
      </c>
      <c r="B12" s="24" t="n">
        <f aca="false">EDATE(Inputs!$C$6,A12-1)</f>
        <v>46204</v>
      </c>
      <c r="C12" s="24" t="n">
        <f aca="false">EDATE(Inputs!$C$6,A12)-1</f>
        <v>46234</v>
      </c>
      <c r="D12" s="10" t="str">
        <f aca="false">IF(A12&lt;=Inputs!$C$7,"Yes","No")</f>
        <v>Yes</v>
      </c>
      <c r="E12" s="27" t="n">
        <f aca="false">IF(N(Inputs!$C$12)=0,1,(1+Inputs!$C$11)^INT((A12-1)/Inputs!$C$12))</f>
        <v>1</v>
      </c>
      <c r="F12" s="28" t="n">
        <f aca="false">IF(AND(D12="Yes",Inputs!$C$10="Advance",MOD(A12-1,Inputs!$C$22)=0),Inputs!$C$8*E12,0)</f>
        <v>100000</v>
      </c>
      <c r="G12" s="28" t="n">
        <f aca="false">IF(AND(D12="Yes",Inputs!$C$10="Arrears",MOD(A12,Inputs!$C$22)=0),Inputs!$C$8*IF(N(Inputs!$C$12)=0,1,(1+Inputs!$C$11)^INT((A12-Inputs!$C$22)/Inputs!$C$12)),0)</f>
        <v>0</v>
      </c>
      <c r="H12" s="29" t="n">
        <f aca="false">1/(1+Inputs!$C$23)^(A12-1)</f>
        <v>0.977566859675078</v>
      </c>
      <c r="I12" s="29" t="n">
        <f aca="false">1/(1+Inputs!$C$23)^A12</f>
        <v>0.970201541404728</v>
      </c>
      <c r="J12" s="30" t="n">
        <f aca="false">F12*H12+G12*I12</f>
        <v>97756.6859675078</v>
      </c>
      <c r="K12" s="30" t="n">
        <f aca="false">M11</f>
        <v>5120460.55414052</v>
      </c>
      <c r="L12" s="30" t="n">
        <f aca="false">IF(D12="Yes",(K12-F12)*Inputs!$C$23,0)</f>
        <v>38112.9984512749</v>
      </c>
      <c r="M12" s="30" t="n">
        <f aca="false">K12-F12+L12-G12</f>
        <v>5058573.55259179</v>
      </c>
      <c r="N12" s="30" t="n">
        <f aca="false">F12+G12</f>
        <v>100000</v>
      </c>
      <c r="O12" s="30" t="n">
        <f aca="false">N12-L12</f>
        <v>61887.0015487251</v>
      </c>
      <c r="P12" s="30" t="n">
        <f aca="false">R11</f>
        <v>5085671.02351666</v>
      </c>
      <c r="Q12" s="30" t="n">
        <f aca="false">IF(A12&lt;=Inputs!$C$24,Inputs!$C$29/Inputs!$C$24,0)</f>
        <v>89222.298658187</v>
      </c>
      <c r="R12" s="30" t="n">
        <f aca="false">P12-Q12</f>
        <v>4996448.72485847</v>
      </c>
      <c r="S12" s="10" t="str">
        <f aca="false">"FY "&amp;(YEAR(B12)-(MONTH(B12)&lt;4))&amp;"-"&amp;RIGHT(YEAR(B12)-(MONTH(B12)&lt;4)+1,2)</f>
        <v>FY 2026-27</v>
      </c>
    </row>
    <row r="13" customFormat="false" ht="15" hidden="false" customHeight="false" outlineLevel="0" collapsed="false">
      <c r="A13" s="22" t="n">
        <v>5</v>
      </c>
      <c r="B13" s="24" t="n">
        <f aca="false">EDATE(Inputs!$C$6,A13-1)</f>
        <v>46235</v>
      </c>
      <c r="C13" s="24" t="n">
        <f aca="false">EDATE(Inputs!$C$6,A13)-1</f>
        <v>46265</v>
      </c>
      <c r="D13" s="10" t="str">
        <f aca="false">IF(A13&lt;=Inputs!$C$7,"Yes","No")</f>
        <v>Yes</v>
      </c>
      <c r="E13" s="27" t="n">
        <f aca="false">IF(N(Inputs!$C$12)=0,1,(1+Inputs!$C$11)^INT((A13-1)/Inputs!$C$12))</f>
        <v>1</v>
      </c>
      <c r="F13" s="28" t="n">
        <f aca="false">IF(AND(D13="Yes",Inputs!$C$10="Advance",MOD(A13-1,Inputs!$C$22)=0),Inputs!$C$8*E13,0)</f>
        <v>100000</v>
      </c>
      <c r="G13" s="28" t="n">
        <f aca="false">IF(AND(D13="Yes",Inputs!$C$10="Arrears",MOD(A13,Inputs!$C$22)=0),Inputs!$C$8*IF(N(Inputs!$C$12)=0,1,(1+Inputs!$C$11)^INT((A13-Inputs!$C$22)/Inputs!$C$12)),0)</f>
        <v>0</v>
      </c>
      <c r="H13" s="29" t="n">
        <f aca="false">1/(1+Inputs!$C$23)^(A13-1)</f>
        <v>0.970201541404728</v>
      </c>
      <c r="I13" s="29" t="n">
        <f aca="false">1/(1+Inputs!$C$23)^A13</f>
        <v>0.962891715925164</v>
      </c>
      <c r="J13" s="30" t="n">
        <f aca="false">F13*H13+G13*I13</f>
        <v>97020.1541404728</v>
      </c>
      <c r="K13" s="30" t="n">
        <f aca="false">M12</f>
        <v>5058573.55259179</v>
      </c>
      <c r="L13" s="30" t="n">
        <f aca="false">IF(D13="Yes",(K13-F13)*Inputs!$C$23,0)</f>
        <v>37643.1811568764</v>
      </c>
      <c r="M13" s="30" t="n">
        <f aca="false">K13-F13+L13-G13</f>
        <v>4996216.73374867</v>
      </c>
      <c r="N13" s="30" t="n">
        <f aca="false">F13+G13</f>
        <v>100000</v>
      </c>
      <c r="O13" s="30" t="n">
        <f aca="false">N13-L13</f>
        <v>62356.8188431236</v>
      </c>
      <c r="P13" s="30" t="n">
        <f aca="false">R12</f>
        <v>4996448.72485847</v>
      </c>
      <c r="Q13" s="30" t="n">
        <f aca="false">IF(A13&lt;=Inputs!$C$24,Inputs!$C$29/Inputs!$C$24,0)</f>
        <v>89222.298658187</v>
      </c>
      <c r="R13" s="30" t="n">
        <f aca="false">P13-Q13</f>
        <v>4907226.42620028</v>
      </c>
      <c r="S13" s="10" t="str">
        <f aca="false">"FY "&amp;(YEAR(B13)-(MONTH(B13)&lt;4))&amp;"-"&amp;RIGHT(YEAR(B13)-(MONTH(B13)&lt;4)+1,2)</f>
        <v>FY 2026-27</v>
      </c>
    </row>
    <row r="14" customFormat="false" ht="15" hidden="false" customHeight="false" outlineLevel="0" collapsed="false">
      <c r="A14" s="22" t="n">
        <v>6</v>
      </c>
      <c r="B14" s="24" t="n">
        <f aca="false">EDATE(Inputs!$C$6,A14-1)</f>
        <v>46266</v>
      </c>
      <c r="C14" s="24" t="n">
        <f aca="false">EDATE(Inputs!$C$6,A14)-1</f>
        <v>46295</v>
      </c>
      <c r="D14" s="10" t="str">
        <f aca="false">IF(A14&lt;=Inputs!$C$7,"Yes","No")</f>
        <v>Yes</v>
      </c>
      <c r="E14" s="27" t="n">
        <f aca="false">IF(N(Inputs!$C$12)=0,1,(1+Inputs!$C$11)^INT((A14-1)/Inputs!$C$12))</f>
        <v>1</v>
      </c>
      <c r="F14" s="28" t="n">
        <f aca="false">IF(AND(D14="Yes",Inputs!$C$10="Advance",MOD(A14-1,Inputs!$C$22)=0),Inputs!$C$8*E14,0)</f>
        <v>100000</v>
      </c>
      <c r="G14" s="28" t="n">
        <f aca="false">IF(AND(D14="Yes",Inputs!$C$10="Arrears",MOD(A14,Inputs!$C$22)=0),Inputs!$C$8*IF(N(Inputs!$C$12)=0,1,(1+Inputs!$C$11)^INT((A14-Inputs!$C$22)/Inputs!$C$12)),0)</f>
        <v>0</v>
      </c>
      <c r="H14" s="29" t="n">
        <f aca="false">1/(1+Inputs!$C$23)^(A14-1)</f>
        <v>0.962891715925164</v>
      </c>
      <c r="I14" s="29" t="n">
        <f aca="false">1/(1+Inputs!$C$23)^A14</f>
        <v>0.955636965134994</v>
      </c>
      <c r="J14" s="30" t="n">
        <f aca="false">F14*H14+G14*I14</f>
        <v>96289.1715925164</v>
      </c>
      <c r="K14" s="30" t="n">
        <f aca="false">M13</f>
        <v>4996216.73374867</v>
      </c>
      <c r="L14" s="30" t="n">
        <f aca="false">IF(D14="Yes",(K14-F14)*Inputs!$C$23,0)</f>
        <v>37169.7972283772</v>
      </c>
      <c r="M14" s="30" t="n">
        <f aca="false">K14-F14+L14-G14</f>
        <v>4933386.53097705</v>
      </c>
      <c r="N14" s="30" t="n">
        <f aca="false">F14+G14</f>
        <v>100000</v>
      </c>
      <c r="O14" s="30" t="n">
        <f aca="false">N14-L14</f>
        <v>62830.2027716228</v>
      </c>
      <c r="P14" s="30" t="n">
        <f aca="false">R13</f>
        <v>4907226.42620028</v>
      </c>
      <c r="Q14" s="30" t="n">
        <f aca="false">IF(A14&lt;=Inputs!$C$24,Inputs!$C$29/Inputs!$C$24,0)</f>
        <v>89222.298658187</v>
      </c>
      <c r="R14" s="30" t="n">
        <f aca="false">P14-Q14</f>
        <v>4818004.1275421</v>
      </c>
      <c r="S14" s="10" t="str">
        <f aca="false">"FY "&amp;(YEAR(B14)-(MONTH(B14)&lt;4))&amp;"-"&amp;RIGHT(YEAR(B14)-(MONTH(B14)&lt;4)+1,2)</f>
        <v>FY 2026-27</v>
      </c>
    </row>
    <row r="15" customFormat="false" ht="15" hidden="false" customHeight="false" outlineLevel="0" collapsed="false">
      <c r="A15" s="22" t="n">
        <v>7</v>
      </c>
      <c r="B15" s="24" t="n">
        <f aca="false">EDATE(Inputs!$C$6,A15-1)</f>
        <v>46296</v>
      </c>
      <c r="C15" s="24" t="n">
        <f aca="false">EDATE(Inputs!$C$6,A15)-1</f>
        <v>46326</v>
      </c>
      <c r="D15" s="10" t="str">
        <f aca="false">IF(A15&lt;=Inputs!$C$7,"Yes","No")</f>
        <v>Yes</v>
      </c>
      <c r="E15" s="27" t="n">
        <f aca="false">IF(N(Inputs!$C$12)=0,1,(1+Inputs!$C$11)^INT((A15-1)/Inputs!$C$12))</f>
        <v>1</v>
      </c>
      <c r="F15" s="28" t="n">
        <f aca="false">IF(AND(D15="Yes",Inputs!$C$10="Advance",MOD(A15-1,Inputs!$C$22)=0),Inputs!$C$8*E15,0)</f>
        <v>100000</v>
      </c>
      <c r="G15" s="28" t="n">
        <f aca="false">IF(AND(D15="Yes",Inputs!$C$10="Arrears",MOD(A15,Inputs!$C$22)=0),Inputs!$C$8*IF(N(Inputs!$C$12)=0,1,(1+Inputs!$C$11)^INT((A15-Inputs!$C$22)/Inputs!$C$12)),0)</f>
        <v>0</v>
      </c>
      <c r="H15" s="29" t="n">
        <f aca="false">1/(1+Inputs!$C$23)^(A15-1)</f>
        <v>0.955636965134994</v>
      </c>
      <c r="I15" s="29" t="n">
        <f aca="false">1/(1+Inputs!$C$23)^A15</f>
        <v>0.94843687408294</v>
      </c>
      <c r="J15" s="30" t="n">
        <f aca="false">F15*H15+G15*I15</f>
        <v>95563.6965134994</v>
      </c>
      <c r="K15" s="30" t="n">
        <f aca="false">M14</f>
        <v>4933386.53097705</v>
      </c>
      <c r="L15" s="30" t="n">
        <f aca="false">IF(D15="Yes",(K15-F15)*Inputs!$C$23,0)</f>
        <v>36692.8195895522</v>
      </c>
      <c r="M15" s="30" t="n">
        <f aca="false">K15-F15+L15-G15</f>
        <v>4870079.3505666</v>
      </c>
      <c r="N15" s="30" t="n">
        <f aca="false">F15+G15</f>
        <v>100000</v>
      </c>
      <c r="O15" s="30" t="n">
        <f aca="false">N15-L15</f>
        <v>63307.1804104478</v>
      </c>
      <c r="P15" s="30" t="n">
        <f aca="false">R14</f>
        <v>4818004.1275421</v>
      </c>
      <c r="Q15" s="30" t="n">
        <f aca="false">IF(A15&lt;=Inputs!$C$24,Inputs!$C$29/Inputs!$C$24,0)</f>
        <v>89222.298658187</v>
      </c>
      <c r="R15" s="30" t="n">
        <f aca="false">P15-Q15</f>
        <v>4728781.82888391</v>
      </c>
      <c r="S15" s="10" t="str">
        <f aca="false">"FY "&amp;(YEAR(B15)-(MONTH(B15)&lt;4))&amp;"-"&amp;RIGHT(YEAR(B15)-(MONTH(B15)&lt;4)+1,2)</f>
        <v>FY 2026-27</v>
      </c>
    </row>
    <row r="16" customFormat="false" ht="15" hidden="false" customHeight="false" outlineLevel="0" collapsed="false">
      <c r="A16" s="22" t="n">
        <v>8</v>
      </c>
      <c r="B16" s="24" t="n">
        <f aca="false">EDATE(Inputs!$C$6,A16-1)</f>
        <v>46327</v>
      </c>
      <c r="C16" s="24" t="n">
        <f aca="false">EDATE(Inputs!$C$6,A16)-1</f>
        <v>46356</v>
      </c>
      <c r="D16" s="10" t="str">
        <f aca="false">IF(A16&lt;=Inputs!$C$7,"Yes","No")</f>
        <v>Yes</v>
      </c>
      <c r="E16" s="27" t="n">
        <f aca="false">IF(N(Inputs!$C$12)=0,1,(1+Inputs!$C$11)^INT((A16-1)/Inputs!$C$12))</f>
        <v>1</v>
      </c>
      <c r="F16" s="28" t="n">
        <f aca="false">IF(AND(D16="Yes",Inputs!$C$10="Advance",MOD(A16-1,Inputs!$C$22)=0),Inputs!$C$8*E16,0)</f>
        <v>100000</v>
      </c>
      <c r="G16" s="28" t="n">
        <f aca="false">IF(AND(D16="Yes",Inputs!$C$10="Arrears",MOD(A16,Inputs!$C$22)=0),Inputs!$C$8*IF(N(Inputs!$C$12)=0,1,(1+Inputs!$C$11)^INT((A16-Inputs!$C$22)/Inputs!$C$12)),0)</f>
        <v>0</v>
      </c>
      <c r="H16" s="29" t="n">
        <f aca="false">1/(1+Inputs!$C$23)^(A16-1)</f>
        <v>0.94843687408294</v>
      </c>
      <c r="I16" s="29" t="n">
        <f aca="false">1/(1+Inputs!$C$23)^A16</f>
        <v>0.94129103094411</v>
      </c>
      <c r="J16" s="30" t="n">
        <f aca="false">F16*H16+G16*I16</f>
        <v>94843.687408294</v>
      </c>
      <c r="K16" s="30" t="n">
        <f aca="false">M15</f>
        <v>4870079.3505666</v>
      </c>
      <c r="L16" s="30" t="n">
        <f aca="false">IF(D16="Yes",(K16-F16)*Inputs!$C$23,0)</f>
        <v>36212.2209586262</v>
      </c>
      <c r="M16" s="30" t="n">
        <f aca="false">K16-F16+L16-G16</f>
        <v>4806291.57152523</v>
      </c>
      <c r="N16" s="30" t="n">
        <f aca="false">F16+G16</f>
        <v>100000</v>
      </c>
      <c r="O16" s="30" t="n">
        <f aca="false">N16-L16</f>
        <v>63787.7790413738</v>
      </c>
      <c r="P16" s="30" t="n">
        <f aca="false">R15</f>
        <v>4728781.82888391</v>
      </c>
      <c r="Q16" s="30" t="n">
        <f aca="false">IF(A16&lt;=Inputs!$C$24,Inputs!$C$29/Inputs!$C$24,0)</f>
        <v>89222.298658187</v>
      </c>
      <c r="R16" s="30" t="n">
        <f aca="false">P16-Q16</f>
        <v>4639559.53022572</v>
      </c>
      <c r="S16" s="10" t="str">
        <f aca="false">"FY "&amp;(YEAR(B16)-(MONTH(B16)&lt;4))&amp;"-"&amp;RIGHT(YEAR(B16)-(MONTH(B16)&lt;4)+1,2)</f>
        <v>FY 2026-27</v>
      </c>
    </row>
    <row r="17" customFormat="false" ht="15" hidden="false" customHeight="false" outlineLevel="0" collapsed="false">
      <c r="A17" s="22" t="n">
        <v>9</v>
      </c>
      <c r="B17" s="24" t="n">
        <f aca="false">EDATE(Inputs!$C$6,A17-1)</f>
        <v>46357</v>
      </c>
      <c r="C17" s="24" t="n">
        <f aca="false">EDATE(Inputs!$C$6,A17)-1</f>
        <v>46387</v>
      </c>
      <c r="D17" s="10" t="str">
        <f aca="false">IF(A17&lt;=Inputs!$C$7,"Yes","No")</f>
        <v>Yes</v>
      </c>
      <c r="E17" s="27" t="n">
        <f aca="false">IF(N(Inputs!$C$12)=0,1,(1+Inputs!$C$11)^INT((A17-1)/Inputs!$C$12))</f>
        <v>1</v>
      </c>
      <c r="F17" s="28" t="n">
        <f aca="false">IF(AND(D17="Yes",Inputs!$C$10="Advance",MOD(A17-1,Inputs!$C$22)=0),Inputs!$C$8*E17,0)</f>
        <v>100000</v>
      </c>
      <c r="G17" s="28" t="n">
        <f aca="false">IF(AND(D17="Yes",Inputs!$C$10="Arrears",MOD(A17,Inputs!$C$22)=0),Inputs!$C$8*IF(N(Inputs!$C$12)=0,1,(1+Inputs!$C$11)^INT((A17-Inputs!$C$22)/Inputs!$C$12)),0)</f>
        <v>0</v>
      </c>
      <c r="H17" s="29" t="n">
        <f aca="false">1/(1+Inputs!$C$23)^(A17-1)</f>
        <v>0.94129103094411</v>
      </c>
      <c r="I17" s="29" t="n">
        <f aca="false">1/(1+Inputs!$C$23)^A17</f>
        <v>0.934199026996438</v>
      </c>
      <c r="J17" s="30" t="n">
        <f aca="false">F17*H17+G17*I17</f>
        <v>94129.103094411</v>
      </c>
      <c r="K17" s="30" t="n">
        <f aca="false">M16</f>
        <v>4806291.57152523</v>
      </c>
      <c r="L17" s="30" t="n">
        <f aca="false">IF(D17="Yes",(K17-F17)*Inputs!$C$23,0)</f>
        <v>35727.9738467135</v>
      </c>
      <c r="M17" s="30" t="n">
        <f aca="false">K17-F17+L17-G17</f>
        <v>4742019.54537194</v>
      </c>
      <c r="N17" s="30" t="n">
        <f aca="false">F17+G17</f>
        <v>100000</v>
      </c>
      <c r="O17" s="30" t="n">
        <f aca="false">N17-L17</f>
        <v>64272.0261532865</v>
      </c>
      <c r="P17" s="30" t="n">
        <f aca="false">R16</f>
        <v>4639559.53022572</v>
      </c>
      <c r="Q17" s="30" t="n">
        <f aca="false">IF(A17&lt;=Inputs!$C$24,Inputs!$C$29/Inputs!$C$24,0)</f>
        <v>89222.298658187</v>
      </c>
      <c r="R17" s="30" t="n">
        <f aca="false">P17-Q17</f>
        <v>4550337.23156754</v>
      </c>
      <c r="S17" s="10" t="str">
        <f aca="false">"FY "&amp;(YEAR(B17)-(MONTH(B17)&lt;4))&amp;"-"&amp;RIGHT(YEAR(B17)-(MONTH(B17)&lt;4)+1,2)</f>
        <v>FY 2026-27</v>
      </c>
    </row>
    <row r="18" customFormat="false" ht="15" hidden="false" customHeight="false" outlineLevel="0" collapsed="false">
      <c r="A18" s="22" t="n">
        <v>10</v>
      </c>
      <c r="B18" s="24" t="n">
        <f aca="false">EDATE(Inputs!$C$6,A18-1)</f>
        <v>46388</v>
      </c>
      <c r="C18" s="24" t="n">
        <f aca="false">EDATE(Inputs!$C$6,A18)-1</f>
        <v>46418</v>
      </c>
      <c r="D18" s="10" t="str">
        <f aca="false">IF(A18&lt;=Inputs!$C$7,"Yes","No")</f>
        <v>Yes</v>
      </c>
      <c r="E18" s="27" t="n">
        <f aca="false">IF(N(Inputs!$C$12)=0,1,(1+Inputs!$C$11)^INT((A18-1)/Inputs!$C$12))</f>
        <v>1</v>
      </c>
      <c r="F18" s="28" t="n">
        <f aca="false">IF(AND(D18="Yes",Inputs!$C$10="Advance",MOD(A18-1,Inputs!$C$22)=0),Inputs!$C$8*E18,0)</f>
        <v>100000</v>
      </c>
      <c r="G18" s="28" t="n">
        <f aca="false">IF(AND(D18="Yes",Inputs!$C$10="Arrears",MOD(A18,Inputs!$C$22)=0),Inputs!$C$8*IF(N(Inputs!$C$12)=0,1,(1+Inputs!$C$11)^INT((A18-Inputs!$C$22)/Inputs!$C$12)),0)</f>
        <v>0</v>
      </c>
      <c r="H18" s="29" t="n">
        <f aca="false">1/(1+Inputs!$C$23)^(A18-1)</f>
        <v>0.934199026996438</v>
      </c>
      <c r="I18" s="29" t="n">
        <f aca="false">1/(1+Inputs!$C$23)^A18</f>
        <v>0.927160456597307</v>
      </c>
      <c r="J18" s="30" t="n">
        <f aca="false">F18*H18+G18*I18</f>
        <v>93419.9026996438</v>
      </c>
      <c r="K18" s="30" t="n">
        <f aca="false">M17</f>
        <v>4742019.54537194</v>
      </c>
      <c r="L18" s="30" t="n">
        <f aca="false">IF(D18="Yes",(K18-F18)*Inputs!$C$23,0)</f>
        <v>35240.0505562456</v>
      </c>
      <c r="M18" s="30" t="n">
        <f aca="false">K18-F18+L18-G18</f>
        <v>4677259.59592819</v>
      </c>
      <c r="N18" s="30" t="n">
        <f aca="false">F18+G18</f>
        <v>100000</v>
      </c>
      <c r="O18" s="30" t="n">
        <f aca="false">N18-L18</f>
        <v>64759.9494437544</v>
      </c>
      <c r="P18" s="30" t="n">
        <f aca="false">R17</f>
        <v>4550337.23156754</v>
      </c>
      <c r="Q18" s="30" t="n">
        <f aca="false">IF(A18&lt;=Inputs!$C$24,Inputs!$C$29/Inputs!$C$24,0)</f>
        <v>89222.298658187</v>
      </c>
      <c r="R18" s="30" t="n">
        <f aca="false">P18-Q18</f>
        <v>4461114.93290935</v>
      </c>
      <c r="S18" s="10" t="str">
        <f aca="false">"FY "&amp;(YEAR(B18)-(MONTH(B18)&lt;4))&amp;"-"&amp;RIGHT(YEAR(B18)-(MONTH(B18)&lt;4)+1,2)</f>
        <v>FY 2026-27</v>
      </c>
    </row>
    <row r="19" customFormat="false" ht="15" hidden="false" customHeight="false" outlineLevel="0" collapsed="false">
      <c r="A19" s="22" t="n">
        <v>11</v>
      </c>
      <c r="B19" s="24" t="n">
        <f aca="false">EDATE(Inputs!$C$6,A19-1)</f>
        <v>46419</v>
      </c>
      <c r="C19" s="24" t="n">
        <f aca="false">EDATE(Inputs!$C$6,A19)-1</f>
        <v>46446</v>
      </c>
      <c r="D19" s="10" t="str">
        <f aca="false">IF(A19&lt;=Inputs!$C$7,"Yes","No")</f>
        <v>Yes</v>
      </c>
      <c r="E19" s="27" t="n">
        <f aca="false">IF(N(Inputs!$C$12)=0,1,(1+Inputs!$C$11)^INT((A19-1)/Inputs!$C$12))</f>
        <v>1</v>
      </c>
      <c r="F19" s="28" t="n">
        <f aca="false">IF(AND(D19="Yes",Inputs!$C$10="Advance",MOD(A19-1,Inputs!$C$22)=0),Inputs!$C$8*E19,0)</f>
        <v>100000</v>
      </c>
      <c r="G19" s="28" t="n">
        <f aca="false">IF(AND(D19="Yes",Inputs!$C$10="Arrears",MOD(A19,Inputs!$C$22)=0),Inputs!$C$8*IF(N(Inputs!$C$12)=0,1,(1+Inputs!$C$11)^INT((A19-Inputs!$C$22)/Inputs!$C$12)),0)</f>
        <v>0</v>
      </c>
      <c r="H19" s="29" t="n">
        <f aca="false">1/(1+Inputs!$C$23)^(A19-1)</f>
        <v>0.927160456597307</v>
      </c>
      <c r="I19" s="29" t="n">
        <f aca="false">1/(1+Inputs!$C$23)^A19</f>
        <v>0.92017491716035</v>
      </c>
      <c r="J19" s="30" t="n">
        <f aca="false">F19*H19+G19*I19</f>
        <v>92716.0456597307</v>
      </c>
      <c r="K19" s="30" t="n">
        <f aca="false">M18</f>
        <v>4677259.59592819</v>
      </c>
      <c r="L19" s="30" t="n">
        <f aca="false">IF(D19="Yes",(K19-F19)*Inputs!$C$23,0)</f>
        <v>34748.4231793869</v>
      </c>
      <c r="M19" s="30" t="n">
        <f aca="false">K19-F19+L19-G19</f>
        <v>4612008.01910757</v>
      </c>
      <c r="N19" s="30" t="n">
        <f aca="false">F19+G19</f>
        <v>100000</v>
      </c>
      <c r="O19" s="30" t="n">
        <f aca="false">N19-L19</f>
        <v>65251.5768206131</v>
      </c>
      <c r="P19" s="30" t="n">
        <f aca="false">R18</f>
        <v>4461114.93290935</v>
      </c>
      <c r="Q19" s="30" t="n">
        <f aca="false">IF(A19&lt;=Inputs!$C$24,Inputs!$C$29/Inputs!$C$24,0)</f>
        <v>89222.298658187</v>
      </c>
      <c r="R19" s="30" t="n">
        <f aca="false">P19-Q19</f>
        <v>4371892.63425116</v>
      </c>
      <c r="S19" s="10" t="str">
        <f aca="false">"FY "&amp;(YEAR(B19)-(MONTH(B19)&lt;4))&amp;"-"&amp;RIGHT(YEAR(B19)-(MONTH(B19)&lt;4)+1,2)</f>
        <v>FY 2026-27</v>
      </c>
    </row>
    <row r="20" customFormat="false" ht="15" hidden="false" customHeight="false" outlineLevel="0" collapsed="false">
      <c r="A20" s="22" t="n">
        <v>12</v>
      </c>
      <c r="B20" s="24" t="n">
        <f aca="false">EDATE(Inputs!$C$6,A20-1)</f>
        <v>46447</v>
      </c>
      <c r="C20" s="24" t="n">
        <f aca="false">EDATE(Inputs!$C$6,A20)-1</f>
        <v>46477</v>
      </c>
      <c r="D20" s="10" t="str">
        <f aca="false">IF(A20&lt;=Inputs!$C$7,"Yes","No")</f>
        <v>Yes</v>
      </c>
      <c r="E20" s="27" t="n">
        <f aca="false">IF(N(Inputs!$C$12)=0,1,(1+Inputs!$C$11)^INT((A20-1)/Inputs!$C$12))</f>
        <v>1</v>
      </c>
      <c r="F20" s="28" t="n">
        <f aca="false">IF(AND(D20="Yes",Inputs!$C$10="Advance",MOD(A20-1,Inputs!$C$22)=0),Inputs!$C$8*E20,0)</f>
        <v>100000</v>
      </c>
      <c r="G20" s="28" t="n">
        <f aca="false">IF(AND(D20="Yes",Inputs!$C$10="Arrears",MOD(A20,Inputs!$C$22)=0),Inputs!$C$8*IF(N(Inputs!$C$12)=0,1,(1+Inputs!$C$11)^INT((A20-Inputs!$C$22)/Inputs!$C$12)),0)</f>
        <v>0</v>
      </c>
      <c r="H20" s="29" t="n">
        <f aca="false">1/(1+Inputs!$C$23)^(A20-1)</f>
        <v>0.92017491716035</v>
      </c>
      <c r="I20" s="29" t="n">
        <f aca="false">1/(1+Inputs!$C$23)^A20</f>
        <v>0.913242009132421</v>
      </c>
      <c r="J20" s="30" t="n">
        <f aca="false">F20*H20+G20*I20</f>
        <v>92017.491716035</v>
      </c>
      <c r="K20" s="30" t="n">
        <f aca="false">M19</f>
        <v>4612008.01910757</v>
      </c>
      <c r="L20" s="30" t="n">
        <f aca="false">IF(D20="Yes",(K20-F20)*Inputs!$C$23,0)</f>
        <v>34253.0635964387</v>
      </c>
      <c r="M20" s="30" t="n">
        <f aca="false">K20-F20+L20-G20</f>
        <v>4546261.08270401</v>
      </c>
      <c r="N20" s="30" t="n">
        <f aca="false">F20+G20</f>
        <v>100000</v>
      </c>
      <c r="O20" s="30" t="n">
        <f aca="false">N20-L20</f>
        <v>65746.9364035613</v>
      </c>
      <c r="P20" s="30" t="n">
        <f aca="false">R19</f>
        <v>4371892.63425116</v>
      </c>
      <c r="Q20" s="30" t="n">
        <f aca="false">IF(A20&lt;=Inputs!$C$24,Inputs!$C$29/Inputs!$C$24,0)</f>
        <v>89222.298658187</v>
      </c>
      <c r="R20" s="30" t="n">
        <f aca="false">P20-Q20</f>
        <v>4282670.33559298</v>
      </c>
      <c r="S20" s="10" t="str">
        <f aca="false">"FY "&amp;(YEAR(B20)-(MONTH(B20)&lt;4))&amp;"-"&amp;RIGHT(YEAR(B20)-(MONTH(B20)&lt;4)+1,2)</f>
        <v>FY 2026-27</v>
      </c>
    </row>
    <row r="21" customFormat="false" ht="15" hidden="false" customHeight="false" outlineLevel="0" collapsed="false">
      <c r="A21" s="22" t="n">
        <v>13</v>
      </c>
      <c r="B21" s="24" t="n">
        <f aca="false">EDATE(Inputs!$C$6,A21-1)</f>
        <v>46478</v>
      </c>
      <c r="C21" s="24" t="n">
        <f aca="false">EDATE(Inputs!$C$6,A21)-1</f>
        <v>46507</v>
      </c>
      <c r="D21" s="10" t="str">
        <f aca="false">IF(A21&lt;=Inputs!$C$7,"Yes","No")</f>
        <v>Yes</v>
      </c>
      <c r="E21" s="27" t="n">
        <f aca="false">IF(N(Inputs!$C$12)=0,1,(1+Inputs!$C$11)^INT((A21-1)/Inputs!$C$12))</f>
        <v>1.05</v>
      </c>
      <c r="F21" s="28" t="n">
        <f aca="false">IF(AND(D21="Yes",Inputs!$C$10="Advance",MOD(A21-1,Inputs!$C$22)=0),Inputs!$C$8*E21,0)</f>
        <v>105000</v>
      </c>
      <c r="G21" s="28" t="n">
        <f aca="false">IF(AND(D21="Yes",Inputs!$C$10="Arrears",MOD(A21,Inputs!$C$22)=0),Inputs!$C$8*IF(N(Inputs!$C$12)=0,1,(1+Inputs!$C$11)^INT((A21-Inputs!$C$22)/Inputs!$C$12)),0)</f>
        <v>0</v>
      </c>
      <c r="H21" s="29" t="n">
        <f aca="false">1/(1+Inputs!$C$23)^(A21-1)</f>
        <v>0.913242009132421</v>
      </c>
      <c r="I21" s="29" t="n">
        <f aca="false">1/(1+Inputs!$C$23)^A21</f>
        <v>0.906361335970741</v>
      </c>
      <c r="J21" s="30" t="n">
        <f aca="false">F21*H21+G21*I21</f>
        <v>95890.4109589042</v>
      </c>
      <c r="K21" s="30" t="n">
        <f aca="false">M20</f>
        <v>4546261.08270401</v>
      </c>
      <c r="L21" s="30" t="n">
        <f aca="false">IF(D21="Yes",(K21-F21)*Inputs!$C$23,0)</f>
        <v>33715.9858027774</v>
      </c>
      <c r="M21" s="30" t="n">
        <f aca="false">K21-F21+L21-G21</f>
        <v>4474977.06850679</v>
      </c>
      <c r="N21" s="30" t="n">
        <f aca="false">F21+G21</f>
        <v>105000</v>
      </c>
      <c r="O21" s="30" t="n">
        <f aca="false">N21-L21</f>
        <v>71284.0141972226</v>
      </c>
      <c r="P21" s="30" t="n">
        <f aca="false">R20</f>
        <v>4282670.33559298</v>
      </c>
      <c r="Q21" s="30" t="n">
        <f aca="false">IF(A21&lt;=Inputs!$C$24,Inputs!$C$29/Inputs!$C$24,0)</f>
        <v>89222.298658187</v>
      </c>
      <c r="R21" s="30" t="n">
        <f aca="false">P21-Q21</f>
        <v>4193448.03693479</v>
      </c>
      <c r="S21" s="10" t="str">
        <f aca="false">"FY "&amp;(YEAR(B21)-(MONTH(B21)&lt;4))&amp;"-"&amp;RIGHT(YEAR(B21)-(MONTH(B21)&lt;4)+1,2)</f>
        <v>FY 2027-28</v>
      </c>
    </row>
    <row r="22" customFormat="false" ht="15" hidden="false" customHeight="false" outlineLevel="0" collapsed="false">
      <c r="A22" s="22" t="n">
        <v>14</v>
      </c>
      <c r="B22" s="24" t="n">
        <f aca="false">EDATE(Inputs!$C$6,A22-1)</f>
        <v>46508</v>
      </c>
      <c r="C22" s="24" t="n">
        <f aca="false">EDATE(Inputs!$C$6,A22)-1</f>
        <v>46538</v>
      </c>
      <c r="D22" s="10" t="str">
        <f aca="false">IF(A22&lt;=Inputs!$C$7,"Yes","No")</f>
        <v>Yes</v>
      </c>
      <c r="E22" s="27" t="n">
        <f aca="false">IF(N(Inputs!$C$12)=0,1,(1+Inputs!$C$11)^INT((A22-1)/Inputs!$C$12))</f>
        <v>1.05</v>
      </c>
      <c r="F22" s="28" t="n">
        <f aca="false">IF(AND(D22="Yes",Inputs!$C$10="Advance",MOD(A22-1,Inputs!$C$22)=0),Inputs!$C$8*E22,0)</f>
        <v>105000</v>
      </c>
      <c r="G22" s="28" t="n">
        <f aca="false">IF(AND(D22="Yes",Inputs!$C$10="Arrears",MOD(A22,Inputs!$C$22)=0),Inputs!$C$8*IF(N(Inputs!$C$12)=0,1,(1+Inputs!$C$11)^INT((A22-Inputs!$C$22)/Inputs!$C$12)),0)</f>
        <v>0</v>
      </c>
      <c r="H22" s="29" t="n">
        <f aca="false">1/(1+Inputs!$C$23)^(A22-1)</f>
        <v>0.906361335970741</v>
      </c>
      <c r="I22" s="29" t="n">
        <f aca="false">1/(1+Inputs!$C$23)^A22</f>
        <v>0.899532504120219</v>
      </c>
      <c r="J22" s="30" t="n">
        <f aca="false">F22*H22+G22*I22</f>
        <v>95167.9402769278</v>
      </c>
      <c r="K22" s="30" t="n">
        <f aca="false">M21</f>
        <v>4474977.06850679</v>
      </c>
      <c r="L22" s="30" t="n">
        <f aca="false">IF(D22="Yes",(K22-F22)*Inputs!$C$23,0)</f>
        <v>33174.8307646288</v>
      </c>
      <c r="M22" s="30" t="n">
        <f aca="false">K22-F22+L22-G22</f>
        <v>4403151.89927142</v>
      </c>
      <c r="N22" s="30" t="n">
        <f aca="false">F22+G22</f>
        <v>105000</v>
      </c>
      <c r="O22" s="30" t="n">
        <f aca="false">N22-L22</f>
        <v>71825.1692353712</v>
      </c>
      <c r="P22" s="30" t="n">
        <f aca="false">R21</f>
        <v>4193448.03693479</v>
      </c>
      <c r="Q22" s="30" t="n">
        <f aca="false">IF(A22&lt;=Inputs!$C$24,Inputs!$C$29/Inputs!$C$24,0)</f>
        <v>89222.298658187</v>
      </c>
      <c r="R22" s="30" t="n">
        <f aca="false">P22-Q22</f>
        <v>4104225.7382766</v>
      </c>
      <c r="S22" s="10" t="str">
        <f aca="false">"FY "&amp;(YEAR(B22)-(MONTH(B22)&lt;4))&amp;"-"&amp;RIGHT(YEAR(B22)-(MONTH(B22)&lt;4)+1,2)</f>
        <v>FY 2027-28</v>
      </c>
    </row>
    <row r="23" customFormat="false" ht="15" hidden="false" customHeight="false" outlineLevel="0" collapsed="false">
      <c r="A23" s="22" t="n">
        <v>15</v>
      </c>
      <c r="B23" s="24" t="n">
        <f aca="false">EDATE(Inputs!$C$6,A23-1)</f>
        <v>46539</v>
      </c>
      <c r="C23" s="24" t="n">
        <f aca="false">EDATE(Inputs!$C$6,A23)-1</f>
        <v>46568</v>
      </c>
      <c r="D23" s="10" t="str">
        <f aca="false">IF(A23&lt;=Inputs!$C$7,"Yes","No")</f>
        <v>Yes</v>
      </c>
      <c r="E23" s="27" t="n">
        <f aca="false">IF(N(Inputs!$C$12)=0,1,(1+Inputs!$C$11)^INT((A23-1)/Inputs!$C$12))</f>
        <v>1.05</v>
      </c>
      <c r="F23" s="28" t="n">
        <f aca="false">IF(AND(D23="Yes",Inputs!$C$10="Advance",MOD(A23-1,Inputs!$C$22)=0),Inputs!$C$8*E23,0)</f>
        <v>105000</v>
      </c>
      <c r="G23" s="28" t="n">
        <f aca="false">IF(AND(D23="Yes",Inputs!$C$10="Arrears",MOD(A23,Inputs!$C$22)=0),Inputs!$C$8*IF(N(Inputs!$C$12)=0,1,(1+Inputs!$C$11)^INT((A23-Inputs!$C$22)/Inputs!$C$12)),0)</f>
        <v>0</v>
      </c>
      <c r="H23" s="29" t="n">
        <f aca="false">1/(1+Inputs!$C$23)^(A23-1)</f>
        <v>0.899532504120219</v>
      </c>
      <c r="I23" s="29" t="n">
        <f aca="false">1/(1+Inputs!$C$23)^A23</f>
        <v>0.89275512299094</v>
      </c>
      <c r="J23" s="30" t="n">
        <f aca="false">F23*H23+G23*I23</f>
        <v>94450.9129326229</v>
      </c>
      <c r="K23" s="30" t="n">
        <f aca="false">M22</f>
        <v>4403151.89927142</v>
      </c>
      <c r="L23" s="30" t="n">
        <f aca="false">IF(D23="Yes",(K23-F23)*Inputs!$C$23,0)</f>
        <v>32629.5675294516</v>
      </c>
      <c r="M23" s="30" t="n">
        <f aca="false">K23-F23+L23-G23</f>
        <v>4330781.46680087</v>
      </c>
      <c r="N23" s="30" t="n">
        <f aca="false">F23+G23</f>
        <v>105000</v>
      </c>
      <c r="O23" s="30" t="n">
        <f aca="false">N23-L23</f>
        <v>72370.4324705485</v>
      </c>
      <c r="P23" s="30" t="n">
        <f aca="false">R22</f>
        <v>4104225.7382766</v>
      </c>
      <c r="Q23" s="30" t="n">
        <f aca="false">IF(A23&lt;=Inputs!$C$24,Inputs!$C$29/Inputs!$C$24,0)</f>
        <v>89222.298658187</v>
      </c>
      <c r="R23" s="30" t="n">
        <f aca="false">P23-Q23</f>
        <v>4015003.43961842</v>
      </c>
      <c r="S23" s="10" t="str">
        <f aca="false">"FY "&amp;(YEAR(B23)-(MONTH(B23)&lt;4))&amp;"-"&amp;RIGHT(YEAR(B23)-(MONTH(B23)&lt;4)+1,2)</f>
        <v>FY 2027-28</v>
      </c>
    </row>
    <row r="24" customFormat="false" ht="15" hidden="false" customHeight="false" outlineLevel="0" collapsed="false">
      <c r="A24" s="22" t="n">
        <v>16</v>
      </c>
      <c r="B24" s="24" t="n">
        <f aca="false">EDATE(Inputs!$C$6,A24-1)</f>
        <v>46569</v>
      </c>
      <c r="C24" s="24" t="n">
        <f aca="false">EDATE(Inputs!$C$6,A24)-1</f>
        <v>46599</v>
      </c>
      <c r="D24" s="10" t="str">
        <f aca="false">IF(A24&lt;=Inputs!$C$7,"Yes","No")</f>
        <v>Yes</v>
      </c>
      <c r="E24" s="27" t="n">
        <f aca="false">IF(N(Inputs!$C$12)=0,1,(1+Inputs!$C$11)^INT((A24-1)/Inputs!$C$12))</f>
        <v>1.05</v>
      </c>
      <c r="F24" s="28" t="n">
        <f aca="false">IF(AND(D24="Yes",Inputs!$C$10="Advance",MOD(A24-1,Inputs!$C$22)=0),Inputs!$C$8*E24,0)</f>
        <v>105000</v>
      </c>
      <c r="G24" s="28" t="n">
        <f aca="false">IF(AND(D24="Yes",Inputs!$C$10="Arrears",MOD(A24,Inputs!$C$22)=0),Inputs!$C$8*IF(N(Inputs!$C$12)=0,1,(1+Inputs!$C$11)^INT((A24-Inputs!$C$22)/Inputs!$C$12)),0)</f>
        <v>0</v>
      </c>
      <c r="H24" s="29" t="n">
        <f aca="false">1/(1+Inputs!$C$23)^(A24-1)</f>
        <v>0.89275512299094</v>
      </c>
      <c r="I24" s="29" t="n">
        <f aca="false">1/(1+Inputs!$C$23)^A24</f>
        <v>0.886028804935825</v>
      </c>
      <c r="J24" s="30" t="n">
        <f aca="false">F24*H24+G24*I24</f>
        <v>93739.2879140487</v>
      </c>
      <c r="K24" s="30" t="n">
        <f aca="false">M23</f>
        <v>4330781.46680087</v>
      </c>
      <c r="L24" s="30" t="n">
        <f aca="false">IF(D24="Yes",(K24-F24)*Inputs!$C$23,0)</f>
        <v>32080.1649097271</v>
      </c>
      <c r="M24" s="30" t="n">
        <f aca="false">K24-F24+L24-G24</f>
        <v>4257861.63171059</v>
      </c>
      <c r="N24" s="30" t="n">
        <f aca="false">F24+G24</f>
        <v>105000</v>
      </c>
      <c r="O24" s="30" t="n">
        <f aca="false">N24-L24</f>
        <v>72919.8350902729</v>
      </c>
      <c r="P24" s="30" t="n">
        <f aca="false">R23</f>
        <v>4015003.43961842</v>
      </c>
      <c r="Q24" s="30" t="n">
        <f aca="false">IF(A24&lt;=Inputs!$C$24,Inputs!$C$29/Inputs!$C$24,0)</f>
        <v>89222.298658187</v>
      </c>
      <c r="R24" s="30" t="n">
        <f aca="false">P24-Q24</f>
        <v>3925781.14096023</v>
      </c>
      <c r="S24" s="10" t="str">
        <f aca="false">"FY "&amp;(YEAR(B24)-(MONTH(B24)&lt;4))&amp;"-"&amp;RIGHT(YEAR(B24)-(MONTH(B24)&lt;4)+1,2)</f>
        <v>FY 2027-28</v>
      </c>
    </row>
    <row r="25" customFormat="false" ht="15" hidden="false" customHeight="false" outlineLevel="0" collapsed="false">
      <c r="A25" s="22" t="n">
        <v>17</v>
      </c>
      <c r="B25" s="24" t="n">
        <f aca="false">EDATE(Inputs!$C$6,A25-1)</f>
        <v>46600</v>
      </c>
      <c r="C25" s="24" t="n">
        <f aca="false">EDATE(Inputs!$C$6,A25)-1</f>
        <v>46630</v>
      </c>
      <c r="D25" s="10" t="str">
        <f aca="false">IF(A25&lt;=Inputs!$C$7,"Yes","No")</f>
        <v>Yes</v>
      </c>
      <c r="E25" s="27" t="n">
        <f aca="false">IF(N(Inputs!$C$12)=0,1,(1+Inputs!$C$11)^INT((A25-1)/Inputs!$C$12))</f>
        <v>1.05</v>
      </c>
      <c r="F25" s="28" t="n">
        <f aca="false">IF(AND(D25="Yes",Inputs!$C$10="Advance",MOD(A25-1,Inputs!$C$22)=0),Inputs!$C$8*E25,0)</f>
        <v>105000</v>
      </c>
      <c r="G25" s="28" t="n">
        <f aca="false">IF(AND(D25="Yes",Inputs!$C$10="Arrears",MOD(A25,Inputs!$C$22)=0),Inputs!$C$8*IF(N(Inputs!$C$12)=0,1,(1+Inputs!$C$11)^INT((A25-Inputs!$C$22)/Inputs!$C$12)),0)</f>
        <v>0</v>
      </c>
      <c r="H25" s="29" t="n">
        <f aca="false">1/(1+Inputs!$C$23)^(A25-1)</f>
        <v>0.886028804935825</v>
      </c>
      <c r="I25" s="29" t="n">
        <f aca="false">1/(1+Inputs!$C$23)^A25</f>
        <v>0.879353165228461</v>
      </c>
      <c r="J25" s="30" t="n">
        <f aca="false">F25*H25+G25*I25</f>
        <v>93033.0245182617</v>
      </c>
      <c r="K25" s="30" t="n">
        <f aca="false">M24</f>
        <v>4257861.63171059</v>
      </c>
      <c r="L25" s="30" t="n">
        <f aca="false">IF(D25="Yes",(K25-F25)*Inputs!$C$23,0)</f>
        <v>31526.5914811757</v>
      </c>
      <c r="M25" s="30" t="n">
        <f aca="false">K25-F25+L25-G25</f>
        <v>4184388.22319177</v>
      </c>
      <c r="N25" s="30" t="n">
        <f aca="false">F25+G25</f>
        <v>105000</v>
      </c>
      <c r="O25" s="30" t="n">
        <f aca="false">N25-L25</f>
        <v>73473.4085188244</v>
      </c>
      <c r="P25" s="30" t="n">
        <f aca="false">R24</f>
        <v>3925781.14096023</v>
      </c>
      <c r="Q25" s="30" t="n">
        <f aca="false">IF(A25&lt;=Inputs!$C$24,Inputs!$C$29/Inputs!$C$24,0)</f>
        <v>89222.298658187</v>
      </c>
      <c r="R25" s="30" t="n">
        <f aca="false">P25-Q25</f>
        <v>3836558.84230204</v>
      </c>
      <c r="S25" s="10" t="str">
        <f aca="false">"FY "&amp;(YEAR(B25)-(MONTH(B25)&lt;4))&amp;"-"&amp;RIGHT(YEAR(B25)-(MONTH(B25)&lt;4)+1,2)</f>
        <v>FY 2027-28</v>
      </c>
    </row>
    <row r="26" customFormat="false" ht="15" hidden="false" customHeight="false" outlineLevel="0" collapsed="false">
      <c r="A26" s="22" t="n">
        <v>18</v>
      </c>
      <c r="B26" s="24" t="n">
        <f aca="false">EDATE(Inputs!$C$6,A26-1)</f>
        <v>46631</v>
      </c>
      <c r="C26" s="24" t="n">
        <f aca="false">EDATE(Inputs!$C$6,A26)-1</f>
        <v>46660</v>
      </c>
      <c r="D26" s="10" t="str">
        <f aca="false">IF(A26&lt;=Inputs!$C$7,"Yes","No")</f>
        <v>Yes</v>
      </c>
      <c r="E26" s="27" t="n">
        <f aca="false">IF(N(Inputs!$C$12)=0,1,(1+Inputs!$C$11)^INT((A26-1)/Inputs!$C$12))</f>
        <v>1.05</v>
      </c>
      <c r="F26" s="28" t="n">
        <f aca="false">IF(AND(D26="Yes",Inputs!$C$10="Advance",MOD(A26-1,Inputs!$C$22)=0),Inputs!$C$8*E26,0)</f>
        <v>105000</v>
      </c>
      <c r="G26" s="28" t="n">
        <f aca="false">IF(AND(D26="Yes",Inputs!$C$10="Arrears",MOD(A26,Inputs!$C$22)=0),Inputs!$C$8*IF(N(Inputs!$C$12)=0,1,(1+Inputs!$C$11)^INT((A26-Inputs!$C$22)/Inputs!$C$12)),0)</f>
        <v>0</v>
      </c>
      <c r="H26" s="29" t="n">
        <f aca="false">1/(1+Inputs!$C$23)^(A26-1)</f>
        <v>0.879353165228461</v>
      </c>
      <c r="I26" s="29" t="n">
        <f aca="false">1/(1+Inputs!$C$23)^A26</f>
        <v>0.872727822041091</v>
      </c>
      <c r="J26" s="30" t="n">
        <f aca="false">F26*H26+G26*I26</f>
        <v>92332.0823489884</v>
      </c>
      <c r="K26" s="30" t="n">
        <f aca="false">M25</f>
        <v>4184388.22319177</v>
      </c>
      <c r="L26" s="30" t="n">
        <f aca="false">IF(D26="Yes",(K26-F26)*Inputs!$C$23,0)</f>
        <v>30968.815580959</v>
      </c>
      <c r="M26" s="30" t="n">
        <f aca="false">K26-F26+L26-G26</f>
        <v>4110357.03877273</v>
      </c>
      <c r="N26" s="30" t="n">
        <f aca="false">F26+G26</f>
        <v>105000</v>
      </c>
      <c r="O26" s="30" t="n">
        <f aca="false">N26-L26</f>
        <v>74031.184419041</v>
      </c>
      <c r="P26" s="30" t="n">
        <f aca="false">R25</f>
        <v>3836558.84230204</v>
      </c>
      <c r="Q26" s="30" t="n">
        <f aca="false">IF(A26&lt;=Inputs!$C$24,Inputs!$C$29/Inputs!$C$24,0)</f>
        <v>89222.298658187</v>
      </c>
      <c r="R26" s="30" t="n">
        <f aca="false">P26-Q26</f>
        <v>3747336.54364386</v>
      </c>
      <c r="S26" s="10" t="str">
        <f aca="false">"FY "&amp;(YEAR(B26)-(MONTH(B26)&lt;4))&amp;"-"&amp;RIGHT(YEAR(B26)-(MONTH(B26)&lt;4)+1,2)</f>
        <v>FY 2027-28</v>
      </c>
    </row>
    <row r="27" customFormat="false" ht="15" hidden="false" customHeight="false" outlineLevel="0" collapsed="false">
      <c r="A27" s="22" t="n">
        <v>19</v>
      </c>
      <c r="B27" s="24" t="n">
        <f aca="false">EDATE(Inputs!$C$6,A27-1)</f>
        <v>46661</v>
      </c>
      <c r="C27" s="24" t="n">
        <f aca="false">EDATE(Inputs!$C$6,A27)-1</f>
        <v>46691</v>
      </c>
      <c r="D27" s="10" t="str">
        <f aca="false">IF(A27&lt;=Inputs!$C$7,"Yes","No")</f>
        <v>Yes</v>
      </c>
      <c r="E27" s="27" t="n">
        <f aca="false">IF(N(Inputs!$C$12)=0,1,(1+Inputs!$C$11)^INT((A27-1)/Inputs!$C$12))</f>
        <v>1.05</v>
      </c>
      <c r="F27" s="28" t="n">
        <f aca="false">IF(AND(D27="Yes",Inputs!$C$10="Advance",MOD(A27-1,Inputs!$C$22)=0),Inputs!$C$8*E27,0)</f>
        <v>105000</v>
      </c>
      <c r="G27" s="28" t="n">
        <f aca="false">IF(AND(D27="Yes",Inputs!$C$10="Arrears",MOD(A27,Inputs!$C$22)=0),Inputs!$C$8*IF(N(Inputs!$C$12)=0,1,(1+Inputs!$C$11)^INT((A27-Inputs!$C$22)/Inputs!$C$12)),0)</f>
        <v>0</v>
      </c>
      <c r="H27" s="29" t="n">
        <f aca="false">1/(1+Inputs!$C$23)^(A27-1)</f>
        <v>0.872727822041091</v>
      </c>
      <c r="I27" s="29" t="n">
        <f aca="false">1/(1+Inputs!$C$23)^A27</f>
        <v>0.866152396422777</v>
      </c>
      <c r="J27" s="30" t="n">
        <f aca="false">F27*H27+G27*I27</f>
        <v>91636.4213143145</v>
      </c>
      <c r="K27" s="30" t="n">
        <f aca="false">M26</f>
        <v>4110357.03877273</v>
      </c>
      <c r="L27" s="30" t="n">
        <f aca="false">IF(D27="Yes",(K27-F27)*Inputs!$C$23,0)</f>
        <v>30406.8053058694</v>
      </c>
      <c r="M27" s="30" t="n">
        <f aca="false">K27-F27+L27-G27</f>
        <v>4035763.8440786</v>
      </c>
      <c r="N27" s="30" t="n">
        <f aca="false">F27+G27</f>
        <v>105000</v>
      </c>
      <c r="O27" s="30" t="n">
        <f aca="false">N27-L27</f>
        <v>74593.1946941306</v>
      </c>
      <c r="P27" s="30" t="n">
        <f aca="false">R26</f>
        <v>3747336.54364386</v>
      </c>
      <c r="Q27" s="30" t="n">
        <f aca="false">IF(A27&lt;=Inputs!$C$24,Inputs!$C$29/Inputs!$C$24,0)</f>
        <v>89222.298658187</v>
      </c>
      <c r="R27" s="30" t="n">
        <f aca="false">P27-Q27</f>
        <v>3658114.24498567</v>
      </c>
      <c r="S27" s="10" t="str">
        <f aca="false">"FY "&amp;(YEAR(B27)-(MONTH(B27)&lt;4))&amp;"-"&amp;RIGHT(YEAR(B27)-(MONTH(B27)&lt;4)+1,2)</f>
        <v>FY 2027-28</v>
      </c>
    </row>
    <row r="28" customFormat="false" ht="15" hidden="false" customHeight="false" outlineLevel="0" collapsed="false">
      <c r="A28" s="22" t="n">
        <v>20</v>
      </c>
      <c r="B28" s="24" t="n">
        <f aca="false">EDATE(Inputs!$C$6,A28-1)</f>
        <v>46692</v>
      </c>
      <c r="C28" s="24" t="n">
        <f aca="false">EDATE(Inputs!$C$6,A28)-1</f>
        <v>46721</v>
      </c>
      <c r="D28" s="10" t="str">
        <f aca="false">IF(A28&lt;=Inputs!$C$7,"Yes","No")</f>
        <v>Yes</v>
      </c>
      <c r="E28" s="27" t="n">
        <f aca="false">IF(N(Inputs!$C$12)=0,1,(1+Inputs!$C$11)^INT((A28-1)/Inputs!$C$12))</f>
        <v>1.05</v>
      </c>
      <c r="F28" s="28" t="n">
        <f aca="false">IF(AND(D28="Yes",Inputs!$C$10="Advance",MOD(A28-1,Inputs!$C$22)=0),Inputs!$C$8*E28,0)</f>
        <v>105000</v>
      </c>
      <c r="G28" s="28" t="n">
        <f aca="false">IF(AND(D28="Yes",Inputs!$C$10="Arrears",MOD(A28,Inputs!$C$22)=0),Inputs!$C$8*IF(N(Inputs!$C$12)=0,1,(1+Inputs!$C$11)^INT((A28-Inputs!$C$22)/Inputs!$C$12)),0)</f>
        <v>0</v>
      </c>
      <c r="H28" s="29" t="n">
        <f aca="false">1/(1+Inputs!$C$23)^(A28-1)</f>
        <v>0.866152396422777</v>
      </c>
      <c r="I28" s="29" t="n">
        <f aca="false">1/(1+Inputs!$C$23)^A28</f>
        <v>0.859626512277727</v>
      </c>
      <c r="J28" s="30" t="n">
        <f aca="false">F28*H28+G28*I28</f>
        <v>90946.0016243916</v>
      </c>
      <c r="K28" s="30" t="n">
        <f aca="false">M27</f>
        <v>4035763.8440786</v>
      </c>
      <c r="L28" s="30" t="n">
        <f aca="false">IF(D28="Yes",(K28-F28)*Inputs!$C$23,0)</f>
        <v>29840.5285105048</v>
      </c>
      <c r="M28" s="30" t="n">
        <f aca="false">K28-F28+L28-G28</f>
        <v>3960604.3725891</v>
      </c>
      <c r="N28" s="30" t="n">
        <f aca="false">F28+G28</f>
        <v>105000</v>
      </c>
      <c r="O28" s="30" t="n">
        <f aca="false">N28-L28</f>
        <v>75159.4714894952</v>
      </c>
      <c r="P28" s="30" t="n">
        <f aca="false">R27</f>
        <v>3658114.24498567</v>
      </c>
      <c r="Q28" s="30" t="n">
        <f aca="false">IF(A28&lt;=Inputs!$C$24,Inputs!$C$29/Inputs!$C$24,0)</f>
        <v>89222.298658187</v>
      </c>
      <c r="R28" s="30" t="n">
        <f aca="false">P28-Q28</f>
        <v>3568891.94632748</v>
      </c>
      <c r="S28" s="10" t="str">
        <f aca="false">"FY "&amp;(YEAR(B28)-(MONTH(B28)&lt;4))&amp;"-"&amp;RIGHT(YEAR(B28)-(MONTH(B28)&lt;4)+1,2)</f>
        <v>FY 2027-28</v>
      </c>
    </row>
    <row r="29" customFormat="false" ht="15" hidden="false" customHeight="false" outlineLevel="0" collapsed="false">
      <c r="A29" s="22" t="n">
        <v>21</v>
      </c>
      <c r="B29" s="24" t="n">
        <f aca="false">EDATE(Inputs!$C$6,A29-1)</f>
        <v>46722</v>
      </c>
      <c r="C29" s="24" t="n">
        <f aca="false">EDATE(Inputs!$C$6,A29)-1</f>
        <v>46752</v>
      </c>
      <c r="D29" s="10" t="str">
        <f aca="false">IF(A29&lt;=Inputs!$C$7,"Yes","No")</f>
        <v>Yes</v>
      </c>
      <c r="E29" s="27" t="n">
        <f aca="false">IF(N(Inputs!$C$12)=0,1,(1+Inputs!$C$11)^INT((A29-1)/Inputs!$C$12))</f>
        <v>1.05</v>
      </c>
      <c r="F29" s="28" t="n">
        <f aca="false">IF(AND(D29="Yes",Inputs!$C$10="Advance",MOD(A29-1,Inputs!$C$22)=0),Inputs!$C$8*E29,0)</f>
        <v>105000</v>
      </c>
      <c r="G29" s="28" t="n">
        <f aca="false">IF(AND(D29="Yes",Inputs!$C$10="Arrears",MOD(A29,Inputs!$C$22)=0),Inputs!$C$8*IF(N(Inputs!$C$12)=0,1,(1+Inputs!$C$11)^INT((A29-Inputs!$C$22)/Inputs!$C$12)),0)</f>
        <v>0</v>
      </c>
      <c r="H29" s="29" t="n">
        <f aca="false">1/(1+Inputs!$C$23)^(A29-1)</f>
        <v>0.859626512277727</v>
      </c>
      <c r="I29" s="29" t="n">
        <f aca="false">1/(1+Inputs!$C$23)^A29</f>
        <v>0.853149796343779</v>
      </c>
      <c r="J29" s="30" t="n">
        <f aca="false">F29*H29+G29*I29</f>
        <v>90260.7837891613</v>
      </c>
      <c r="K29" s="30" t="n">
        <f aca="false">M28</f>
        <v>3960604.3725891</v>
      </c>
      <c r="L29" s="30" t="n">
        <f aca="false">IF(D29="Yes",(K29-F29)*Inputs!$C$23,0)</f>
        <v>29269.9528054303</v>
      </c>
      <c r="M29" s="30" t="n">
        <f aca="false">K29-F29+L29-G29</f>
        <v>3884874.32539453</v>
      </c>
      <c r="N29" s="30" t="n">
        <f aca="false">F29+G29</f>
        <v>105000</v>
      </c>
      <c r="O29" s="30" t="n">
        <f aca="false">N29-L29</f>
        <v>75730.0471945697</v>
      </c>
      <c r="P29" s="30" t="n">
        <f aca="false">R28</f>
        <v>3568891.94632748</v>
      </c>
      <c r="Q29" s="30" t="n">
        <f aca="false">IF(A29&lt;=Inputs!$C$24,Inputs!$C$29/Inputs!$C$24,0)</f>
        <v>89222.298658187</v>
      </c>
      <c r="R29" s="30" t="n">
        <f aca="false">P29-Q29</f>
        <v>3479669.64766929</v>
      </c>
      <c r="S29" s="10" t="str">
        <f aca="false">"FY "&amp;(YEAR(B29)-(MONTH(B29)&lt;4))&amp;"-"&amp;RIGHT(YEAR(B29)-(MONTH(B29)&lt;4)+1,2)</f>
        <v>FY 2027-28</v>
      </c>
    </row>
    <row r="30" customFormat="false" ht="15" hidden="false" customHeight="false" outlineLevel="0" collapsed="false">
      <c r="A30" s="22" t="n">
        <v>22</v>
      </c>
      <c r="B30" s="24" t="n">
        <f aca="false">EDATE(Inputs!$C$6,A30-1)</f>
        <v>46753</v>
      </c>
      <c r="C30" s="24" t="n">
        <f aca="false">EDATE(Inputs!$C$6,A30)-1</f>
        <v>46783</v>
      </c>
      <c r="D30" s="10" t="str">
        <f aca="false">IF(A30&lt;=Inputs!$C$7,"Yes","No")</f>
        <v>Yes</v>
      </c>
      <c r="E30" s="27" t="n">
        <f aca="false">IF(N(Inputs!$C$12)=0,1,(1+Inputs!$C$11)^INT((A30-1)/Inputs!$C$12))</f>
        <v>1.05</v>
      </c>
      <c r="F30" s="28" t="n">
        <f aca="false">IF(AND(D30="Yes",Inputs!$C$10="Advance",MOD(A30-1,Inputs!$C$22)=0),Inputs!$C$8*E30,0)</f>
        <v>105000</v>
      </c>
      <c r="G30" s="28" t="n">
        <f aca="false">IF(AND(D30="Yes",Inputs!$C$10="Arrears",MOD(A30,Inputs!$C$22)=0),Inputs!$C$8*IF(N(Inputs!$C$12)=0,1,(1+Inputs!$C$11)^INT((A30-Inputs!$C$22)/Inputs!$C$12)),0)</f>
        <v>0</v>
      </c>
      <c r="H30" s="29" t="n">
        <f aca="false">1/(1+Inputs!$C$23)^(A30-1)</f>
        <v>0.853149796343779</v>
      </c>
      <c r="I30" s="29" t="n">
        <f aca="false">1/(1+Inputs!$C$23)^A30</f>
        <v>0.846721878171057</v>
      </c>
      <c r="J30" s="30" t="n">
        <f aca="false">F30*H30+G30*I30</f>
        <v>89580.7286160968</v>
      </c>
      <c r="K30" s="30" t="n">
        <f aca="false">M29</f>
        <v>3884874.32539453</v>
      </c>
      <c r="L30" s="30" t="n">
        <f aca="false">IF(D30="Yes",(K30-F30)*Inputs!$C$23,0)</f>
        <v>28695.0455553253</v>
      </c>
      <c r="M30" s="30" t="n">
        <f aca="false">K30-F30+L30-G30</f>
        <v>3808569.37094986</v>
      </c>
      <c r="N30" s="30" t="n">
        <f aca="false">F30+G30</f>
        <v>105000</v>
      </c>
      <c r="O30" s="30" t="n">
        <f aca="false">N30-L30</f>
        <v>76304.9544446748</v>
      </c>
      <c r="P30" s="30" t="n">
        <f aca="false">R29</f>
        <v>3479669.64766929</v>
      </c>
      <c r="Q30" s="30" t="n">
        <f aca="false">IF(A30&lt;=Inputs!$C$24,Inputs!$C$29/Inputs!$C$24,0)</f>
        <v>89222.298658187</v>
      </c>
      <c r="R30" s="30" t="n">
        <f aca="false">P30-Q30</f>
        <v>3390447.34901111</v>
      </c>
      <c r="S30" s="10" t="str">
        <f aca="false">"FY "&amp;(YEAR(B30)-(MONTH(B30)&lt;4))&amp;"-"&amp;RIGHT(YEAR(B30)-(MONTH(B30)&lt;4)+1,2)</f>
        <v>FY 2027-28</v>
      </c>
    </row>
    <row r="31" customFormat="false" ht="15" hidden="false" customHeight="false" outlineLevel="0" collapsed="false">
      <c r="A31" s="22" t="n">
        <v>23</v>
      </c>
      <c r="B31" s="24" t="n">
        <f aca="false">EDATE(Inputs!$C$6,A31-1)</f>
        <v>46784</v>
      </c>
      <c r="C31" s="24" t="n">
        <f aca="false">EDATE(Inputs!$C$6,A31)-1</f>
        <v>46812</v>
      </c>
      <c r="D31" s="10" t="str">
        <f aca="false">IF(A31&lt;=Inputs!$C$7,"Yes","No")</f>
        <v>Yes</v>
      </c>
      <c r="E31" s="27" t="n">
        <f aca="false">IF(N(Inputs!$C$12)=0,1,(1+Inputs!$C$11)^INT((A31-1)/Inputs!$C$12))</f>
        <v>1.05</v>
      </c>
      <c r="F31" s="28" t="n">
        <f aca="false">IF(AND(D31="Yes",Inputs!$C$10="Advance",MOD(A31-1,Inputs!$C$22)=0),Inputs!$C$8*E31,0)</f>
        <v>105000</v>
      </c>
      <c r="G31" s="28" t="n">
        <f aca="false">IF(AND(D31="Yes",Inputs!$C$10="Arrears",MOD(A31,Inputs!$C$22)=0),Inputs!$C$8*IF(N(Inputs!$C$12)=0,1,(1+Inputs!$C$11)^INT((A31-Inputs!$C$22)/Inputs!$C$12)),0)</f>
        <v>0</v>
      </c>
      <c r="H31" s="29" t="n">
        <f aca="false">1/(1+Inputs!$C$23)^(A31-1)</f>
        <v>0.846721878171057</v>
      </c>
      <c r="I31" s="29" t="n">
        <f aca="false">1/(1+Inputs!$C$23)^A31</f>
        <v>0.840342390100777</v>
      </c>
      <c r="J31" s="30" t="n">
        <f aca="false">F31*H31+G31*I31</f>
        <v>88905.797207961</v>
      </c>
      <c r="K31" s="30" t="n">
        <f aca="false">M30</f>
        <v>3808569.37094986</v>
      </c>
      <c r="L31" s="30" t="n">
        <f aca="false">IF(D31="Yes",(K31-F31)*Inputs!$C$23,0)</f>
        <v>28115.7738771172</v>
      </c>
      <c r="M31" s="30" t="n">
        <f aca="false">K31-F31+L31-G31</f>
        <v>3731685.14482698</v>
      </c>
      <c r="N31" s="30" t="n">
        <f aca="false">F31+G31</f>
        <v>105000</v>
      </c>
      <c r="O31" s="30" t="n">
        <f aca="false">N31-L31</f>
        <v>76884.2261228828</v>
      </c>
      <c r="P31" s="30" t="n">
        <f aca="false">R30</f>
        <v>3390447.34901111</v>
      </c>
      <c r="Q31" s="30" t="n">
        <f aca="false">IF(A31&lt;=Inputs!$C$24,Inputs!$C$29/Inputs!$C$24,0)</f>
        <v>89222.298658187</v>
      </c>
      <c r="R31" s="30" t="n">
        <f aca="false">P31-Q31</f>
        <v>3301225.05035292</v>
      </c>
      <c r="S31" s="10" t="str">
        <f aca="false">"FY "&amp;(YEAR(B31)-(MONTH(B31)&lt;4))&amp;"-"&amp;RIGHT(YEAR(B31)-(MONTH(B31)&lt;4)+1,2)</f>
        <v>FY 2027-28</v>
      </c>
    </row>
    <row r="32" customFormat="false" ht="15" hidden="false" customHeight="false" outlineLevel="0" collapsed="false">
      <c r="A32" s="22" t="n">
        <v>24</v>
      </c>
      <c r="B32" s="24" t="n">
        <f aca="false">EDATE(Inputs!$C$6,A32-1)</f>
        <v>46813</v>
      </c>
      <c r="C32" s="24" t="n">
        <f aca="false">EDATE(Inputs!$C$6,A32)-1</f>
        <v>46843</v>
      </c>
      <c r="D32" s="10" t="str">
        <f aca="false">IF(A32&lt;=Inputs!$C$7,"Yes","No")</f>
        <v>Yes</v>
      </c>
      <c r="E32" s="27" t="n">
        <f aca="false">IF(N(Inputs!$C$12)=0,1,(1+Inputs!$C$11)^INT((A32-1)/Inputs!$C$12))</f>
        <v>1.05</v>
      </c>
      <c r="F32" s="28" t="n">
        <f aca="false">IF(AND(D32="Yes",Inputs!$C$10="Advance",MOD(A32-1,Inputs!$C$22)=0),Inputs!$C$8*E32,0)</f>
        <v>105000</v>
      </c>
      <c r="G32" s="28" t="n">
        <f aca="false">IF(AND(D32="Yes",Inputs!$C$10="Arrears",MOD(A32,Inputs!$C$22)=0),Inputs!$C$8*IF(N(Inputs!$C$12)=0,1,(1+Inputs!$C$11)^INT((A32-Inputs!$C$22)/Inputs!$C$12)),0)</f>
        <v>0</v>
      </c>
      <c r="H32" s="29" t="n">
        <f aca="false">1/(1+Inputs!$C$23)^(A32-1)</f>
        <v>0.840342390100777</v>
      </c>
      <c r="I32" s="29" t="n">
        <f aca="false">1/(1+Inputs!$C$23)^A32</f>
        <v>0.834010967244221</v>
      </c>
      <c r="J32" s="30" t="n">
        <f aca="false">F32*H32+G32*I32</f>
        <v>88235.9509605816</v>
      </c>
      <c r="K32" s="30" t="n">
        <f aca="false">M31</f>
        <v>3731685.14482698</v>
      </c>
      <c r="L32" s="30" t="n">
        <f aca="false">IF(D32="Yes",(K32-F32)*Inputs!$C$23,0)</f>
        <v>27532.1046381004</v>
      </c>
      <c r="M32" s="30" t="n">
        <f aca="false">K32-F32+L32-G32</f>
        <v>3654217.24946508</v>
      </c>
      <c r="N32" s="30" t="n">
        <f aca="false">F32+G32</f>
        <v>105000</v>
      </c>
      <c r="O32" s="30" t="n">
        <f aca="false">N32-L32</f>
        <v>77467.8953618996</v>
      </c>
      <c r="P32" s="30" t="n">
        <f aca="false">R31</f>
        <v>3301225.05035292</v>
      </c>
      <c r="Q32" s="30" t="n">
        <f aca="false">IF(A32&lt;=Inputs!$C$24,Inputs!$C$29/Inputs!$C$24,0)</f>
        <v>89222.298658187</v>
      </c>
      <c r="R32" s="30" t="n">
        <f aca="false">P32-Q32</f>
        <v>3212002.75169473</v>
      </c>
      <c r="S32" s="10" t="str">
        <f aca="false">"FY "&amp;(YEAR(B32)-(MONTH(B32)&lt;4))&amp;"-"&amp;RIGHT(YEAR(B32)-(MONTH(B32)&lt;4)+1,2)</f>
        <v>FY 2027-28</v>
      </c>
    </row>
    <row r="33" customFormat="false" ht="15" hidden="false" customHeight="false" outlineLevel="0" collapsed="false">
      <c r="A33" s="22" t="n">
        <v>25</v>
      </c>
      <c r="B33" s="24" t="n">
        <f aca="false">EDATE(Inputs!$C$6,A33-1)</f>
        <v>46844</v>
      </c>
      <c r="C33" s="24" t="n">
        <f aca="false">EDATE(Inputs!$C$6,A33)-1</f>
        <v>46873</v>
      </c>
      <c r="D33" s="10" t="str">
        <f aca="false">IF(A33&lt;=Inputs!$C$7,"Yes","No")</f>
        <v>Yes</v>
      </c>
      <c r="E33" s="27" t="n">
        <f aca="false">IF(N(Inputs!$C$12)=0,1,(1+Inputs!$C$11)^INT((A33-1)/Inputs!$C$12))</f>
        <v>1.1025</v>
      </c>
      <c r="F33" s="28" t="n">
        <f aca="false">IF(AND(D33="Yes",Inputs!$C$10="Advance",MOD(A33-1,Inputs!$C$22)=0),Inputs!$C$8*E33,0)</f>
        <v>110250</v>
      </c>
      <c r="G33" s="28" t="n">
        <f aca="false">IF(AND(D33="Yes",Inputs!$C$10="Arrears",MOD(A33,Inputs!$C$22)=0),Inputs!$C$8*IF(N(Inputs!$C$12)=0,1,(1+Inputs!$C$11)^INT((A33-Inputs!$C$22)/Inputs!$C$12)),0)</f>
        <v>0</v>
      </c>
      <c r="H33" s="29" t="n">
        <f aca="false">1/(1+Inputs!$C$23)^(A33-1)</f>
        <v>0.834010967244221</v>
      </c>
      <c r="I33" s="29" t="n">
        <f aca="false">1/(1+Inputs!$C$23)^A33</f>
        <v>0.827727247461865</v>
      </c>
      <c r="J33" s="30" t="n">
        <f aca="false">F33*H33+G33*I33</f>
        <v>91949.7091386753</v>
      </c>
      <c r="K33" s="30" t="n">
        <f aca="false">M32</f>
        <v>3654217.24946508</v>
      </c>
      <c r="L33" s="30" t="n">
        <f aca="false">IF(D33="Yes",(K33-F33)*Inputs!$C$23,0)</f>
        <v>26904.1488990157</v>
      </c>
      <c r="M33" s="30" t="n">
        <f aca="false">K33-F33+L33-G33</f>
        <v>3570871.39836409</v>
      </c>
      <c r="N33" s="30" t="n">
        <f aca="false">F33+G33</f>
        <v>110250</v>
      </c>
      <c r="O33" s="30" t="n">
        <f aca="false">N33-L33</f>
        <v>83345.8511009843</v>
      </c>
      <c r="P33" s="30" t="n">
        <f aca="false">R32</f>
        <v>3212002.75169473</v>
      </c>
      <c r="Q33" s="30" t="n">
        <f aca="false">IF(A33&lt;=Inputs!$C$24,Inputs!$C$29/Inputs!$C$24,0)</f>
        <v>89222.298658187</v>
      </c>
      <c r="R33" s="30" t="n">
        <f aca="false">P33-Q33</f>
        <v>3122780.45303655</v>
      </c>
      <c r="S33" s="10" t="str">
        <f aca="false">"FY "&amp;(YEAR(B33)-(MONTH(B33)&lt;4))&amp;"-"&amp;RIGHT(YEAR(B33)-(MONTH(B33)&lt;4)+1,2)</f>
        <v>FY 2028-29</v>
      </c>
    </row>
    <row r="34" customFormat="false" ht="15" hidden="false" customHeight="false" outlineLevel="0" collapsed="false">
      <c r="A34" s="22" t="n">
        <v>26</v>
      </c>
      <c r="B34" s="24" t="n">
        <f aca="false">EDATE(Inputs!$C$6,A34-1)</f>
        <v>46874</v>
      </c>
      <c r="C34" s="24" t="n">
        <f aca="false">EDATE(Inputs!$C$6,A34)-1</f>
        <v>46904</v>
      </c>
      <c r="D34" s="10" t="str">
        <f aca="false">IF(A34&lt;=Inputs!$C$7,"Yes","No")</f>
        <v>Yes</v>
      </c>
      <c r="E34" s="27" t="n">
        <f aca="false">IF(N(Inputs!$C$12)=0,1,(1+Inputs!$C$11)^INT((A34-1)/Inputs!$C$12))</f>
        <v>1.1025</v>
      </c>
      <c r="F34" s="28" t="n">
        <f aca="false">IF(AND(D34="Yes",Inputs!$C$10="Advance",MOD(A34-1,Inputs!$C$22)=0),Inputs!$C$8*E34,0)</f>
        <v>110250</v>
      </c>
      <c r="G34" s="28" t="n">
        <f aca="false">IF(AND(D34="Yes",Inputs!$C$10="Arrears",MOD(A34,Inputs!$C$22)=0),Inputs!$C$8*IF(N(Inputs!$C$12)=0,1,(1+Inputs!$C$11)^INT((A34-Inputs!$C$22)/Inputs!$C$12)),0)</f>
        <v>0</v>
      </c>
      <c r="H34" s="29" t="n">
        <f aca="false">1/(1+Inputs!$C$23)^(A34-1)</f>
        <v>0.827727247461865</v>
      </c>
      <c r="I34" s="29" t="n">
        <f aca="false">1/(1+Inputs!$C$23)^A34</f>
        <v>0.821490871342666</v>
      </c>
      <c r="J34" s="30" t="n">
        <f aca="false">F34*H34+G34*I34</f>
        <v>91256.9290326706</v>
      </c>
      <c r="K34" s="30" t="n">
        <f aca="false">M33</f>
        <v>3570871.39836409</v>
      </c>
      <c r="L34" s="30" t="n">
        <f aca="false">IF(D34="Yes",(K34-F34)*Inputs!$C$23,0)</f>
        <v>26271.4260124048</v>
      </c>
      <c r="M34" s="30" t="n">
        <f aca="false">K34-F34+L34-G34</f>
        <v>3486892.8243765</v>
      </c>
      <c r="N34" s="30" t="n">
        <f aca="false">F34+G34</f>
        <v>110250</v>
      </c>
      <c r="O34" s="30" t="n">
        <f aca="false">N34-L34</f>
        <v>83978.5739875952</v>
      </c>
      <c r="P34" s="30" t="n">
        <f aca="false">R33</f>
        <v>3122780.45303655</v>
      </c>
      <c r="Q34" s="30" t="n">
        <f aca="false">IF(A34&lt;=Inputs!$C$24,Inputs!$C$29/Inputs!$C$24,0)</f>
        <v>89222.298658187</v>
      </c>
      <c r="R34" s="30" t="n">
        <f aca="false">P34-Q34</f>
        <v>3033558.15437836</v>
      </c>
      <c r="S34" s="10" t="str">
        <f aca="false">"FY "&amp;(YEAR(B34)-(MONTH(B34)&lt;4))&amp;"-"&amp;RIGHT(YEAR(B34)-(MONTH(B34)&lt;4)+1,2)</f>
        <v>FY 2028-29</v>
      </c>
    </row>
    <row r="35" customFormat="false" ht="15" hidden="false" customHeight="false" outlineLevel="0" collapsed="false">
      <c r="A35" s="22" t="n">
        <v>27</v>
      </c>
      <c r="B35" s="24" t="n">
        <f aca="false">EDATE(Inputs!$C$6,A35-1)</f>
        <v>46905</v>
      </c>
      <c r="C35" s="24" t="n">
        <f aca="false">EDATE(Inputs!$C$6,A35)-1</f>
        <v>46934</v>
      </c>
      <c r="D35" s="10" t="str">
        <f aca="false">IF(A35&lt;=Inputs!$C$7,"Yes","No")</f>
        <v>Yes</v>
      </c>
      <c r="E35" s="27" t="n">
        <f aca="false">IF(N(Inputs!$C$12)=0,1,(1+Inputs!$C$11)^INT((A35-1)/Inputs!$C$12))</f>
        <v>1.1025</v>
      </c>
      <c r="F35" s="28" t="n">
        <f aca="false">IF(AND(D35="Yes",Inputs!$C$10="Advance",MOD(A35-1,Inputs!$C$22)=0),Inputs!$C$8*E35,0)</f>
        <v>110250</v>
      </c>
      <c r="G35" s="28" t="n">
        <f aca="false">IF(AND(D35="Yes",Inputs!$C$10="Arrears",MOD(A35,Inputs!$C$22)=0),Inputs!$C$8*IF(N(Inputs!$C$12)=0,1,(1+Inputs!$C$11)^INT((A35-Inputs!$C$22)/Inputs!$C$12)),0)</f>
        <v>0</v>
      </c>
      <c r="H35" s="29" t="n">
        <f aca="false">1/(1+Inputs!$C$23)^(A35-1)</f>
        <v>0.821490871342666</v>
      </c>
      <c r="I35" s="29" t="n">
        <f aca="false">1/(1+Inputs!$C$23)^A35</f>
        <v>0.815301482183507</v>
      </c>
      <c r="J35" s="30" t="n">
        <f aca="false">F35*H35+G35*I35</f>
        <v>90569.3685655289</v>
      </c>
      <c r="K35" s="30" t="n">
        <f aca="false">M34</f>
        <v>3486892.8243765</v>
      </c>
      <c r="L35" s="30" t="n">
        <f aca="false">IF(D35="Yes",(K35-F35)*Inputs!$C$23,0)</f>
        <v>25633.8997883038</v>
      </c>
      <c r="M35" s="30" t="n">
        <f aca="false">K35-F35+L35-G35</f>
        <v>3402276.7241648</v>
      </c>
      <c r="N35" s="30" t="n">
        <f aca="false">F35+G35</f>
        <v>110250</v>
      </c>
      <c r="O35" s="30" t="n">
        <f aca="false">N35-L35</f>
        <v>84616.1002116963</v>
      </c>
      <c r="P35" s="30" t="n">
        <f aca="false">R34</f>
        <v>3033558.15437836</v>
      </c>
      <c r="Q35" s="30" t="n">
        <f aca="false">IF(A35&lt;=Inputs!$C$24,Inputs!$C$29/Inputs!$C$24,0)</f>
        <v>89222.298658187</v>
      </c>
      <c r="R35" s="30" t="n">
        <f aca="false">P35-Q35</f>
        <v>2944335.85572017</v>
      </c>
      <c r="S35" s="10" t="str">
        <f aca="false">"FY "&amp;(YEAR(B35)-(MONTH(B35)&lt;4))&amp;"-"&amp;RIGHT(YEAR(B35)-(MONTH(B35)&lt;4)+1,2)</f>
        <v>FY 2028-29</v>
      </c>
    </row>
    <row r="36" customFormat="false" ht="15" hidden="false" customHeight="false" outlineLevel="0" collapsed="false">
      <c r="A36" s="22" t="n">
        <v>28</v>
      </c>
      <c r="B36" s="24" t="n">
        <f aca="false">EDATE(Inputs!$C$6,A36-1)</f>
        <v>46935</v>
      </c>
      <c r="C36" s="24" t="n">
        <f aca="false">EDATE(Inputs!$C$6,A36)-1</f>
        <v>46965</v>
      </c>
      <c r="D36" s="10" t="str">
        <f aca="false">IF(A36&lt;=Inputs!$C$7,"Yes","No")</f>
        <v>Yes</v>
      </c>
      <c r="E36" s="27" t="n">
        <f aca="false">IF(N(Inputs!$C$12)=0,1,(1+Inputs!$C$11)^INT((A36-1)/Inputs!$C$12))</f>
        <v>1.1025</v>
      </c>
      <c r="F36" s="28" t="n">
        <f aca="false">IF(AND(D36="Yes",Inputs!$C$10="Advance",MOD(A36-1,Inputs!$C$22)=0),Inputs!$C$8*E36,0)</f>
        <v>110250</v>
      </c>
      <c r="G36" s="28" t="n">
        <f aca="false">IF(AND(D36="Yes",Inputs!$C$10="Arrears",MOD(A36,Inputs!$C$22)=0),Inputs!$C$8*IF(N(Inputs!$C$12)=0,1,(1+Inputs!$C$11)^INT((A36-Inputs!$C$22)/Inputs!$C$12)),0)</f>
        <v>0</v>
      </c>
      <c r="H36" s="29" t="n">
        <f aca="false">1/(1+Inputs!$C$23)^(A36-1)</f>
        <v>0.815301482183507</v>
      </c>
      <c r="I36" s="29" t="n">
        <f aca="false">1/(1+Inputs!$C$23)^A36</f>
        <v>0.809158725968791</v>
      </c>
      <c r="J36" s="30" t="n">
        <f aca="false">F36*H36+G36*I36</f>
        <v>89886.9884107317</v>
      </c>
      <c r="K36" s="30" t="n">
        <f aca="false">M35</f>
        <v>3402276.7241648</v>
      </c>
      <c r="L36" s="30" t="n">
        <f aca="false">IF(D36="Yes",(K36-F36)*Inputs!$C$23,0)</f>
        <v>24991.5337620113</v>
      </c>
      <c r="M36" s="30" t="n">
        <f aca="false">K36-F36+L36-G36</f>
        <v>3317018.25792681</v>
      </c>
      <c r="N36" s="30" t="n">
        <f aca="false">F36+G36</f>
        <v>110250</v>
      </c>
      <c r="O36" s="30" t="n">
        <f aca="false">N36-L36</f>
        <v>85258.4662379887</v>
      </c>
      <c r="P36" s="30" t="n">
        <f aca="false">R35</f>
        <v>2944335.85572017</v>
      </c>
      <c r="Q36" s="30" t="n">
        <f aca="false">IF(A36&lt;=Inputs!$C$24,Inputs!$C$29/Inputs!$C$24,0)</f>
        <v>89222.298658187</v>
      </c>
      <c r="R36" s="30" t="n">
        <f aca="false">P36-Q36</f>
        <v>2855113.55706199</v>
      </c>
      <c r="S36" s="10" t="str">
        <f aca="false">"FY "&amp;(YEAR(B36)-(MONTH(B36)&lt;4))&amp;"-"&amp;RIGHT(YEAR(B36)-(MONTH(B36)&lt;4)+1,2)</f>
        <v>FY 2028-29</v>
      </c>
    </row>
    <row r="37" customFormat="false" ht="15" hidden="false" customHeight="false" outlineLevel="0" collapsed="false">
      <c r="A37" s="22" t="n">
        <v>29</v>
      </c>
      <c r="B37" s="24" t="n">
        <f aca="false">EDATE(Inputs!$C$6,A37-1)</f>
        <v>46966</v>
      </c>
      <c r="C37" s="24" t="n">
        <f aca="false">EDATE(Inputs!$C$6,A37)-1</f>
        <v>46996</v>
      </c>
      <c r="D37" s="10" t="str">
        <f aca="false">IF(A37&lt;=Inputs!$C$7,"Yes","No")</f>
        <v>Yes</v>
      </c>
      <c r="E37" s="27" t="n">
        <f aca="false">IF(N(Inputs!$C$12)=0,1,(1+Inputs!$C$11)^INT((A37-1)/Inputs!$C$12))</f>
        <v>1.1025</v>
      </c>
      <c r="F37" s="28" t="n">
        <f aca="false">IF(AND(D37="Yes",Inputs!$C$10="Advance",MOD(A37-1,Inputs!$C$22)=0),Inputs!$C$8*E37,0)</f>
        <v>110250</v>
      </c>
      <c r="G37" s="28" t="n">
        <f aca="false">IF(AND(D37="Yes",Inputs!$C$10="Arrears",MOD(A37,Inputs!$C$22)=0),Inputs!$C$8*IF(N(Inputs!$C$12)=0,1,(1+Inputs!$C$11)^INT((A37-Inputs!$C$22)/Inputs!$C$12)),0)</f>
        <v>0</v>
      </c>
      <c r="H37" s="29" t="n">
        <f aca="false">1/(1+Inputs!$C$23)^(A37-1)</f>
        <v>0.809158725968791</v>
      </c>
      <c r="I37" s="29" t="n">
        <f aca="false">1/(1+Inputs!$C$23)^A37</f>
        <v>0.803062251350194</v>
      </c>
      <c r="J37" s="30" t="n">
        <f aca="false">F37*H37+G37*I37</f>
        <v>89209.7495380592</v>
      </c>
      <c r="K37" s="30" t="n">
        <f aca="false">M36</f>
        <v>3317018.25792681</v>
      </c>
      <c r="L37" s="30" t="n">
        <f aca="false">IF(D37="Yes",(K37-F37)*Inputs!$C$23,0)</f>
        <v>24344.2911920031</v>
      </c>
      <c r="M37" s="30" t="n">
        <f aca="false">K37-F37+L37-G37</f>
        <v>3231112.54911882</v>
      </c>
      <c r="N37" s="30" t="n">
        <f aca="false">F37+G37</f>
        <v>110250</v>
      </c>
      <c r="O37" s="30" t="n">
        <f aca="false">N37-L37</f>
        <v>85905.7088079969</v>
      </c>
      <c r="P37" s="30" t="n">
        <f aca="false">R36</f>
        <v>2855113.55706199</v>
      </c>
      <c r="Q37" s="30" t="n">
        <f aca="false">IF(A37&lt;=Inputs!$C$24,Inputs!$C$29/Inputs!$C$24,0)</f>
        <v>89222.298658187</v>
      </c>
      <c r="R37" s="30" t="n">
        <f aca="false">P37-Q37</f>
        <v>2765891.2584038</v>
      </c>
      <c r="S37" s="10" t="str">
        <f aca="false">"FY "&amp;(YEAR(B37)-(MONTH(B37)&lt;4))&amp;"-"&amp;RIGHT(YEAR(B37)-(MONTH(B37)&lt;4)+1,2)</f>
        <v>FY 2028-29</v>
      </c>
    </row>
    <row r="38" customFormat="false" ht="15" hidden="false" customHeight="false" outlineLevel="0" collapsed="false">
      <c r="A38" s="22" t="n">
        <v>30</v>
      </c>
      <c r="B38" s="24" t="n">
        <f aca="false">EDATE(Inputs!$C$6,A38-1)</f>
        <v>46997</v>
      </c>
      <c r="C38" s="24" t="n">
        <f aca="false">EDATE(Inputs!$C$6,A38)-1</f>
        <v>47026</v>
      </c>
      <c r="D38" s="10" t="str">
        <f aca="false">IF(A38&lt;=Inputs!$C$7,"Yes","No")</f>
        <v>Yes</v>
      </c>
      <c r="E38" s="27" t="n">
        <f aca="false">IF(N(Inputs!$C$12)=0,1,(1+Inputs!$C$11)^INT((A38-1)/Inputs!$C$12))</f>
        <v>1.1025</v>
      </c>
      <c r="F38" s="28" t="n">
        <f aca="false">IF(AND(D38="Yes",Inputs!$C$10="Advance",MOD(A38-1,Inputs!$C$22)=0),Inputs!$C$8*E38,0)</f>
        <v>110250</v>
      </c>
      <c r="G38" s="28" t="n">
        <f aca="false">IF(AND(D38="Yes",Inputs!$C$10="Arrears",MOD(A38,Inputs!$C$22)=0),Inputs!$C$8*IF(N(Inputs!$C$12)=0,1,(1+Inputs!$C$11)^INT((A38-Inputs!$C$22)/Inputs!$C$12)),0)</f>
        <v>0</v>
      </c>
      <c r="H38" s="29" t="n">
        <f aca="false">1/(1+Inputs!$C$23)^(A38-1)</f>
        <v>0.803062251350194</v>
      </c>
      <c r="I38" s="29" t="n">
        <f aca="false">1/(1+Inputs!$C$23)^A38</f>
        <v>0.797011709626568</v>
      </c>
      <c r="J38" s="30" t="n">
        <f aca="false">F38*H38+G38*I38</f>
        <v>88537.6132113589</v>
      </c>
      <c r="K38" s="30" t="n">
        <f aca="false">M37</f>
        <v>3231112.54911882</v>
      </c>
      <c r="L38" s="30" t="n">
        <f aca="false">IF(D38="Yes",(K38-F38)*Inputs!$C$23,0)</f>
        <v>23692.1350578304</v>
      </c>
      <c r="M38" s="30" t="n">
        <f aca="false">K38-F38+L38-G38</f>
        <v>3144554.68417665</v>
      </c>
      <c r="N38" s="30" t="n">
        <f aca="false">F38+G38</f>
        <v>110250</v>
      </c>
      <c r="O38" s="30" t="n">
        <f aca="false">N38-L38</f>
        <v>86557.8649421696</v>
      </c>
      <c r="P38" s="30" t="n">
        <f aca="false">R37</f>
        <v>2765891.2584038</v>
      </c>
      <c r="Q38" s="30" t="n">
        <f aca="false">IF(A38&lt;=Inputs!$C$24,Inputs!$C$29/Inputs!$C$24,0)</f>
        <v>89222.298658187</v>
      </c>
      <c r="R38" s="30" t="n">
        <f aca="false">P38-Q38</f>
        <v>2676668.95974561</v>
      </c>
      <c r="S38" s="10" t="str">
        <f aca="false">"FY "&amp;(YEAR(B38)-(MONTH(B38)&lt;4))&amp;"-"&amp;RIGHT(YEAR(B38)-(MONTH(B38)&lt;4)+1,2)</f>
        <v>FY 2028-29</v>
      </c>
    </row>
    <row r="39" customFormat="false" ht="15" hidden="false" customHeight="false" outlineLevel="0" collapsed="false">
      <c r="A39" s="22" t="n">
        <v>31</v>
      </c>
      <c r="B39" s="24" t="n">
        <f aca="false">EDATE(Inputs!$C$6,A39-1)</f>
        <v>47027</v>
      </c>
      <c r="C39" s="24" t="n">
        <f aca="false">EDATE(Inputs!$C$6,A39)-1</f>
        <v>47057</v>
      </c>
      <c r="D39" s="10" t="str">
        <f aca="false">IF(A39&lt;=Inputs!$C$7,"Yes","No")</f>
        <v>Yes</v>
      </c>
      <c r="E39" s="27" t="n">
        <f aca="false">IF(N(Inputs!$C$12)=0,1,(1+Inputs!$C$11)^INT((A39-1)/Inputs!$C$12))</f>
        <v>1.1025</v>
      </c>
      <c r="F39" s="28" t="n">
        <f aca="false">IF(AND(D39="Yes",Inputs!$C$10="Advance",MOD(A39-1,Inputs!$C$22)=0),Inputs!$C$8*E39,0)</f>
        <v>110250</v>
      </c>
      <c r="G39" s="28" t="n">
        <f aca="false">IF(AND(D39="Yes",Inputs!$C$10="Arrears",MOD(A39,Inputs!$C$22)=0),Inputs!$C$8*IF(N(Inputs!$C$12)=0,1,(1+Inputs!$C$11)^INT((A39-Inputs!$C$22)/Inputs!$C$12)),0)</f>
        <v>0</v>
      </c>
      <c r="H39" s="29" t="n">
        <f aca="false">1/(1+Inputs!$C$23)^(A39-1)</f>
        <v>0.797011709626568</v>
      </c>
      <c r="I39" s="29" t="n">
        <f aca="false">1/(1+Inputs!$C$23)^A39</f>
        <v>0.791006754723998</v>
      </c>
      <c r="J39" s="30" t="n">
        <f aca="false">F39*H39+G39*I39</f>
        <v>87870.5409863291</v>
      </c>
      <c r="K39" s="30" t="n">
        <f aca="false">M38</f>
        <v>3144554.68417665</v>
      </c>
      <c r="L39" s="30" t="n">
        <f aca="false">IF(D39="Yes",(K39-F39)*Inputs!$C$23,0)</f>
        <v>23035.0280580023</v>
      </c>
      <c r="M39" s="30" t="n">
        <f aca="false">K39-F39+L39-G39</f>
        <v>3057339.71223465</v>
      </c>
      <c r="N39" s="30" t="n">
        <f aca="false">F39+G39</f>
        <v>110250</v>
      </c>
      <c r="O39" s="30" t="n">
        <f aca="false">N39-L39</f>
        <v>87214.9719419977</v>
      </c>
      <c r="P39" s="30" t="n">
        <f aca="false">R38</f>
        <v>2676668.95974561</v>
      </c>
      <c r="Q39" s="30" t="n">
        <f aca="false">IF(A39&lt;=Inputs!$C$24,Inputs!$C$29/Inputs!$C$24,0)</f>
        <v>89222.298658187</v>
      </c>
      <c r="R39" s="30" t="n">
        <f aca="false">P39-Q39</f>
        <v>2587446.66108742</v>
      </c>
      <c r="S39" s="10" t="str">
        <f aca="false">"FY "&amp;(YEAR(B39)-(MONTH(B39)&lt;4))&amp;"-"&amp;RIGHT(YEAR(B39)-(MONTH(B39)&lt;4)+1,2)</f>
        <v>FY 2028-29</v>
      </c>
    </row>
    <row r="40" customFormat="false" ht="15" hidden="false" customHeight="false" outlineLevel="0" collapsed="false">
      <c r="A40" s="22" t="n">
        <v>32</v>
      </c>
      <c r="B40" s="24" t="n">
        <f aca="false">EDATE(Inputs!$C$6,A40-1)</f>
        <v>47058</v>
      </c>
      <c r="C40" s="24" t="n">
        <f aca="false">EDATE(Inputs!$C$6,A40)-1</f>
        <v>47087</v>
      </c>
      <c r="D40" s="10" t="str">
        <f aca="false">IF(A40&lt;=Inputs!$C$7,"Yes","No")</f>
        <v>Yes</v>
      </c>
      <c r="E40" s="27" t="n">
        <f aca="false">IF(N(Inputs!$C$12)=0,1,(1+Inputs!$C$11)^INT((A40-1)/Inputs!$C$12))</f>
        <v>1.1025</v>
      </c>
      <c r="F40" s="28" t="n">
        <f aca="false">IF(AND(D40="Yes",Inputs!$C$10="Advance",MOD(A40-1,Inputs!$C$22)=0),Inputs!$C$8*E40,0)</f>
        <v>110250</v>
      </c>
      <c r="G40" s="28" t="n">
        <f aca="false">IF(AND(D40="Yes",Inputs!$C$10="Arrears",MOD(A40,Inputs!$C$22)=0),Inputs!$C$8*IF(N(Inputs!$C$12)=0,1,(1+Inputs!$C$11)^INT((A40-Inputs!$C$22)/Inputs!$C$12)),0)</f>
        <v>0</v>
      </c>
      <c r="H40" s="29" t="n">
        <f aca="false">1/(1+Inputs!$C$23)^(A40-1)</f>
        <v>0.791006754723998</v>
      </c>
      <c r="I40" s="29" t="n">
        <f aca="false">1/(1+Inputs!$C$23)^A40</f>
        <v>0.785047043176007</v>
      </c>
      <c r="J40" s="30" t="n">
        <f aca="false">F40*H40+G40*I40</f>
        <v>87208.4947083208</v>
      </c>
      <c r="K40" s="30" t="n">
        <f aca="false">M39</f>
        <v>3057339.71223465</v>
      </c>
      <c r="L40" s="30" t="n">
        <f aca="false">IF(D40="Yes",(K40-F40)*Inputs!$C$23,0)</f>
        <v>22372.9326078524</v>
      </c>
      <c r="M40" s="30" t="n">
        <f aca="false">K40-F40+L40-G40</f>
        <v>2969462.6448425</v>
      </c>
      <c r="N40" s="30" t="n">
        <f aca="false">F40+G40</f>
        <v>110250</v>
      </c>
      <c r="O40" s="30" t="n">
        <f aca="false">N40-L40</f>
        <v>87877.0673921476</v>
      </c>
      <c r="P40" s="30" t="n">
        <f aca="false">R39</f>
        <v>2587446.66108742</v>
      </c>
      <c r="Q40" s="30" t="n">
        <f aca="false">IF(A40&lt;=Inputs!$C$24,Inputs!$C$29/Inputs!$C$24,0)</f>
        <v>89222.298658187</v>
      </c>
      <c r="R40" s="30" t="n">
        <f aca="false">P40-Q40</f>
        <v>2498224.36242924</v>
      </c>
      <c r="S40" s="10" t="str">
        <f aca="false">"FY "&amp;(YEAR(B40)-(MONTH(B40)&lt;4))&amp;"-"&amp;RIGHT(YEAR(B40)-(MONTH(B40)&lt;4)+1,2)</f>
        <v>FY 2028-29</v>
      </c>
    </row>
    <row r="41" customFormat="false" ht="15" hidden="false" customHeight="false" outlineLevel="0" collapsed="false">
      <c r="A41" s="22" t="n">
        <v>33</v>
      </c>
      <c r="B41" s="24" t="n">
        <f aca="false">EDATE(Inputs!$C$6,A41-1)</f>
        <v>47088</v>
      </c>
      <c r="C41" s="24" t="n">
        <f aca="false">EDATE(Inputs!$C$6,A41)-1</f>
        <v>47118</v>
      </c>
      <c r="D41" s="10" t="str">
        <f aca="false">IF(A41&lt;=Inputs!$C$7,"Yes","No")</f>
        <v>Yes</v>
      </c>
      <c r="E41" s="27" t="n">
        <f aca="false">IF(N(Inputs!$C$12)=0,1,(1+Inputs!$C$11)^INT((A41-1)/Inputs!$C$12))</f>
        <v>1.1025</v>
      </c>
      <c r="F41" s="28" t="n">
        <f aca="false">IF(AND(D41="Yes",Inputs!$C$10="Advance",MOD(A41-1,Inputs!$C$22)=0),Inputs!$C$8*E41,0)</f>
        <v>110250</v>
      </c>
      <c r="G41" s="28" t="n">
        <f aca="false">IF(AND(D41="Yes",Inputs!$C$10="Arrears",MOD(A41,Inputs!$C$22)=0),Inputs!$C$8*IF(N(Inputs!$C$12)=0,1,(1+Inputs!$C$11)^INT((A41-Inputs!$C$22)/Inputs!$C$12)),0)</f>
        <v>0</v>
      </c>
      <c r="H41" s="29" t="n">
        <f aca="false">1/(1+Inputs!$C$23)^(A41-1)</f>
        <v>0.785047043176007</v>
      </c>
      <c r="I41" s="29" t="n">
        <f aca="false">1/(1+Inputs!$C$23)^A41</f>
        <v>0.779132234103909</v>
      </c>
      <c r="J41" s="30" t="n">
        <f aca="false">F41*H41+G41*I41</f>
        <v>86551.4365101548</v>
      </c>
      <c r="K41" s="30" t="n">
        <f aca="false">M40</f>
        <v>2969462.6448425</v>
      </c>
      <c r="L41" s="30" t="n">
        <f aca="false">IF(D41="Yes",(K41-F41)*Inputs!$C$23,0)</f>
        <v>21705.8108373891</v>
      </c>
      <c r="M41" s="30" t="n">
        <f aca="false">K41-F41+L41-G41</f>
        <v>2880918.45567989</v>
      </c>
      <c r="N41" s="30" t="n">
        <f aca="false">F41+G41</f>
        <v>110250</v>
      </c>
      <c r="O41" s="30" t="n">
        <f aca="false">N41-L41</f>
        <v>88544.1891626109</v>
      </c>
      <c r="P41" s="30" t="n">
        <f aca="false">R40</f>
        <v>2498224.36242924</v>
      </c>
      <c r="Q41" s="30" t="n">
        <f aca="false">IF(A41&lt;=Inputs!$C$24,Inputs!$C$29/Inputs!$C$24,0)</f>
        <v>89222.298658187</v>
      </c>
      <c r="R41" s="30" t="n">
        <f aca="false">P41-Q41</f>
        <v>2409002.06377105</v>
      </c>
      <c r="S41" s="10" t="str">
        <f aca="false">"FY "&amp;(YEAR(B41)-(MONTH(B41)&lt;4))&amp;"-"&amp;RIGHT(YEAR(B41)-(MONTH(B41)&lt;4)+1,2)</f>
        <v>FY 2028-29</v>
      </c>
    </row>
    <row r="42" customFormat="false" ht="15" hidden="false" customHeight="false" outlineLevel="0" collapsed="false">
      <c r="A42" s="22" t="n">
        <v>34</v>
      </c>
      <c r="B42" s="24" t="n">
        <f aca="false">EDATE(Inputs!$C$6,A42-1)</f>
        <v>47119</v>
      </c>
      <c r="C42" s="24" t="n">
        <f aca="false">EDATE(Inputs!$C$6,A42)-1</f>
        <v>47149</v>
      </c>
      <c r="D42" s="10" t="str">
        <f aca="false">IF(A42&lt;=Inputs!$C$7,"Yes","No")</f>
        <v>Yes</v>
      </c>
      <c r="E42" s="27" t="n">
        <f aca="false">IF(N(Inputs!$C$12)=0,1,(1+Inputs!$C$11)^INT((A42-1)/Inputs!$C$12))</f>
        <v>1.1025</v>
      </c>
      <c r="F42" s="28" t="n">
        <f aca="false">IF(AND(D42="Yes",Inputs!$C$10="Advance",MOD(A42-1,Inputs!$C$22)=0),Inputs!$C$8*E42,0)</f>
        <v>110250</v>
      </c>
      <c r="G42" s="28" t="n">
        <f aca="false">IF(AND(D42="Yes",Inputs!$C$10="Arrears",MOD(A42,Inputs!$C$22)=0),Inputs!$C$8*IF(N(Inputs!$C$12)=0,1,(1+Inputs!$C$11)^INT((A42-Inputs!$C$22)/Inputs!$C$12)),0)</f>
        <v>0</v>
      </c>
      <c r="H42" s="29" t="n">
        <f aca="false">1/(1+Inputs!$C$23)^(A42-1)</f>
        <v>0.779132234103909</v>
      </c>
      <c r="I42" s="29" t="n">
        <f aca="false">1/(1+Inputs!$C$23)^A42</f>
        <v>0.773261989197314</v>
      </c>
      <c r="J42" s="30" t="n">
        <f aca="false">F42*H42+G42*I42</f>
        <v>85899.328809956</v>
      </c>
      <c r="K42" s="30" t="n">
        <f aca="false">M41</f>
        <v>2880918.45567989</v>
      </c>
      <c r="L42" s="30" t="n">
        <f aca="false">IF(D42="Yes",(K42-F42)*Inputs!$C$23,0)</f>
        <v>21033.6245891293</v>
      </c>
      <c r="M42" s="30" t="n">
        <f aca="false">K42-F42+L42-G42</f>
        <v>2791702.08026902</v>
      </c>
      <c r="N42" s="30" t="n">
        <f aca="false">F42+G42</f>
        <v>110250</v>
      </c>
      <c r="O42" s="30" t="n">
        <f aca="false">N42-L42</f>
        <v>89216.3754108707</v>
      </c>
      <c r="P42" s="30" t="n">
        <f aca="false">R41</f>
        <v>2409002.06377105</v>
      </c>
      <c r="Q42" s="30" t="n">
        <f aca="false">IF(A42&lt;=Inputs!$C$24,Inputs!$C$29/Inputs!$C$24,0)</f>
        <v>89222.298658187</v>
      </c>
      <c r="R42" s="30" t="n">
        <f aca="false">P42-Q42</f>
        <v>2319779.76511286</v>
      </c>
      <c r="S42" s="10" t="str">
        <f aca="false">"FY "&amp;(YEAR(B42)-(MONTH(B42)&lt;4))&amp;"-"&amp;RIGHT(YEAR(B42)-(MONTH(B42)&lt;4)+1,2)</f>
        <v>FY 2028-29</v>
      </c>
    </row>
    <row r="43" customFormat="false" ht="15" hidden="false" customHeight="false" outlineLevel="0" collapsed="false">
      <c r="A43" s="22" t="n">
        <v>35</v>
      </c>
      <c r="B43" s="24" t="n">
        <f aca="false">EDATE(Inputs!$C$6,A43-1)</f>
        <v>47150</v>
      </c>
      <c r="C43" s="24" t="n">
        <f aca="false">EDATE(Inputs!$C$6,A43)-1</f>
        <v>47177</v>
      </c>
      <c r="D43" s="10" t="str">
        <f aca="false">IF(A43&lt;=Inputs!$C$7,"Yes","No")</f>
        <v>Yes</v>
      </c>
      <c r="E43" s="27" t="n">
        <f aca="false">IF(N(Inputs!$C$12)=0,1,(1+Inputs!$C$11)^INT((A43-1)/Inputs!$C$12))</f>
        <v>1.1025</v>
      </c>
      <c r="F43" s="28" t="n">
        <f aca="false">IF(AND(D43="Yes",Inputs!$C$10="Advance",MOD(A43-1,Inputs!$C$22)=0),Inputs!$C$8*E43,0)</f>
        <v>110250</v>
      </c>
      <c r="G43" s="28" t="n">
        <f aca="false">IF(AND(D43="Yes",Inputs!$C$10="Arrears",MOD(A43,Inputs!$C$22)=0),Inputs!$C$8*IF(N(Inputs!$C$12)=0,1,(1+Inputs!$C$11)^INT((A43-Inputs!$C$22)/Inputs!$C$12)),0)</f>
        <v>0</v>
      </c>
      <c r="H43" s="29" t="n">
        <f aca="false">1/(1+Inputs!$C$23)^(A43-1)</f>
        <v>0.773261989197314</v>
      </c>
      <c r="I43" s="29" t="n">
        <f aca="false">1/(1+Inputs!$C$23)^A43</f>
        <v>0.767435972694775</v>
      </c>
      <c r="J43" s="30" t="n">
        <f aca="false">F43*H43+G43*I43</f>
        <v>85252.1343090038</v>
      </c>
      <c r="K43" s="30" t="n">
        <f aca="false">M42</f>
        <v>2791702.08026902</v>
      </c>
      <c r="L43" s="30" t="n">
        <f aca="false">IF(D43="Yes",(K43-F43)*Inputs!$C$23,0)</f>
        <v>20356.3354159162</v>
      </c>
      <c r="M43" s="30" t="n">
        <f aca="false">K43-F43+L43-G43</f>
        <v>2701808.41568493</v>
      </c>
      <c r="N43" s="30" t="n">
        <f aca="false">F43+G43</f>
        <v>110250</v>
      </c>
      <c r="O43" s="30" t="n">
        <f aca="false">N43-L43</f>
        <v>89893.6645840838</v>
      </c>
      <c r="P43" s="30" t="n">
        <f aca="false">R42</f>
        <v>2319779.76511286</v>
      </c>
      <c r="Q43" s="30" t="n">
        <f aca="false">IF(A43&lt;=Inputs!$C$24,Inputs!$C$29/Inputs!$C$24,0)</f>
        <v>89222.298658187</v>
      </c>
      <c r="R43" s="30" t="n">
        <f aca="false">P43-Q43</f>
        <v>2230557.46645468</v>
      </c>
      <c r="S43" s="10" t="str">
        <f aca="false">"FY "&amp;(YEAR(B43)-(MONTH(B43)&lt;4))&amp;"-"&amp;RIGHT(YEAR(B43)-(MONTH(B43)&lt;4)+1,2)</f>
        <v>FY 2028-29</v>
      </c>
    </row>
    <row r="44" customFormat="false" ht="15" hidden="false" customHeight="false" outlineLevel="0" collapsed="false">
      <c r="A44" s="22" t="n">
        <v>36</v>
      </c>
      <c r="B44" s="24" t="n">
        <f aca="false">EDATE(Inputs!$C$6,A44-1)</f>
        <v>47178</v>
      </c>
      <c r="C44" s="24" t="n">
        <f aca="false">EDATE(Inputs!$C$6,A44)-1</f>
        <v>47208</v>
      </c>
      <c r="D44" s="10" t="str">
        <f aca="false">IF(A44&lt;=Inputs!$C$7,"Yes","No")</f>
        <v>Yes</v>
      </c>
      <c r="E44" s="27" t="n">
        <f aca="false">IF(N(Inputs!$C$12)=0,1,(1+Inputs!$C$11)^INT((A44-1)/Inputs!$C$12))</f>
        <v>1.1025</v>
      </c>
      <c r="F44" s="28" t="n">
        <f aca="false">IF(AND(D44="Yes",Inputs!$C$10="Advance",MOD(A44-1,Inputs!$C$22)=0),Inputs!$C$8*E44,0)</f>
        <v>110250</v>
      </c>
      <c r="G44" s="28" t="n">
        <f aca="false">IF(AND(D44="Yes",Inputs!$C$10="Arrears",MOD(A44,Inputs!$C$22)=0),Inputs!$C$8*IF(N(Inputs!$C$12)=0,1,(1+Inputs!$C$11)^INT((A44-Inputs!$C$22)/Inputs!$C$12)),0)</f>
        <v>0</v>
      </c>
      <c r="H44" s="29" t="n">
        <f aca="false">1/(1+Inputs!$C$23)^(A44-1)</f>
        <v>0.767435972694775</v>
      </c>
      <c r="I44" s="29" t="n">
        <f aca="false">1/(1+Inputs!$C$23)^A44</f>
        <v>0.761653851364586</v>
      </c>
      <c r="J44" s="30" t="n">
        <f aca="false">F44*H44+G44*I44</f>
        <v>84609.8159895989</v>
      </c>
      <c r="K44" s="30" t="n">
        <f aca="false">M43</f>
        <v>2701808.41568493</v>
      </c>
      <c r="L44" s="30" t="n">
        <f aca="false">IF(D44="Yes",(K44-F44)*Inputs!$C$23,0)</f>
        <v>19673.90457872</v>
      </c>
      <c r="M44" s="30" t="n">
        <f aca="false">K44-F44+L44-G44</f>
        <v>2611232.32026365</v>
      </c>
      <c r="N44" s="30" t="n">
        <f aca="false">F44+G44</f>
        <v>110250</v>
      </c>
      <c r="O44" s="30" t="n">
        <f aca="false">N44-L44</f>
        <v>90576.09542128</v>
      </c>
      <c r="P44" s="30" t="n">
        <f aca="false">R43</f>
        <v>2230557.46645468</v>
      </c>
      <c r="Q44" s="30" t="n">
        <f aca="false">IF(A44&lt;=Inputs!$C$24,Inputs!$C$29/Inputs!$C$24,0)</f>
        <v>89222.298658187</v>
      </c>
      <c r="R44" s="30" t="n">
        <f aca="false">P44-Q44</f>
        <v>2141335.16779649</v>
      </c>
      <c r="S44" s="10" t="str">
        <f aca="false">"FY "&amp;(YEAR(B44)-(MONTH(B44)&lt;4))&amp;"-"&amp;RIGHT(YEAR(B44)-(MONTH(B44)&lt;4)+1,2)</f>
        <v>FY 2028-29</v>
      </c>
    </row>
    <row r="45" customFormat="false" ht="15" hidden="false" customHeight="false" outlineLevel="0" collapsed="false">
      <c r="A45" s="22" t="n">
        <v>37</v>
      </c>
      <c r="B45" s="24" t="n">
        <f aca="false">EDATE(Inputs!$C$6,A45-1)</f>
        <v>47209</v>
      </c>
      <c r="C45" s="24" t="n">
        <f aca="false">EDATE(Inputs!$C$6,A45)-1</f>
        <v>47238</v>
      </c>
      <c r="D45" s="10" t="str">
        <f aca="false">IF(A45&lt;=Inputs!$C$7,"Yes","No")</f>
        <v>Yes</v>
      </c>
      <c r="E45" s="27" t="n">
        <f aca="false">IF(N(Inputs!$C$12)=0,1,(1+Inputs!$C$11)^INT((A45-1)/Inputs!$C$12))</f>
        <v>1.157625</v>
      </c>
      <c r="F45" s="28" t="n">
        <f aca="false">IF(AND(D45="Yes",Inputs!$C$10="Advance",MOD(A45-1,Inputs!$C$22)=0),Inputs!$C$8*E45,0)</f>
        <v>115762.5</v>
      </c>
      <c r="G45" s="28" t="n">
        <f aca="false">IF(AND(D45="Yes",Inputs!$C$10="Arrears",MOD(A45,Inputs!$C$22)=0),Inputs!$C$8*IF(N(Inputs!$C$12)=0,1,(1+Inputs!$C$11)^INT((A45-Inputs!$C$22)/Inputs!$C$12)),0)</f>
        <v>0</v>
      </c>
      <c r="H45" s="29" t="n">
        <f aca="false">1/(1+Inputs!$C$23)^(A45-1)</f>
        <v>0.761653851364586</v>
      </c>
      <c r="I45" s="29" t="n">
        <f aca="false">1/(1+Inputs!$C$23)^A45</f>
        <v>0.755915294485722</v>
      </c>
      <c r="J45" s="30" t="n">
        <f aca="false">F45*H45+G45*I45</f>
        <v>88170.9539685929</v>
      </c>
      <c r="K45" s="30" t="n">
        <f aca="false">M44</f>
        <v>2611232.32026365</v>
      </c>
      <c r="L45" s="30" t="n">
        <f aca="false">IF(D45="Yes",(K45-F45)*Inputs!$C$23,0)</f>
        <v>18944.4447116455</v>
      </c>
      <c r="M45" s="30" t="n">
        <f aca="false">K45-F45+L45-G45</f>
        <v>2514414.2649753</v>
      </c>
      <c r="N45" s="30" t="n">
        <f aca="false">F45+G45</f>
        <v>115762.5</v>
      </c>
      <c r="O45" s="30" t="n">
        <f aca="false">N45-L45</f>
        <v>96818.0552883546</v>
      </c>
      <c r="P45" s="30" t="n">
        <f aca="false">R44</f>
        <v>2141335.16779649</v>
      </c>
      <c r="Q45" s="30" t="n">
        <f aca="false">IF(A45&lt;=Inputs!$C$24,Inputs!$C$29/Inputs!$C$24,0)</f>
        <v>89222.298658187</v>
      </c>
      <c r="R45" s="30" t="n">
        <f aca="false">P45-Q45</f>
        <v>2052112.8691383</v>
      </c>
      <c r="S45" s="10" t="str">
        <f aca="false">"FY "&amp;(YEAR(B45)-(MONTH(B45)&lt;4))&amp;"-"&amp;RIGHT(YEAR(B45)-(MONTH(B45)&lt;4)+1,2)</f>
        <v>FY 2029-30</v>
      </c>
    </row>
    <row r="46" customFormat="false" ht="15" hidden="false" customHeight="false" outlineLevel="0" collapsed="false">
      <c r="A46" s="22" t="n">
        <v>38</v>
      </c>
      <c r="B46" s="24" t="n">
        <f aca="false">EDATE(Inputs!$C$6,A46-1)</f>
        <v>47239</v>
      </c>
      <c r="C46" s="24" t="n">
        <f aca="false">EDATE(Inputs!$C$6,A46)-1</f>
        <v>47269</v>
      </c>
      <c r="D46" s="10" t="str">
        <f aca="false">IF(A46&lt;=Inputs!$C$7,"Yes","No")</f>
        <v>Yes</v>
      </c>
      <c r="E46" s="27" t="n">
        <f aca="false">IF(N(Inputs!$C$12)=0,1,(1+Inputs!$C$11)^INT((A46-1)/Inputs!$C$12))</f>
        <v>1.157625</v>
      </c>
      <c r="F46" s="28" t="n">
        <f aca="false">IF(AND(D46="Yes",Inputs!$C$10="Advance",MOD(A46-1,Inputs!$C$22)=0),Inputs!$C$8*E46,0)</f>
        <v>115762.5</v>
      </c>
      <c r="G46" s="28" t="n">
        <f aca="false">IF(AND(D46="Yes",Inputs!$C$10="Arrears",MOD(A46,Inputs!$C$22)=0),Inputs!$C$8*IF(N(Inputs!$C$12)=0,1,(1+Inputs!$C$11)^INT((A46-Inputs!$C$22)/Inputs!$C$12)),0)</f>
        <v>0</v>
      </c>
      <c r="H46" s="29" t="n">
        <f aca="false">1/(1+Inputs!$C$23)^(A46-1)</f>
        <v>0.755915294485722</v>
      </c>
      <c r="I46" s="29" t="n">
        <f aca="false">1/(1+Inputs!$C$23)^A46</f>
        <v>0.75021997382892</v>
      </c>
      <c r="J46" s="30" t="n">
        <f aca="false">F46*H46+G46*I46</f>
        <v>87506.6442779034</v>
      </c>
      <c r="K46" s="30" t="n">
        <f aca="false">M45</f>
        <v>2514414.2649753</v>
      </c>
      <c r="L46" s="30" t="n">
        <f aca="false">IF(D46="Yes",(K46-F46)*Inputs!$C$23,0)</f>
        <v>18209.4471249764</v>
      </c>
      <c r="M46" s="30" t="n">
        <f aca="false">K46-F46+L46-G46</f>
        <v>2416861.21210028</v>
      </c>
      <c r="N46" s="30" t="n">
        <f aca="false">F46+G46</f>
        <v>115762.5</v>
      </c>
      <c r="O46" s="30" t="n">
        <f aca="false">N46-L46</f>
        <v>97553.0528750236</v>
      </c>
      <c r="P46" s="30" t="n">
        <f aca="false">R45</f>
        <v>2052112.8691383</v>
      </c>
      <c r="Q46" s="30" t="n">
        <f aca="false">IF(A46&lt;=Inputs!$C$24,Inputs!$C$29/Inputs!$C$24,0)</f>
        <v>89222.298658187</v>
      </c>
      <c r="R46" s="30" t="n">
        <f aca="false">P46-Q46</f>
        <v>1962890.57048011</v>
      </c>
      <c r="S46" s="10" t="str">
        <f aca="false">"FY "&amp;(YEAR(B46)-(MONTH(B46)&lt;4))&amp;"-"&amp;RIGHT(YEAR(B46)-(MONTH(B46)&lt;4)+1,2)</f>
        <v>FY 2029-30</v>
      </c>
    </row>
    <row r="47" customFormat="false" ht="15" hidden="false" customHeight="false" outlineLevel="0" collapsed="false">
      <c r="A47" s="22" t="n">
        <v>39</v>
      </c>
      <c r="B47" s="24" t="n">
        <f aca="false">EDATE(Inputs!$C$6,A47-1)</f>
        <v>47270</v>
      </c>
      <c r="C47" s="24" t="n">
        <f aca="false">EDATE(Inputs!$C$6,A47)-1</f>
        <v>47299</v>
      </c>
      <c r="D47" s="10" t="str">
        <f aca="false">IF(A47&lt;=Inputs!$C$7,"Yes","No")</f>
        <v>Yes</v>
      </c>
      <c r="E47" s="27" t="n">
        <f aca="false">IF(N(Inputs!$C$12)=0,1,(1+Inputs!$C$11)^INT((A47-1)/Inputs!$C$12))</f>
        <v>1.157625</v>
      </c>
      <c r="F47" s="28" t="n">
        <f aca="false">IF(AND(D47="Yes",Inputs!$C$10="Advance",MOD(A47-1,Inputs!$C$22)=0),Inputs!$C$8*E47,0)</f>
        <v>115762.5</v>
      </c>
      <c r="G47" s="28" t="n">
        <f aca="false">IF(AND(D47="Yes",Inputs!$C$10="Arrears",MOD(A47,Inputs!$C$22)=0),Inputs!$C$8*IF(N(Inputs!$C$12)=0,1,(1+Inputs!$C$11)^INT((A47-Inputs!$C$22)/Inputs!$C$12)),0)</f>
        <v>0</v>
      </c>
      <c r="H47" s="29" t="n">
        <f aca="false">1/(1+Inputs!$C$23)^(A47-1)</f>
        <v>0.75021997382892</v>
      </c>
      <c r="I47" s="29" t="n">
        <f aca="false">1/(1+Inputs!$C$23)^A47</f>
        <v>0.744567563637907</v>
      </c>
      <c r="J47" s="30" t="n">
        <f aca="false">F47*H47+G47*I47</f>
        <v>86847.3397203703</v>
      </c>
      <c r="K47" s="30" t="n">
        <f aca="false">M46</f>
        <v>2416861.21210028</v>
      </c>
      <c r="L47" s="30" t="n">
        <f aca="false">IF(D47="Yes",(K47-F47)*Inputs!$C$23,0)</f>
        <v>17468.8697789246</v>
      </c>
      <c r="M47" s="30" t="n">
        <f aca="false">K47-F47+L47-G47</f>
        <v>2318567.5818792</v>
      </c>
      <c r="N47" s="30" t="n">
        <f aca="false">F47+G47</f>
        <v>115762.5</v>
      </c>
      <c r="O47" s="30" t="n">
        <f aca="false">N47-L47</f>
        <v>98293.6302210754</v>
      </c>
      <c r="P47" s="30" t="n">
        <f aca="false">R46</f>
        <v>1962890.57048011</v>
      </c>
      <c r="Q47" s="30" t="n">
        <f aca="false">IF(A47&lt;=Inputs!$C$24,Inputs!$C$29/Inputs!$C$24,0)</f>
        <v>89222.298658187</v>
      </c>
      <c r="R47" s="30" t="n">
        <f aca="false">P47-Q47</f>
        <v>1873668.27182193</v>
      </c>
      <c r="S47" s="10" t="str">
        <f aca="false">"FY "&amp;(YEAR(B47)-(MONTH(B47)&lt;4))&amp;"-"&amp;RIGHT(YEAR(B47)-(MONTH(B47)&lt;4)+1,2)</f>
        <v>FY 2029-30</v>
      </c>
    </row>
    <row r="48" customFormat="false" ht="15" hidden="false" customHeight="false" outlineLevel="0" collapsed="false">
      <c r="A48" s="22" t="n">
        <v>40</v>
      </c>
      <c r="B48" s="24" t="n">
        <f aca="false">EDATE(Inputs!$C$6,A48-1)</f>
        <v>47300</v>
      </c>
      <c r="C48" s="24" t="n">
        <f aca="false">EDATE(Inputs!$C$6,A48)-1</f>
        <v>47330</v>
      </c>
      <c r="D48" s="10" t="str">
        <f aca="false">IF(A48&lt;=Inputs!$C$7,"Yes","No")</f>
        <v>Yes</v>
      </c>
      <c r="E48" s="27" t="n">
        <f aca="false">IF(N(Inputs!$C$12)=0,1,(1+Inputs!$C$11)^INT((A48-1)/Inputs!$C$12))</f>
        <v>1.157625</v>
      </c>
      <c r="F48" s="28" t="n">
        <f aca="false">IF(AND(D48="Yes",Inputs!$C$10="Advance",MOD(A48-1,Inputs!$C$22)=0),Inputs!$C$8*E48,0)</f>
        <v>115762.5</v>
      </c>
      <c r="G48" s="28" t="n">
        <f aca="false">IF(AND(D48="Yes",Inputs!$C$10="Arrears",MOD(A48,Inputs!$C$22)=0),Inputs!$C$8*IF(N(Inputs!$C$12)=0,1,(1+Inputs!$C$11)^INT((A48-Inputs!$C$22)/Inputs!$C$12)),0)</f>
        <v>0</v>
      </c>
      <c r="H48" s="29" t="n">
        <f aca="false">1/(1+Inputs!$C$23)^(A48-1)</f>
        <v>0.744567563637907</v>
      </c>
      <c r="I48" s="29" t="n">
        <f aca="false">1/(1+Inputs!$C$23)^A48</f>
        <v>0.738957740610769</v>
      </c>
      <c r="J48" s="30" t="n">
        <f aca="false">F48*H48+G48*I48</f>
        <v>86193.0025856332</v>
      </c>
      <c r="K48" s="30" t="n">
        <f aca="false">M47</f>
        <v>2318567.5818792</v>
      </c>
      <c r="L48" s="30" t="n">
        <f aca="false">IF(D48="Yes",(K48-F48)*Inputs!$C$23,0)</f>
        <v>16722.6703145555</v>
      </c>
      <c r="M48" s="30" t="n">
        <f aca="false">K48-F48+L48-G48</f>
        <v>2219527.75219376</v>
      </c>
      <c r="N48" s="30" t="n">
        <f aca="false">F48+G48</f>
        <v>115762.5</v>
      </c>
      <c r="O48" s="30" t="n">
        <f aca="false">N48-L48</f>
        <v>99039.8296854445</v>
      </c>
      <c r="P48" s="30" t="n">
        <f aca="false">R47</f>
        <v>1873668.27182193</v>
      </c>
      <c r="Q48" s="30" t="n">
        <f aca="false">IF(A48&lt;=Inputs!$C$24,Inputs!$C$29/Inputs!$C$24,0)</f>
        <v>89222.298658187</v>
      </c>
      <c r="R48" s="30" t="n">
        <f aca="false">P48-Q48</f>
        <v>1784445.97316374</v>
      </c>
      <c r="S48" s="10" t="str">
        <f aca="false">"FY "&amp;(YEAR(B48)-(MONTH(B48)&lt;4))&amp;"-"&amp;RIGHT(YEAR(B48)-(MONTH(B48)&lt;4)+1,2)</f>
        <v>FY 2029-30</v>
      </c>
    </row>
    <row r="49" customFormat="false" ht="15" hidden="false" customHeight="false" outlineLevel="0" collapsed="false">
      <c r="A49" s="22" t="n">
        <v>41</v>
      </c>
      <c r="B49" s="24" t="n">
        <f aca="false">EDATE(Inputs!$C$6,A49-1)</f>
        <v>47331</v>
      </c>
      <c r="C49" s="24" t="n">
        <f aca="false">EDATE(Inputs!$C$6,A49)-1</f>
        <v>47361</v>
      </c>
      <c r="D49" s="10" t="str">
        <f aca="false">IF(A49&lt;=Inputs!$C$7,"Yes","No")</f>
        <v>Yes</v>
      </c>
      <c r="E49" s="27" t="n">
        <f aca="false">IF(N(Inputs!$C$12)=0,1,(1+Inputs!$C$11)^INT((A49-1)/Inputs!$C$12))</f>
        <v>1.157625</v>
      </c>
      <c r="F49" s="28" t="n">
        <f aca="false">IF(AND(D49="Yes",Inputs!$C$10="Advance",MOD(A49-1,Inputs!$C$22)=0),Inputs!$C$8*E49,0)</f>
        <v>115762.5</v>
      </c>
      <c r="G49" s="28" t="n">
        <f aca="false">IF(AND(D49="Yes",Inputs!$C$10="Arrears",MOD(A49,Inputs!$C$22)=0),Inputs!$C$8*IF(N(Inputs!$C$12)=0,1,(1+Inputs!$C$11)^INT((A49-Inputs!$C$22)/Inputs!$C$12)),0)</f>
        <v>0</v>
      </c>
      <c r="H49" s="29" t="n">
        <f aca="false">1/(1+Inputs!$C$23)^(A49-1)</f>
        <v>0.738957740610769</v>
      </c>
      <c r="I49" s="29" t="n">
        <f aca="false">1/(1+Inputs!$C$23)^A49</f>
        <v>0.733390183881456</v>
      </c>
      <c r="J49" s="30" t="n">
        <f aca="false">F49*H49+G49*I49</f>
        <v>85543.5954474541</v>
      </c>
      <c r="K49" s="30" t="n">
        <f aca="false">M48</f>
        <v>2219527.75219376</v>
      </c>
      <c r="L49" s="30" t="n">
        <f aca="false">IF(D49="Yes",(K49-F49)*Inputs!$C$23,0)</f>
        <v>15970.806051365</v>
      </c>
      <c r="M49" s="30" t="n">
        <f aca="false">K49-F49+L49-G49</f>
        <v>2119736.05824512</v>
      </c>
      <c r="N49" s="30" t="n">
        <f aca="false">F49+G49</f>
        <v>115762.5</v>
      </c>
      <c r="O49" s="30" t="n">
        <f aca="false">N49-L49</f>
        <v>99791.693948635</v>
      </c>
      <c r="P49" s="30" t="n">
        <f aca="false">R48</f>
        <v>1784445.97316374</v>
      </c>
      <c r="Q49" s="30" t="n">
        <f aca="false">IF(A49&lt;=Inputs!$C$24,Inputs!$C$29/Inputs!$C$24,0)</f>
        <v>89222.298658187</v>
      </c>
      <c r="R49" s="30" t="n">
        <f aca="false">P49-Q49</f>
        <v>1695223.67450555</v>
      </c>
      <c r="S49" s="10" t="str">
        <f aca="false">"FY "&amp;(YEAR(B49)-(MONTH(B49)&lt;4))&amp;"-"&amp;RIGHT(YEAR(B49)-(MONTH(B49)&lt;4)+1,2)</f>
        <v>FY 2029-30</v>
      </c>
    </row>
    <row r="50" customFormat="false" ht="15" hidden="false" customHeight="false" outlineLevel="0" collapsed="false">
      <c r="A50" s="22" t="n">
        <v>42</v>
      </c>
      <c r="B50" s="24" t="n">
        <f aca="false">EDATE(Inputs!$C$6,A50-1)</f>
        <v>47362</v>
      </c>
      <c r="C50" s="24" t="n">
        <f aca="false">EDATE(Inputs!$C$6,A50)-1</f>
        <v>47391</v>
      </c>
      <c r="D50" s="10" t="str">
        <f aca="false">IF(A50&lt;=Inputs!$C$7,"Yes","No")</f>
        <v>Yes</v>
      </c>
      <c r="E50" s="27" t="n">
        <f aca="false">IF(N(Inputs!$C$12)=0,1,(1+Inputs!$C$11)^INT((A50-1)/Inputs!$C$12))</f>
        <v>1.157625</v>
      </c>
      <c r="F50" s="28" t="n">
        <f aca="false">IF(AND(D50="Yes",Inputs!$C$10="Advance",MOD(A50-1,Inputs!$C$22)=0),Inputs!$C$8*E50,0)</f>
        <v>115762.5</v>
      </c>
      <c r="G50" s="28" t="n">
        <f aca="false">IF(AND(D50="Yes",Inputs!$C$10="Arrears",MOD(A50,Inputs!$C$22)=0),Inputs!$C$8*IF(N(Inputs!$C$12)=0,1,(1+Inputs!$C$11)^INT((A50-Inputs!$C$22)/Inputs!$C$12)),0)</f>
        <v>0</v>
      </c>
      <c r="H50" s="29" t="n">
        <f aca="false">1/(1+Inputs!$C$23)^(A50-1)</f>
        <v>0.733390183881456</v>
      </c>
      <c r="I50" s="29" t="n">
        <f aca="false">1/(1+Inputs!$C$23)^A50</f>
        <v>0.727864575001432</v>
      </c>
      <c r="J50" s="30" t="n">
        <f aca="false">F50*H50+G50*I50</f>
        <v>84899.0811615771</v>
      </c>
      <c r="K50" s="30" t="n">
        <f aca="false">M49</f>
        <v>2119736.05824512</v>
      </c>
      <c r="L50" s="30" t="n">
        <f aca="false">IF(D50="Yes",(K50-F50)*Inputs!$C$23,0)</f>
        <v>15213.2339848386</v>
      </c>
      <c r="M50" s="30" t="n">
        <f aca="false">K50-F50+L50-G50</f>
        <v>2019186.79222996</v>
      </c>
      <c r="N50" s="30" t="n">
        <f aca="false">F50+G50</f>
        <v>115762.5</v>
      </c>
      <c r="O50" s="30" t="n">
        <f aca="false">N50-L50</f>
        <v>100549.266015161</v>
      </c>
      <c r="P50" s="30" t="n">
        <f aca="false">R49</f>
        <v>1695223.67450555</v>
      </c>
      <c r="Q50" s="30" t="n">
        <f aca="false">IF(A50&lt;=Inputs!$C$24,Inputs!$C$29/Inputs!$C$24,0)</f>
        <v>89222.298658187</v>
      </c>
      <c r="R50" s="30" t="n">
        <f aca="false">P50-Q50</f>
        <v>1606001.37584737</v>
      </c>
      <c r="S50" s="10" t="str">
        <f aca="false">"FY "&amp;(YEAR(B50)-(MONTH(B50)&lt;4))&amp;"-"&amp;RIGHT(YEAR(B50)-(MONTH(B50)&lt;4)+1,2)</f>
        <v>FY 2029-30</v>
      </c>
    </row>
    <row r="51" customFormat="false" ht="15" hidden="false" customHeight="false" outlineLevel="0" collapsed="false">
      <c r="A51" s="22" t="n">
        <v>43</v>
      </c>
      <c r="B51" s="24" t="n">
        <f aca="false">EDATE(Inputs!$C$6,A51-1)</f>
        <v>47392</v>
      </c>
      <c r="C51" s="24" t="n">
        <f aca="false">EDATE(Inputs!$C$6,A51)-1</f>
        <v>47422</v>
      </c>
      <c r="D51" s="10" t="str">
        <f aca="false">IF(A51&lt;=Inputs!$C$7,"Yes","No")</f>
        <v>Yes</v>
      </c>
      <c r="E51" s="27" t="n">
        <f aca="false">IF(N(Inputs!$C$12)=0,1,(1+Inputs!$C$11)^INT((A51-1)/Inputs!$C$12))</f>
        <v>1.157625</v>
      </c>
      <c r="F51" s="28" t="n">
        <f aca="false">IF(AND(D51="Yes",Inputs!$C$10="Advance",MOD(A51-1,Inputs!$C$22)=0),Inputs!$C$8*E51,0)</f>
        <v>115762.5</v>
      </c>
      <c r="G51" s="28" t="n">
        <f aca="false">IF(AND(D51="Yes",Inputs!$C$10="Arrears",MOD(A51,Inputs!$C$22)=0),Inputs!$C$8*IF(N(Inputs!$C$12)=0,1,(1+Inputs!$C$11)^INT((A51-Inputs!$C$22)/Inputs!$C$12)),0)</f>
        <v>0</v>
      </c>
      <c r="H51" s="29" t="n">
        <f aca="false">1/(1+Inputs!$C$23)^(A51-1)</f>
        <v>0.727864575001432</v>
      </c>
      <c r="I51" s="29" t="n">
        <f aca="false">1/(1+Inputs!$C$23)^A51</f>
        <v>0.72238059792146</v>
      </c>
      <c r="J51" s="30" t="n">
        <f aca="false">F51*H51+G51*I51</f>
        <v>84259.4228636033</v>
      </c>
      <c r="K51" s="30" t="n">
        <f aca="false">M50</f>
        <v>2019186.79222996</v>
      </c>
      <c r="L51" s="30" t="n">
        <f aca="false">IF(D51="Yes",(K51-F51)*Inputs!$C$23,0)</f>
        <v>14449.9107839916</v>
      </c>
      <c r="M51" s="30" t="n">
        <f aca="false">K51-F51+L51-G51</f>
        <v>1917874.20301395</v>
      </c>
      <c r="N51" s="30" t="n">
        <f aca="false">F51+G51</f>
        <v>115762.5</v>
      </c>
      <c r="O51" s="30" t="n">
        <f aca="false">N51-L51</f>
        <v>101312.589216008</v>
      </c>
      <c r="P51" s="30" t="n">
        <f aca="false">R50</f>
        <v>1606001.37584737</v>
      </c>
      <c r="Q51" s="30" t="n">
        <f aca="false">IF(A51&lt;=Inputs!$C$24,Inputs!$C$29/Inputs!$C$24,0)</f>
        <v>89222.298658187</v>
      </c>
      <c r="R51" s="30" t="n">
        <f aca="false">P51-Q51</f>
        <v>1516779.07718918</v>
      </c>
      <c r="S51" s="10" t="str">
        <f aca="false">"FY "&amp;(YEAR(B51)-(MONTH(B51)&lt;4))&amp;"-"&amp;RIGHT(YEAR(B51)-(MONTH(B51)&lt;4)+1,2)</f>
        <v>FY 2029-30</v>
      </c>
    </row>
    <row r="52" customFormat="false" ht="15" hidden="false" customHeight="false" outlineLevel="0" collapsed="false">
      <c r="A52" s="22" t="n">
        <v>44</v>
      </c>
      <c r="B52" s="24" t="n">
        <f aca="false">EDATE(Inputs!$C$6,A52-1)</f>
        <v>47423</v>
      </c>
      <c r="C52" s="24" t="n">
        <f aca="false">EDATE(Inputs!$C$6,A52)-1</f>
        <v>47452</v>
      </c>
      <c r="D52" s="10" t="str">
        <f aca="false">IF(A52&lt;=Inputs!$C$7,"Yes","No")</f>
        <v>Yes</v>
      </c>
      <c r="E52" s="27" t="n">
        <f aca="false">IF(N(Inputs!$C$12)=0,1,(1+Inputs!$C$11)^INT((A52-1)/Inputs!$C$12))</f>
        <v>1.157625</v>
      </c>
      <c r="F52" s="28" t="n">
        <f aca="false">IF(AND(D52="Yes",Inputs!$C$10="Advance",MOD(A52-1,Inputs!$C$22)=0),Inputs!$C$8*E52,0)</f>
        <v>115762.5</v>
      </c>
      <c r="G52" s="28" t="n">
        <f aca="false">IF(AND(D52="Yes",Inputs!$C$10="Arrears",MOD(A52,Inputs!$C$22)=0),Inputs!$C$8*IF(N(Inputs!$C$12)=0,1,(1+Inputs!$C$11)^INT((A52-Inputs!$C$22)/Inputs!$C$12)),0)</f>
        <v>0</v>
      </c>
      <c r="H52" s="29" t="n">
        <f aca="false">1/(1+Inputs!$C$23)^(A52-1)</f>
        <v>0.72238059792146</v>
      </c>
      <c r="I52" s="29" t="n">
        <f aca="false">1/(1+Inputs!$C$23)^A52</f>
        <v>0.716937938973523</v>
      </c>
      <c r="J52" s="30" t="n">
        <f aca="false">F52*H52+G52*I52</f>
        <v>83624.583966883</v>
      </c>
      <c r="K52" s="30" t="n">
        <f aca="false">M51</f>
        <v>1917874.20301395</v>
      </c>
      <c r="L52" s="30" t="n">
        <f aca="false">IF(D52="Yes",(K52-F52)*Inputs!$C$23,0)</f>
        <v>13680.7927888906</v>
      </c>
      <c r="M52" s="30" t="n">
        <f aca="false">K52-F52+L52-G52</f>
        <v>1815792.49580284</v>
      </c>
      <c r="N52" s="30" t="n">
        <f aca="false">F52+G52</f>
        <v>115762.5</v>
      </c>
      <c r="O52" s="30" t="n">
        <f aca="false">N52-L52</f>
        <v>102081.707211109</v>
      </c>
      <c r="P52" s="30" t="n">
        <f aca="false">R51</f>
        <v>1516779.07718918</v>
      </c>
      <c r="Q52" s="30" t="n">
        <f aca="false">IF(A52&lt;=Inputs!$C$24,Inputs!$C$29/Inputs!$C$24,0)</f>
        <v>89222.298658187</v>
      </c>
      <c r="R52" s="30" t="n">
        <f aca="false">P52-Q52</f>
        <v>1427556.77853099</v>
      </c>
      <c r="S52" s="10" t="str">
        <f aca="false">"FY "&amp;(YEAR(B52)-(MONTH(B52)&lt;4))&amp;"-"&amp;RIGHT(YEAR(B52)-(MONTH(B52)&lt;4)+1,2)</f>
        <v>FY 2029-30</v>
      </c>
    </row>
    <row r="53" customFormat="false" ht="15" hidden="false" customHeight="false" outlineLevel="0" collapsed="false">
      <c r="A53" s="22" t="n">
        <v>45</v>
      </c>
      <c r="B53" s="24" t="n">
        <f aca="false">EDATE(Inputs!$C$6,A53-1)</f>
        <v>47453</v>
      </c>
      <c r="C53" s="24" t="n">
        <f aca="false">EDATE(Inputs!$C$6,A53)-1</f>
        <v>47483</v>
      </c>
      <c r="D53" s="10" t="str">
        <f aca="false">IF(A53&lt;=Inputs!$C$7,"Yes","No")</f>
        <v>Yes</v>
      </c>
      <c r="E53" s="27" t="n">
        <f aca="false">IF(N(Inputs!$C$12)=0,1,(1+Inputs!$C$11)^INT((A53-1)/Inputs!$C$12))</f>
        <v>1.157625</v>
      </c>
      <c r="F53" s="28" t="n">
        <f aca="false">IF(AND(D53="Yes",Inputs!$C$10="Advance",MOD(A53-1,Inputs!$C$22)=0),Inputs!$C$8*E53,0)</f>
        <v>115762.5</v>
      </c>
      <c r="G53" s="28" t="n">
        <f aca="false">IF(AND(D53="Yes",Inputs!$C$10="Arrears",MOD(A53,Inputs!$C$22)=0),Inputs!$C$8*IF(N(Inputs!$C$12)=0,1,(1+Inputs!$C$11)^INT((A53-Inputs!$C$22)/Inputs!$C$12)),0)</f>
        <v>0</v>
      </c>
      <c r="H53" s="29" t="n">
        <f aca="false">1/(1+Inputs!$C$23)^(A53-1)</f>
        <v>0.716937938973523</v>
      </c>
      <c r="I53" s="29" t="n">
        <f aca="false">1/(1+Inputs!$C$23)^A53</f>
        <v>0.711536286852885</v>
      </c>
      <c r="J53" s="30" t="n">
        <f aca="false">F53*H53+G53*I53</f>
        <v>82994.5281604225</v>
      </c>
      <c r="K53" s="30" t="n">
        <f aca="false">M52</f>
        <v>1815792.49580284</v>
      </c>
      <c r="L53" s="30" t="n">
        <f aca="false">IF(D53="Yes",(K53-F53)*Inputs!$C$23,0)</f>
        <v>12905.8360081562</v>
      </c>
      <c r="M53" s="30" t="n">
        <f aca="false">K53-F53+L53-G53</f>
        <v>1712935.831811</v>
      </c>
      <c r="N53" s="30" t="n">
        <f aca="false">F53+G53</f>
        <v>115762.5</v>
      </c>
      <c r="O53" s="30" t="n">
        <f aca="false">N53-L53</f>
        <v>102856.663991844</v>
      </c>
      <c r="P53" s="30" t="n">
        <f aca="false">R52</f>
        <v>1427556.77853099</v>
      </c>
      <c r="Q53" s="30" t="n">
        <f aca="false">IF(A53&lt;=Inputs!$C$24,Inputs!$C$29/Inputs!$C$24,0)</f>
        <v>89222.298658187</v>
      </c>
      <c r="R53" s="30" t="n">
        <f aca="false">P53-Q53</f>
        <v>1338334.47987281</v>
      </c>
      <c r="S53" s="10" t="str">
        <f aca="false">"FY "&amp;(YEAR(B53)-(MONTH(B53)&lt;4))&amp;"-"&amp;RIGHT(YEAR(B53)-(MONTH(B53)&lt;4)+1,2)</f>
        <v>FY 2029-30</v>
      </c>
    </row>
    <row r="54" customFormat="false" ht="15" hidden="false" customHeight="false" outlineLevel="0" collapsed="false">
      <c r="A54" s="22" t="n">
        <v>46</v>
      </c>
      <c r="B54" s="24" t="n">
        <f aca="false">EDATE(Inputs!$C$6,A54-1)</f>
        <v>47484</v>
      </c>
      <c r="C54" s="24" t="n">
        <f aca="false">EDATE(Inputs!$C$6,A54)-1</f>
        <v>47514</v>
      </c>
      <c r="D54" s="10" t="str">
        <f aca="false">IF(A54&lt;=Inputs!$C$7,"Yes","No")</f>
        <v>Yes</v>
      </c>
      <c r="E54" s="27" t="n">
        <f aca="false">IF(N(Inputs!$C$12)=0,1,(1+Inputs!$C$11)^INT((A54-1)/Inputs!$C$12))</f>
        <v>1.157625</v>
      </c>
      <c r="F54" s="28" t="n">
        <f aca="false">IF(AND(D54="Yes",Inputs!$C$10="Advance",MOD(A54-1,Inputs!$C$22)=0),Inputs!$C$8*E54,0)</f>
        <v>115762.5</v>
      </c>
      <c r="G54" s="28" t="n">
        <f aca="false">IF(AND(D54="Yes",Inputs!$C$10="Arrears",MOD(A54,Inputs!$C$22)=0),Inputs!$C$8*IF(N(Inputs!$C$12)=0,1,(1+Inputs!$C$11)^INT((A54-Inputs!$C$22)/Inputs!$C$12)),0)</f>
        <v>0</v>
      </c>
      <c r="H54" s="29" t="n">
        <f aca="false">1/(1+Inputs!$C$23)^(A54-1)</f>
        <v>0.711536286852885</v>
      </c>
      <c r="I54" s="29" t="n">
        <f aca="false">1/(1+Inputs!$C$23)^A54</f>
        <v>0.706175332600287</v>
      </c>
      <c r="J54" s="30" t="n">
        <f aca="false">F54*H54+G54*I54</f>
        <v>82369.2194068072</v>
      </c>
      <c r="K54" s="30" t="n">
        <f aca="false">M53</f>
        <v>1712935.831811</v>
      </c>
      <c r="L54" s="30" t="n">
        <f aca="false">IF(D54="Yes",(K54-F54)*Inputs!$C$23,0)</f>
        <v>12124.9961164472</v>
      </c>
      <c r="M54" s="30" t="n">
        <f aca="false">K54-F54+L54-G54</f>
        <v>1609298.32792745</v>
      </c>
      <c r="N54" s="30" t="n">
        <f aca="false">F54+G54</f>
        <v>115762.5</v>
      </c>
      <c r="O54" s="30" t="n">
        <f aca="false">N54-L54</f>
        <v>103637.503883553</v>
      </c>
      <c r="P54" s="30" t="n">
        <f aca="false">R53</f>
        <v>1338334.47987281</v>
      </c>
      <c r="Q54" s="30" t="n">
        <f aca="false">IF(A54&lt;=Inputs!$C$24,Inputs!$C$29/Inputs!$C$24,0)</f>
        <v>89222.298658187</v>
      </c>
      <c r="R54" s="30" t="n">
        <f aca="false">P54-Q54</f>
        <v>1249112.18121462</v>
      </c>
      <c r="S54" s="10" t="str">
        <f aca="false">"FY "&amp;(YEAR(B54)-(MONTH(B54)&lt;4))&amp;"-"&amp;RIGHT(YEAR(B54)-(MONTH(B54)&lt;4)+1,2)</f>
        <v>FY 2029-30</v>
      </c>
    </row>
    <row r="55" customFormat="false" ht="15" hidden="false" customHeight="false" outlineLevel="0" collapsed="false">
      <c r="A55" s="22" t="n">
        <v>47</v>
      </c>
      <c r="B55" s="24" t="n">
        <f aca="false">EDATE(Inputs!$C$6,A55-1)</f>
        <v>47515</v>
      </c>
      <c r="C55" s="24" t="n">
        <f aca="false">EDATE(Inputs!$C$6,A55)-1</f>
        <v>47542</v>
      </c>
      <c r="D55" s="10" t="str">
        <f aca="false">IF(A55&lt;=Inputs!$C$7,"Yes","No")</f>
        <v>Yes</v>
      </c>
      <c r="E55" s="27" t="n">
        <f aca="false">IF(N(Inputs!$C$12)=0,1,(1+Inputs!$C$11)^INT((A55-1)/Inputs!$C$12))</f>
        <v>1.157625</v>
      </c>
      <c r="F55" s="28" t="n">
        <f aca="false">IF(AND(D55="Yes",Inputs!$C$10="Advance",MOD(A55-1,Inputs!$C$22)=0),Inputs!$C$8*E55,0)</f>
        <v>115762.5</v>
      </c>
      <c r="G55" s="28" t="n">
        <f aca="false">IF(AND(D55="Yes",Inputs!$C$10="Arrears",MOD(A55,Inputs!$C$22)=0),Inputs!$C$8*IF(N(Inputs!$C$12)=0,1,(1+Inputs!$C$11)^INT((A55-Inputs!$C$22)/Inputs!$C$12)),0)</f>
        <v>0</v>
      </c>
      <c r="H55" s="29" t="n">
        <f aca="false">1/(1+Inputs!$C$23)^(A55-1)</f>
        <v>0.706175332600287</v>
      </c>
      <c r="I55" s="29" t="n">
        <f aca="false">1/(1+Inputs!$C$23)^A55</f>
        <v>0.70085476958427</v>
      </c>
      <c r="J55" s="30" t="n">
        <f aca="false">F55*H55+G55*I55</f>
        <v>81748.6219401407</v>
      </c>
      <c r="K55" s="30" t="n">
        <f aca="false">M54</f>
        <v>1609298.32792745</v>
      </c>
      <c r="L55" s="30" t="n">
        <f aca="false">IF(D55="Yes",(K55-F55)*Inputs!$C$23,0)</f>
        <v>11338.2284519248</v>
      </c>
      <c r="M55" s="30" t="n">
        <f aca="false">K55-F55+L55-G55</f>
        <v>1504874.05637937</v>
      </c>
      <c r="N55" s="30" t="n">
        <f aca="false">F55+G55</f>
        <v>115762.5</v>
      </c>
      <c r="O55" s="30" t="n">
        <f aca="false">N55-L55</f>
        <v>104424.271548075</v>
      </c>
      <c r="P55" s="30" t="n">
        <f aca="false">R54</f>
        <v>1249112.18121462</v>
      </c>
      <c r="Q55" s="30" t="n">
        <f aca="false">IF(A55&lt;=Inputs!$C$24,Inputs!$C$29/Inputs!$C$24,0)</f>
        <v>89222.298658187</v>
      </c>
      <c r="R55" s="30" t="n">
        <f aca="false">P55-Q55</f>
        <v>1159889.88255643</v>
      </c>
      <c r="S55" s="10" t="str">
        <f aca="false">"FY "&amp;(YEAR(B55)-(MONTH(B55)&lt;4))&amp;"-"&amp;RIGHT(YEAR(B55)-(MONTH(B55)&lt;4)+1,2)</f>
        <v>FY 2029-30</v>
      </c>
    </row>
    <row r="56" customFormat="false" ht="15" hidden="false" customHeight="false" outlineLevel="0" collapsed="false">
      <c r="A56" s="22" t="n">
        <v>48</v>
      </c>
      <c r="B56" s="24" t="n">
        <f aca="false">EDATE(Inputs!$C$6,A56-1)</f>
        <v>47543</v>
      </c>
      <c r="C56" s="24" t="n">
        <f aca="false">EDATE(Inputs!$C$6,A56)-1</f>
        <v>47573</v>
      </c>
      <c r="D56" s="10" t="str">
        <f aca="false">IF(A56&lt;=Inputs!$C$7,"Yes","No")</f>
        <v>Yes</v>
      </c>
      <c r="E56" s="27" t="n">
        <f aca="false">IF(N(Inputs!$C$12)=0,1,(1+Inputs!$C$11)^INT((A56-1)/Inputs!$C$12))</f>
        <v>1.157625</v>
      </c>
      <c r="F56" s="28" t="n">
        <f aca="false">IF(AND(D56="Yes",Inputs!$C$10="Advance",MOD(A56-1,Inputs!$C$22)=0),Inputs!$C$8*E56,0)</f>
        <v>115762.5</v>
      </c>
      <c r="G56" s="28" t="n">
        <f aca="false">IF(AND(D56="Yes",Inputs!$C$10="Arrears",MOD(A56,Inputs!$C$22)=0),Inputs!$C$8*IF(N(Inputs!$C$12)=0,1,(1+Inputs!$C$11)^INT((A56-Inputs!$C$22)/Inputs!$C$12)),0)</f>
        <v>0</v>
      </c>
      <c r="H56" s="29" t="n">
        <f aca="false">1/(1+Inputs!$C$23)^(A56-1)</f>
        <v>0.70085476958427</v>
      </c>
      <c r="I56" s="29" t="n">
        <f aca="false">1/(1+Inputs!$C$23)^A56</f>
        <v>0.695574293483641</v>
      </c>
      <c r="J56" s="30" t="n">
        <f aca="false">F56*H56+G56*I56</f>
        <v>81132.700263999</v>
      </c>
      <c r="K56" s="30" t="n">
        <f aca="false">M55</f>
        <v>1504874.05637937</v>
      </c>
      <c r="L56" s="30" t="n">
        <f aca="false">IF(D56="Yes",(K56-F56)*Inputs!$C$23,0)</f>
        <v>10545.4880136985</v>
      </c>
      <c r="M56" s="30" t="n">
        <f aca="false">K56-F56+L56-G56</f>
        <v>1399657.04439307</v>
      </c>
      <c r="N56" s="30" t="n">
        <f aca="false">F56+G56</f>
        <v>115762.5</v>
      </c>
      <c r="O56" s="30" t="n">
        <f aca="false">N56-L56</f>
        <v>105217.011986302</v>
      </c>
      <c r="P56" s="30" t="n">
        <f aca="false">R55</f>
        <v>1159889.88255643</v>
      </c>
      <c r="Q56" s="30" t="n">
        <f aca="false">IF(A56&lt;=Inputs!$C$24,Inputs!$C$29/Inputs!$C$24,0)</f>
        <v>89222.298658187</v>
      </c>
      <c r="R56" s="30" t="n">
        <f aca="false">P56-Q56</f>
        <v>1070667.58389824</v>
      </c>
      <c r="S56" s="10" t="str">
        <f aca="false">"FY "&amp;(YEAR(B56)-(MONTH(B56)&lt;4))&amp;"-"&amp;RIGHT(YEAR(B56)-(MONTH(B56)&lt;4)+1,2)</f>
        <v>FY 2029-30</v>
      </c>
    </row>
    <row r="57" customFormat="false" ht="15" hidden="false" customHeight="false" outlineLevel="0" collapsed="false">
      <c r="A57" s="22" t="n">
        <v>49</v>
      </c>
      <c r="B57" s="24" t="n">
        <f aca="false">EDATE(Inputs!$C$6,A57-1)</f>
        <v>47574</v>
      </c>
      <c r="C57" s="24" t="n">
        <f aca="false">EDATE(Inputs!$C$6,A57)-1</f>
        <v>47603</v>
      </c>
      <c r="D57" s="10" t="str">
        <f aca="false">IF(A57&lt;=Inputs!$C$7,"Yes","No")</f>
        <v>Yes</v>
      </c>
      <c r="E57" s="27" t="n">
        <f aca="false">IF(N(Inputs!$C$12)=0,1,(1+Inputs!$C$11)^INT((A57-1)/Inputs!$C$12))</f>
        <v>1.21550625</v>
      </c>
      <c r="F57" s="28" t="n">
        <f aca="false">IF(AND(D57="Yes",Inputs!$C$10="Advance",MOD(A57-1,Inputs!$C$22)=0),Inputs!$C$8*E57,0)</f>
        <v>121550.625</v>
      </c>
      <c r="G57" s="28" t="n">
        <f aca="false">IF(AND(D57="Yes",Inputs!$C$10="Arrears",MOD(A57,Inputs!$C$22)=0),Inputs!$C$8*IF(N(Inputs!$C$12)=0,1,(1+Inputs!$C$11)^INT((A57-Inputs!$C$22)/Inputs!$C$12)),0)</f>
        <v>0</v>
      </c>
      <c r="H57" s="29" t="n">
        <f aca="false">1/(1+Inputs!$C$23)^(A57-1)</f>
        <v>0.695574293483641</v>
      </c>
      <c r="I57" s="29" t="n">
        <f aca="false">1/(1+Inputs!$C$23)^A57</f>
        <v>0.690333602270066</v>
      </c>
      <c r="J57" s="30" t="n">
        <f aca="false">F57*H57+G57*I57</f>
        <v>84547.49010687</v>
      </c>
      <c r="K57" s="30" t="n">
        <f aca="false">M56</f>
        <v>1399657.04439307</v>
      </c>
      <c r="L57" s="30" t="n">
        <f aca="false">IF(D57="Yes",(K57-F57)*Inputs!$C$23,0)</f>
        <v>9702.78870983619</v>
      </c>
      <c r="M57" s="30" t="n">
        <f aca="false">K57-F57+L57-G57</f>
        <v>1287809.20810291</v>
      </c>
      <c r="N57" s="30" t="n">
        <f aca="false">F57+G57</f>
        <v>121550.625</v>
      </c>
      <c r="O57" s="30" t="n">
        <f aca="false">N57-L57</f>
        <v>111847.836290164</v>
      </c>
      <c r="P57" s="30" t="n">
        <f aca="false">R56</f>
        <v>1070667.58389824</v>
      </c>
      <c r="Q57" s="30" t="n">
        <f aca="false">IF(A57&lt;=Inputs!$C$24,Inputs!$C$29/Inputs!$C$24,0)</f>
        <v>89222.298658187</v>
      </c>
      <c r="R57" s="30" t="n">
        <f aca="false">P57-Q57</f>
        <v>981445.285240058</v>
      </c>
      <c r="S57" s="10" t="str">
        <f aca="false">"FY "&amp;(YEAR(B57)-(MONTH(B57)&lt;4))&amp;"-"&amp;RIGHT(YEAR(B57)-(MONTH(B57)&lt;4)+1,2)</f>
        <v>FY 2030-31</v>
      </c>
    </row>
    <row r="58" customFormat="false" ht="15" hidden="false" customHeight="false" outlineLevel="0" collapsed="false">
      <c r="A58" s="22" t="n">
        <v>50</v>
      </c>
      <c r="B58" s="24" t="n">
        <f aca="false">EDATE(Inputs!$C$6,A58-1)</f>
        <v>47604</v>
      </c>
      <c r="C58" s="24" t="n">
        <f aca="false">EDATE(Inputs!$C$6,A58)-1</f>
        <v>47634</v>
      </c>
      <c r="D58" s="10" t="str">
        <f aca="false">IF(A58&lt;=Inputs!$C$7,"Yes","No")</f>
        <v>Yes</v>
      </c>
      <c r="E58" s="27" t="n">
        <f aca="false">IF(N(Inputs!$C$12)=0,1,(1+Inputs!$C$11)^INT((A58-1)/Inputs!$C$12))</f>
        <v>1.21550625</v>
      </c>
      <c r="F58" s="28" t="n">
        <f aca="false">IF(AND(D58="Yes",Inputs!$C$10="Advance",MOD(A58-1,Inputs!$C$22)=0),Inputs!$C$8*E58,0)</f>
        <v>121550.625</v>
      </c>
      <c r="G58" s="28" t="n">
        <f aca="false">IF(AND(D58="Yes",Inputs!$C$10="Arrears",MOD(A58,Inputs!$C$22)=0),Inputs!$C$8*IF(N(Inputs!$C$12)=0,1,(1+Inputs!$C$11)^INT((A58-Inputs!$C$22)/Inputs!$C$12)),0)</f>
        <v>0</v>
      </c>
      <c r="H58" s="29" t="n">
        <f aca="false">1/(1+Inputs!$C$23)^(A58-1)</f>
        <v>0.690333602270066</v>
      </c>
      <c r="I58" s="29" t="n">
        <f aca="false">1/(1+Inputs!$C$23)^A58</f>
        <v>0.685132396190795</v>
      </c>
      <c r="J58" s="30" t="n">
        <f aca="false">F58*H58+G58*I58</f>
        <v>83910.480814428</v>
      </c>
      <c r="K58" s="30" t="n">
        <f aca="false">M57</f>
        <v>1287809.20810291</v>
      </c>
      <c r="L58" s="30" t="n">
        <f aca="false">IF(D58="Yes",(K58-F58)*Inputs!$C$23,0)</f>
        <v>8853.69202531195</v>
      </c>
      <c r="M58" s="30" t="n">
        <f aca="false">K58-F58+L58-G58</f>
        <v>1175112.27512822</v>
      </c>
      <c r="N58" s="30" t="n">
        <f aca="false">F58+G58</f>
        <v>121550.625</v>
      </c>
      <c r="O58" s="30" t="n">
        <f aca="false">N58-L58</f>
        <v>112696.932974688</v>
      </c>
      <c r="P58" s="30" t="n">
        <f aca="false">R57</f>
        <v>981445.285240058</v>
      </c>
      <c r="Q58" s="30" t="n">
        <f aca="false">IF(A58&lt;=Inputs!$C$24,Inputs!$C$29/Inputs!$C$24,0)</f>
        <v>89222.298658187</v>
      </c>
      <c r="R58" s="30" t="n">
        <f aca="false">P58-Q58</f>
        <v>892222.986581871</v>
      </c>
      <c r="S58" s="10" t="str">
        <f aca="false">"FY "&amp;(YEAR(B58)-(MONTH(B58)&lt;4))&amp;"-"&amp;RIGHT(YEAR(B58)-(MONTH(B58)&lt;4)+1,2)</f>
        <v>FY 2030-31</v>
      </c>
    </row>
    <row r="59" customFormat="false" ht="15" hidden="false" customHeight="false" outlineLevel="0" collapsed="false">
      <c r="A59" s="22" t="n">
        <v>51</v>
      </c>
      <c r="B59" s="24" t="n">
        <f aca="false">EDATE(Inputs!$C$6,A59-1)</f>
        <v>47635</v>
      </c>
      <c r="C59" s="24" t="n">
        <f aca="false">EDATE(Inputs!$C$6,A59)-1</f>
        <v>47664</v>
      </c>
      <c r="D59" s="10" t="str">
        <f aca="false">IF(A59&lt;=Inputs!$C$7,"Yes","No")</f>
        <v>Yes</v>
      </c>
      <c r="E59" s="27" t="n">
        <f aca="false">IF(N(Inputs!$C$12)=0,1,(1+Inputs!$C$11)^INT((A59-1)/Inputs!$C$12))</f>
        <v>1.21550625</v>
      </c>
      <c r="F59" s="28" t="n">
        <f aca="false">IF(AND(D59="Yes",Inputs!$C$10="Advance",MOD(A59-1,Inputs!$C$22)=0),Inputs!$C$8*E59,0)</f>
        <v>121550.625</v>
      </c>
      <c r="G59" s="28" t="n">
        <f aca="false">IF(AND(D59="Yes",Inputs!$C$10="Arrears",MOD(A59,Inputs!$C$22)=0),Inputs!$C$8*IF(N(Inputs!$C$12)=0,1,(1+Inputs!$C$11)^INT((A59-Inputs!$C$22)/Inputs!$C$12)),0)</f>
        <v>0</v>
      </c>
      <c r="H59" s="29" t="n">
        <f aca="false">1/(1+Inputs!$C$23)^(A59-1)</f>
        <v>0.685132396190795</v>
      </c>
      <c r="I59" s="29" t="n">
        <f aca="false">1/(1+Inputs!$C$23)^A59</f>
        <v>0.679970377751514</v>
      </c>
      <c r="J59" s="30" t="n">
        <f aca="false">F59*H59+G59*I59</f>
        <v>83278.2709647387</v>
      </c>
      <c r="K59" s="30" t="n">
        <f aca="false">M58</f>
        <v>1175112.27512822</v>
      </c>
      <c r="L59" s="30" t="n">
        <f aca="false">IF(D59="Yes",(K59-F59)*Inputs!$C$23,0)</f>
        <v>7998.14939419112</v>
      </c>
      <c r="M59" s="30" t="n">
        <f aca="false">K59-F59+L59-G59</f>
        <v>1061559.79952241</v>
      </c>
      <c r="N59" s="30" t="n">
        <f aca="false">F59+G59</f>
        <v>121550.625</v>
      </c>
      <c r="O59" s="30" t="n">
        <f aca="false">N59-L59</f>
        <v>113552.475605809</v>
      </c>
      <c r="P59" s="30" t="n">
        <f aca="false">R58</f>
        <v>892222.986581871</v>
      </c>
      <c r="Q59" s="30" t="n">
        <f aca="false">IF(A59&lt;=Inputs!$C$24,Inputs!$C$29/Inputs!$C$24,0)</f>
        <v>89222.298658187</v>
      </c>
      <c r="R59" s="30" t="n">
        <f aca="false">P59-Q59</f>
        <v>803000.687923684</v>
      </c>
      <c r="S59" s="10" t="str">
        <f aca="false">"FY "&amp;(YEAR(B59)-(MONTH(B59)&lt;4))&amp;"-"&amp;RIGHT(YEAR(B59)-(MONTH(B59)&lt;4)+1,2)</f>
        <v>FY 2030-31</v>
      </c>
    </row>
    <row r="60" customFormat="false" ht="15" hidden="false" customHeight="false" outlineLevel="0" collapsed="false">
      <c r="A60" s="22" t="n">
        <v>52</v>
      </c>
      <c r="B60" s="24" t="n">
        <f aca="false">EDATE(Inputs!$C$6,A60-1)</f>
        <v>47665</v>
      </c>
      <c r="C60" s="24" t="n">
        <f aca="false">EDATE(Inputs!$C$6,A60)-1</f>
        <v>47695</v>
      </c>
      <c r="D60" s="10" t="str">
        <f aca="false">IF(A60&lt;=Inputs!$C$7,"Yes","No")</f>
        <v>Yes</v>
      </c>
      <c r="E60" s="27" t="n">
        <f aca="false">IF(N(Inputs!$C$12)=0,1,(1+Inputs!$C$11)^INT((A60-1)/Inputs!$C$12))</f>
        <v>1.21550625</v>
      </c>
      <c r="F60" s="28" t="n">
        <f aca="false">IF(AND(D60="Yes",Inputs!$C$10="Advance",MOD(A60-1,Inputs!$C$22)=0),Inputs!$C$8*E60,0)</f>
        <v>121550.625</v>
      </c>
      <c r="G60" s="28" t="n">
        <f aca="false">IF(AND(D60="Yes",Inputs!$C$10="Arrears",MOD(A60,Inputs!$C$22)=0),Inputs!$C$8*IF(N(Inputs!$C$12)=0,1,(1+Inputs!$C$11)^INT((A60-Inputs!$C$22)/Inputs!$C$12)),0)</f>
        <v>0</v>
      </c>
      <c r="H60" s="29" t="n">
        <f aca="false">1/(1+Inputs!$C$23)^(A60-1)</f>
        <v>0.679970377751514</v>
      </c>
      <c r="I60" s="29" t="n">
        <f aca="false">1/(1+Inputs!$C$23)^A60</f>
        <v>0.674847251699333</v>
      </c>
      <c r="J60" s="30" t="n">
        <f aca="false">F60*H60+G60*I60</f>
        <v>82650.8243971826</v>
      </c>
      <c r="K60" s="30" t="n">
        <f aca="false">M59</f>
        <v>1061559.79952241</v>
      </c>
      <c r="L60" s="30" t="n">
        <f aca="false">IF(D60="Yes",(K60-F60)*Inputs!$C$23,0)</f>
        <v>7136.11188184908</v>
      </c>
      <c r="M60" s="30" t="n">
        <f aca="false">K60-F60+L60-G60</f>
        <v>947145.286404258</v>
      </c>
      <c r="N60" s="30" t="n">
        <f aca="false">F60+G60</f>
        <v>121550.625</v>
      </c>
      <c r="O60" s="30" t="n">
        <f aca="false">N60-L60</f>
        <v>114414.513118151</v>
      </c>
      <c r="P60" s="30" t="n">
        <f aca="false">R59</f>
        <v>803000.687923684</v>
      </c>
      <c r="Q60" s="30" t="n">
        <f aca="false">IF(A60&lt;=Inputs!$C$24,Inputs!$C$29/Inputs!$C$24,0)</f>
        <v>89222.298658187</v>
      </c>
      <c r="R60" s="30" t="n">
        <f aca="false">P60-Q60</f>
        <v>713778.389265497</v>
      </c>
      <c r="S60" s="10" t="str">
        <f aca="false">"FY "&amp;(YEAR(B60)-(MONTH(B60)&lt;4))&amp;"-"&amp;RIGHT(YEAR(B60)-(MONTH(B60)&lt;4)+1,2)</f>
        <v>FY 2030-31</v>
      </c>
    </row>
    <row r="61" customFormat="false" ht="15" hidden="false" customHeight="false" outlineLevel="0" collapsed="false">
      <c r="A61" s="22" t="n">
        <v>53</v>
      </c>
      <c r="B61" s="24" t="n">
        <f aca="false">EDATE(Inputs!$C$6,A61-1)</f>
        <v>47696</v>
      </c>
      <c r="C61" s="24" t="n">
        <f aca="false">EDATE(Inputs!$C$6,A61)-1</f>
        <v>47726</v>
      </c>
      <c r="D61" s="10" t="str">
        <f aca="false">IF(A61&lt;=Inputs!$C$7,"Yes","No")</f>
        <v>Yes</v>
      </c>
      <c r="E61" s="27" t="n">
        <f aca="false">IF(N(Inputs!$C$12)=0,1,(1+Inputs!$C$11)^INT((A61-1)/Inputs!$C$12))</f>
        <v>1.21550625</v>
      </c>
      <c r="F61" s="28" t="n">
        <f aca="false">IF(AND(D61="Yes",Inputs!$C$10="Advance",MOD(A61-1,Inputs!$C$22)=0),Inputs!$C$8*E61,0)</f>
        <v>121550.625</v>
      </c>
      <c r="G61" s="28" t="n">
        <f aca="false">IF(AND(D61="Yes",Inputs!$C$10="Arrears",MOD(A61,Inputs!$C$22)=0),Inputs!$C$8*IF(N(Inputs!$C$12)=0,1,(1+Inputs!$C$11)^INT((A61-Inputs!$C$22)/Inputs!$C$12)),0)</f>
        <v>0</v>
      </c>
      <c r="H61" s="29" t="n">
        <f aca="false">1/(1+Inputs!$C$23)^(A61-1)</f>
        <v>0.674847251699333</v>
      </c>
      <c r="I61" s="29" t="n">
        <f aca="false">1/(1+Inputs!$C$23)^A61</f>
        <v>0.669762725005897</v>
      </c>
      <c r="J61" s="30" t="n">
        <f aca="false">F61*H61+G61*I61</f>
        <v>82028.1052235862</v>
      </c>
      <c r="K61" s="30" t="n">
        <f aca="false">M60</f>
        <v>947145.286404258</v>
      </c>
      <c r="L61" s="30" t="n">
        <f aca="false">IF(D61="Yes",(K61-F61)*Inputs!$C$23,0)</f>
        <v>6267.53018217233</v>
      </c>
      <c r="M61" s="30" t="n">
        <f aca="false">K61-F61+L61-G61</f>
        <v>831862.19158643</v>
      </c>
      <c r="N61" s="30" t="n">
        <f aca="false">F61+G61</f>
        <v>121550.625</v>
      </c>
      <c r="O61" s="30" t="n">
        <f aca="false">N61-L61</f>
        <v>115283.094817828</v>
      </c>
      <c r="P61" s="30" t="n">
        <f aca="false">R60</f>
        <v>713778.389265497</v>
      </c>
      <c r="Q61" s="30" t="n">
        <f aca="false">IF(A61&lt;=Inputs!$C$24,Inputs!$C$29/Inputs!$C$24,0)</f>
        <v>89222.298658187</v>
      </c>
      <c r="R61" s="30" t="n">
        <f aca="false">P61-Q61</f>
        <v>624556.09060731</v>
      </c>
      <c r="S61" s="10" t="str">
        <f aca="false">"FY "&amp;(YEAR(B61)-(MONTH(B61)&lt;4))&amp;"-"&amp;RIGHT(YEAR(B61)-(MONTH(B61)&lt;4)+1,2)</f>
        <v>FY 2030-31</v>
      </c>
    </row>
    <row r="62" customFormat="false" ht="15" hidden="false" customHeight="false" outlineLevel="0" collapsed="false">
      <c r="A62" s="22" t="n">
        <v>54</v>
      </c>
      <c r="B62" s="24" t="n">
        <f aca="false">EDATE(Inputs!$C$6,A62-1)</f>
        <v>47727</v>
      </c>
      <c r="C62" s="24" t="n">
        <f aca="false">EDATE(Inputs!$C$6,A62)-1</f>
        <v>47756</v>
      </c>
      <c r="D62" s="10" t="str">
        <f aca="false">IF(A62&lt;=Inputs!$C$7,"Yes","No")</f>
        <v>Yes</v>
      </c>
      <c r="E62" s="27" t="n">
        <f aca="false">IF(N(Inputs!$C$12)=0,1,(1+Inputs!$C$11)^INT((A62-1)/Inputs!$C$12))</f>
        <v>1.21550625</v>
      </c>
      <c r="F62" s="28" t="n">
        <f aca="false">IF(AND(D62="Yes",Inputs!$C$10="Advance",MOD(A62-1,Inputs!$C$22)=0),Inputs!$C$8*E62,0)</f>
        <v>121550.625</v>
      </c>
      <c r="G62" s="28" t="n">
        <f aca="false">IF(AND(D62="Yes",Inputs!$C$10="Arrears",MOD(A62,Inputs!$C$22)=0),Inputs!$C$8*IF(N(Inputs!$C$12)=0,1,(1+Inputs!$C$11)^INT((A62-Inputs!$C$22)/Inputs!$C$12)),0)</f>
        <v>0</v>
      </c>
      <c r="H62" s="29" t="n">
        <f aca="false">1/(1+Inputs!$C$23)^(A62-1)</f>
        <v>0.669762725005897</v>
      </c>
      <c r="I62" s="29" t="n">
        <f aca="false">1/(1+Inputs!$C$23)^A62</f>
        <v>0.664716506850624</v>
      </c>
      <c r="J62" s="30" t="n">
        <f aca="false">F62*H62+G62*I62</f>
        <v>81410.0778261699</v>
      </c>
      <c r="K62" s="30" t="n">
        <f aca="false">M61</f>
        <v>831862.19158643</v>
      </c>
      <c r="L62" s="30" t="n">
        <f aca="false">IF(D62="Yes",(K62-F62)*Inputs!$C$23,0)</f>
        <v>5392.35461473831</v>
      </c>
      <c r="M62" s="30" t="n">
        <f aca="false">K62-F62+L62-G62</f>
        <v>715703.921201168</v>
      </c>
      <c r="N62" s="30" t="n">
        <f aca="false">F62+G62</f>
        <v>121550.625</v>
      </c>
      <c r="O62" s="30" t="n">
        <f aca="false">N62-L62</f>
        <v>116158.270385262</v>
      </c>
      <c r="P62" s="30" t="n">
        <f aca="false">R61</f>
        <v>624556.09060731</v>
      </c>
      <c r="Q62" s="30" t="n">
        <f aca="false">IF(A62&lt;=Inputs!$C$24,Inputs!$C$29/Inputs!$C$24,0)</f>
        <v>89222.298658187</v>
      </c>
      <c r="R62" s="30" t="n">
        <f aca="false">P62-Q62</f>
        <v>535333.791949123</v>
      </c>
      <c r="S62" s="10" t="str">
        <f aca="false">"FY "&amp;(YEAR(B62)-(MONTH(B62)&lt;4))&amp;"-"&amp;RIGHT(YEAR(B62)-(MONTH(B62)&lt;4)+1,2)</f>
        <v>FY 2030-31</v>
      </c>
    </row>
    <row r="63" customFormat="false" ht="15" hidden="false" customHeight="false" outlineLevel="0" collapsed="false">
      <c r="A63" s="22" t="n">
        <v>55</v>
      </c>
      <c r="B63" s="24" t="n">
        <f aca="false">EDATE(Inputs!$C$6,A63-1)</f>
        <v>47757</v>
      </c>
      <c r="C63" s="24" t="n">
        <f aca="false">EDATE(Inputs!$C$6,A63)-1</f>
        <v>47787</v>
      </c>
      <c r="D63" s="10" t="str">
        <f aca="false">IF(A63&lt;=Inputs!$C$7,"Yes","No")</f>
        <v>Yes</v>
      </c>
      <c r="E63" s="27" t="n">
        <f aca="false">IF(N(Inputs!$C$12)=0,1,(1+Inputs!$C$11)^INT((A63-1)/Inputs!$C$12))</f>
        <v>1.21550625</v>
      </c>
      <c r="F63" s="28" t="n">
        <f aca="false">IF(AND(D63="Yes",Inputs!$C$10="Advance",MOD(A63-1,Inputs!$C$22)=0),Inputs!$C$8*E63,0)</f>
        <v>121550.625</v>
      </c>
      <c r="G63" s="28" t="n">
        <f aca="false">IF(AND(D63="Yes",Inputs!$C$10="Arrears",MOD(A63,Inputs!$C$22)=0),Inputs!$C$8*IF(N(Inputs!$C$12)=0,1,(1+Inputs!$C$11)^INT((A63-Inputs!$C$22)/Inputs!$C$12)),0)</f>
        <v>0</v>
      </c>
      <c r="H63" s="29" t="n">
        <f aca="false">1/(1+Inputs!$C$23)^(A63-1)</f>
        <v>0.664716506850624</v>
      </c>
      <c r="I63" s="29" t="n">
        <f aca="false">1/(1+Inputs!$C$23)^A63</f>
        <v>0.659708308604074</v>
      </c>
      <c r="J63" s="30" t="n">
        <f aca="false">F63*H63+G63*I63</f>
        <v>80796.7068555101</v>
      </c>
      <c r="K63" s="30" t="n">
        <f aca="false">M62</f>
        <v>715703.921201168</v>
      </c>
      <c r="L63" s="30" t="n">
        <f aca="false">IF(D63="Yes",(K63-F63)*Inputs!$C$23,0)</f>
        <v>4510.53512197383</v>
      </c>
      <c r="M63" s="30" t="n">
        <f aca="false">K63-F63+L63-G63</f>
        <v>598663.831323142</v>
      </c>
      <c r="N63" s="30" t="n">
        <f aca="false">F63+G63</f>
        <v>121550.625</v>
      </c>
      <c r="O63" s="30" t="n">
        <f aca="false">N63-L63</f>
        <v>117040.089878026</v>
      </c>
      <c r="P63" s="30" t="n">
        <f aca="false">R62</f>
        <v>535333.791949123</v>
      </c>
      <c r="Q63" s="30" t="n">
        <f aca="false">IF(A63&lt;=Inputs!$C$24,Inputs!$C$29/Inputs!$C$24,0)</f>
        <v>89222.298658187</v>
      </c>
      <c r="R63" s="30" t="n">
        <f aca="false">P63-Q63</f>
        <v>446111.493290936</v>
      </c>
      <c r="S63" s="10" t="str">
        <f aca="false">"FY "&amp;(YEAR(B63)-(MONTH(B63)&lt;4))&amp;"-"&amp;RIGHT(YEAR(B63)-(MONTH(B63)&lt;4)+1,2)</f>
        <v>FY 2030-31</v>
      </c>
    </row>
    <row r="64" customFormat="false" ht="15" hidden="false" customHeight="false" outlineLevel="0" collapsed="false">
      <c r="A64" s="22" t="n">
        <v>56</v>
      </c>
      <c r="B64" s="24" t="n">
        <f aca="false">EDATE(Inputs!$C$6,A64-1)</f>
        <v>47788</v>
      </c>
      <c r="C64" s="24" t="n">
        <f aca="false">EDATE(Inputs!$C$6,A64)-1</f>
        <v>47817</v>
      </c>
      <c r="D64" s="10" t="str">
        <f aca="false">IF(A64&lt;=Inputs!$C$7,"Yes","No")</f>
        <v>Yes</v>
      </c>
      <c r="E64" s="27" t="n">
        <f aca="false">IF(N(Inputs!$C$12)=0,1,(1+Inputs!$C$11)^INT((A64-1)/Inputs!$C$12))</f>
        <v>1.21550625</v>
      </c>
      <c r="F64" s="28" t="n">
        <f aca="false">IF(AND(D64="Yes",Inputs!$C$10="Advance",MOD(A64-1,Inputs!$C$22)=0),Inputs!$C$8*E64,0)</f>
        <v>121550.625</v>
      </c>
      <c r="G64" s="28" t="n">
        <f aca="false">IF(AND(D64="Yes",Inputs!$C$10="Arrears",MOD(A64,Inputs!$C$22)=0),Inputs!$C$8*IF(N(Inputs!$C$12)=0,1,(1+Inputs!$C$11)^INT((A64-Inputs!$C$22)/Inputs!$C$12)),0)</f>
        <v>0</v>
      </c>
      <c r="H64" s="29" t="n">
        <f aca="false">1/(1+Inputs!$C$23)^(A64-1)</f>
        <v>0.659708308604074</v>
      </c>
      <c r="I64" s="29" t="n">
        <f aca="false">1/(1+Inputs!$C$23)^A64</f>
        <v>0.654737843811437</v>
      </c>
      <c r="J64" s="30" t="n">
        <f aca="false">F64*H64+G64*I64</f>
        <v>80187.9572285181</v>
      </c>
      <c r="K64" s="30" t="n">
        <f aca="false">M63</f>
        <v>598663.831323142</v>
      </c>
      <c r="L64" s="30" t="n">
        <f aca="false">IF(D64="Yes",(K64-F64)*Inputs!$C$23,0)</f>
        <v>3622.02126629193</v>
      </c>
      <c r="M64" s="30" t="n">
        <f aca="false">K64-F64+L64-G64</f>
        <v>480735.227589434</v>
      </c>
      <c r="N64" s="30" t="n">
        <f aca="false">F64+G64</f>
        <v>121550.625</v>
      </c>
      <c r="O64" s="30" t="n">
        <f aca="false">N64-L64</f>
        <v>117928.603733708</v>
      </c>
      <c r="P64" s="30" t="n">
        <f aca="false">R63</f>
        <v>446111.493290936</v>
      </c>
      <c r="Q64" s="30" t="n">
        <f aca="false">IF(A64&lt;=Inputs!$C$24,Inputs!$C$29/Inputs!$C$24,0)</f>
        <v>89222.298658187</v>
      </c>
      <c r="R64" s="30" t="n">
        <f aca="false">P64-Q64</f>
        <v>356889.194632749</v>
      </c>
      <c r="S64" s="10" t="str">
        <f aca="false">"FY "&amp;(YEAR(B64)-(MONTH(B64)&lt;4))&amp;"-"&amp;RIGHT(YEAR(B64)-(MONTH(B64)&lt;4)+1,2)</f>
        <v>FY 2030-31</v>
      </c>
    </row>
    <row r="65" customFormat="false" ht="15" hidden="false" customHeight="false" outlineLevel="0" collapsed="false">
      <c r="A65" s="22" t="n">
        <v>57</v>
      </c>
      <c r="B65" s="24" t="n">
        <f aca="false">EDATE(Inputs!$C$6,A65-1)</f>
        <v>47818</v>
      </c>
      <c r="C65" s="24" t="n">
        <f aca="false">EDATE(Inputs!$C$6,A65)-1</f>
        <v>47848</v>
      </c>
      <c r="D65" s="10" t="str">
        <f aca="false">IF(A65&lt;=Inputs!$C$7,"Yes","No")</f>
        <v>Yes</v>
      </c>
      <c r="E65" s="27" t="n">
        <f aca="false">IF(N(Inputs!$C$12)=0,1,(1+Inputs!$C$11)^INT((A65-1)/Inputs!$C$12))</f>
        <v>1.21550625</v>
      </c>
      <c r="F65" s="28" t="n">
        <f aca="false">IF(AND(D65="Yes",Inputs!$C$10="Advance",MOD(A65-1,Inputs!$C$22)=0),Inputs!$C$8*E65,0)</f>
        <v>121550.625</v>
      </c>
      <c r="G65" s="28" t="n">
        <f aca="false">IF(AND(D65="Yes",Inputs!$C$10="Arrears",MOD(A65,Inputs!$C$22)=0),Inputs!$C$8*IF(N(Inputs!$C$12)=0,1,(1+Inputs!$C$11)^INT((A65-Inputs!$C$22)/Inputs!$C$12)),0)</f>
        <v>0</v>
      </c>
      <c r="H65" s="29" t="n">
        <f aca="false">1/(1+Inputs!$C$23)^(A65-1)</f>
        <v>0.654737843811437</v>
      </c>
      <c r="I65" s="29" t="n">
        <f aca="false">1/(1+Inputs!$C$23)^A65</f>
        <v>0.649804828176152</v>
      </c>
      <c r="J65" s="30" t="n">
        <f aca="false">F65*H65+G65*I65</f>
        <v>79583.7941264326</v>
      </c>
      <c r="K65" s="30" t="n">
        <f aca="false">M64</f>
        <v>480735.227589434</v>
      </c>
      <c r="L65" s="30" t="n">
        <f aca="false">IF(D65="Yes",(K65-F65)*Inputs!$C$23,0)</f>
        <v>2726.76222720696</v>
      </c>
      <c r="M65" s="30" t="n">
        <f aca="false">K65-F65+L65-G65</f>
        <v>361911.364816641</v>
      </c>
      <c r="N65" s="30" t="n">
        <f aca="false">F65+G65</f>
        <v>121550.625</v>
      </c>
      <c r="O65" s="30" t="n">
        <f aca="false">N65-L65</f>
        <v>118823.862772793</v>
      </c>
      <c r="P65" s="30" t="n">
        <f aca="false">R64</f>
        <v>356889.194632749</v>
      </c>
      <c r="Q65" s="30" t="n">
        <f aca="false">IF(A65&lt;=Inputs!$C$24,Inputs!$C$29/Inputs!$C$24,0)</f>
        <v>89222.298658187</v>
      </c>
      <c r="R65" s="30" t="n">
        <f aca="false">P65-Q65</f>
        <v>267666.895974562</v>
      </c>
      <c r="S65" s="10" t="str">
        <f aca="false">"FY "&amp;(YEAR(B65)-(MONTH(B65)&lt;4))&amp;"-"&amp;RIGHT(YEAR(B65)-(MONTH(B65)&lt;4)+1,2)</f>
        <v>FY 2030-31</v>
      </c>
    </row>
    <row r="66" customFormat="false" ht="15" hidden="false" customHeight="false" outlineLevel="0" collapsed="false">
      <c r="A66" s="22" t="n">
        <v>58</v>
      </c>
      <c r="B66" s="24" t="n">
        <f aca="false">EDATE(Inputs!$C$6,A66-1)</f>
        <v>47849</v>
      </c>
      <c r="C66" s="24" t="n">
        <f aca="false">EDATE(Inputs!$C$6,A66)-1</f>
        <v>47879</v>
      </c>
      <c r="D66" s="10" t="str">
        <f aca="false">IF(A66&lt;=Inputs!$C$7,"Yes","No")</f>
        <v>Yes</v>
      </c>
      <c r="E66" s="27" t="n">
        <f aca="false">IF(N(Inputs!$C$12)=0,1,(1+Inputs!$C$11)^INT((A66-1)/Inputs!$C$12))</f>
        <v>1.21550625</v>
      </c>
      <c r="F66" s="28" t="n">
        <f aca="false">IF(AND(D66="Yes",Inputs!$C$10="Advance",MOD(A66-1,Inputs!$C$22)=0),Inputs!$C$8*E66,0)</f>
        <v>121550.625</v>
      </c>
      <c r="G66" s="28" t="n">
        <f aca="false">IF(AND(D66="Yes",Inputs!$C$10="Arrears",MOD(A66,Inputs!$C$22)=0),Inputs!$C$8*IF(N(Inputs!$C$12)=0,1,(1+Inputs!$C$11)^INT((A66-Inputs!$C$22)/Inputs!$C$12)),0)</f>
        <v>0</v>
      </c>
      <c r="H66" s="29" t="n">
        <f aca="false">1/(1+Inputs!$C$23)^(A66-1)</f>
        <v>0.649804828176152</v>
      </c>
      <c r="I66" s="29" t="n">
        <f aca="false">1/(1+Inputs!$C$23)^A66</f>
        <v>0.644908979543642</v>
      </c>
      <c r="J66" s="30" t="n">
        <f aca="false">F66*H66+G66*I66</f>
        <v>78984.1829928289</v>
      </c>
      <c r="K66" s="30" t="n">
        <f aca="false">M65</f>
        <v>361911.364816641</v>
      </c>
      <c r="L66" s="30" t="n">
        <f aca="false">IF(D66="Yes",(K66-F66)*Inputs!$C$23,0)</f>
        <v>1824.70679842782</v>
      </c>
      <c r="M66" s="30" t="n">
        <f aca="false">K66-F66+L66-G66</f>
        <v>242185.446615069</v>
      </c>
      <c r="N66" s="30" t="n">
        <f aca="false">F66+G66</f>
        <v>121550.625</v>
      </c>
      <c r="O66" s="30" t="n">
        <f aca="false">N66-L66</f>
        <v>119725.918201572</v>
      </c>
      <c r="P66" s="30" t="n">
        <f aca="false">R65</f>
        <v>267666.895974562</v>
      </c>
      <c r="Q66" s="30" t="n">
        <f aca="false">IF(A66&lt;=Inputs!$C$24,Inputs!$C$29/Inputs!$C$24,0)</f>
        <v>89222.298658187</v>
      </c>
      <c r="R66" s="30" t="n">
        <f aca="false">P66-Q66</f>
        <v>178444.597316375</v>
      </c>
      <c r="S66" s="10" t="str">
        <f aca="false">"FY "&amp;(YEAR(B66)-(MONTH(B66)&lt;4))&amp;"-"&amp;RIGHT(YEAR(B66)-(MONTH(B66)&lt;4)+1,2)</f>
        <v>FY 2030-31</v>
      </c>
    </row>
    <row r="67" customFormat="false" ht="15" hidden="false" customHeight="false" outlineLevel="0" collapsed="false">
      <c r="A67" s="22" t="n">
        <v>59</v>
      </c>
      <c r="B67" s="24" t="n">
        <f aca="false">EDATE(Inputs!$C$6,A67-1)</f>
        <v>47880</v>
      </c>
      <c r="C67" s="24" t="n">
        <f aca="false">EDATE(Inputs!$C$6,A67)-1</f>
        <v>47907</v>
      </c>
      <c r="D67" s="10" t="str">
        <f aca="false">IF(A67&lt;=Inputs!$C$7,"Yes","No")</f>
        <v>Yes</v>
      </c>
      <c r="E67" s="27" t="n">
        <f aca="false">IF(N(Inputs!$C$12)=0,1,(1+Inputs!$C$11)^INT((A67-1)/Inputs!$C$12))</f>
        <v>1.21550625</v>
      </c>
      <c r="F67" s="28" t="n">
        <f aca="false">IF(AND(D67="Yes",Inputs!$C$10="Advance",MOD(A67-1,Inputs!$C$22)=0),Inputs!$C$8*E67,0)</f>
        <v>121550.625</v>
      </c>
      <c r="G67" s="28" t="n">
        <f aca="false">IF(AND(D67="Yes",Inputs!$C$10="Arrears",MOD(A67,Inputs!$C$22)=0),Inputs!$C$8*IF(N(Inputs!$C$12)=0,1,(1+Inputs!$C$11)^INT((A67-Inputs!$C$22)/Inputs!$C$12)),0)</f>
        <v>0</v>
      </c>
      <c r="H67" s="29" t="n">
        <f aca="false">1/(1+Inputs!$C$23)^(A67-1)</f>
        <v>0.644908979543642</v>
      </c>
      <c r="I67" s="29" t="n">
        <f aca="false">1/(1+Inputs!$C$23)^A67</f>
        <v>0.640050017885178</v>
      </c>
      <c r="J67" s="30" t="n">
        <f aca="false">F67*H67+G67*I67</f>
        <v>78389.0895316419</v>
      </c>
      <c r="K67" s="30" t="n">
        <f aca="false">M66</f>
        <v>242185.446615069</v>
      </c>
      <c r="L67" s="30" t="n">
        <f aca="false">IF(D67="Yes",(K67-F67)*Inputs!$C$23,0)</f>
        <v>915.803384929105</v>
      </c>
      <c r="M67" s="30" t="n">
        <f aca="false">K67-F67+L67-G67</f>
        <v>121550.624999998</v>
      </c>
      <c r="N67" s="30" t="n">
        <f aca="false">F67+G67</f>
        <v>121550.625</v>
      </c>
      <c r="O67" s="30" t="n">
        <f aca="false">N67-L67</f>
        <v>120634.821615071</v>
      </c>
      <c r="P67" s="30" t="n">
        <f aca="false">R66</f>
        <v>178444.597316375</v>
      </c>
      <c r="Q67" s="30" t="n">
        <f aca="false">IF(A67&lt;=Inputs!$C$24,Inputs!$C$29/Inputs!$C$24,0)</f>
        <v>89222.298658187</v>
      </c>
      <c r="R67" s="30" t="n">
        <f aca="false">P67-Q67</f>
        <v>89222.2986581883</v>
      </c>
      <c r="S67" s="10" t="str">
        <f aca="false">"FY "&amp;(YEAR(B67)-(MONTH(B67)&lt;4))&amp;"-"&amp;RIGHT(YEAR(B67)-(MONTH(B67)&lt;4)+1,2)</f>
        <v>FY 2030-31</v>
      </c>
    </row>
    <row r="68" customFormat="false" ht="15" hidden="false" customHeight="false" outlineLevel="0" collapsed="false">
      <c r="A68" s="22" t="n">
        <v>60</v>
      </c>
      <c r="B68" s="24" t="n">
        <f aca="false">EDATE(Inputs!$C$6,A68-1)</f>
        <v>47908</v>
      </c>
      <c r="C68" s="24" t="n">
        <f aca="false">EDATE(Inputs!$C$6,A68)-1</f>
        <v>47938</v>
      </c>
      <c r="D68" s="10" t="str">
        <f aca="false">IF(A68&lt;=Inputs!$C$7,"Yes","No")</f>
        <v>Yes</v>
      </c>
      <c r="E68" s="27" t="n">
        <f aca="false">IF(N(Inputs!$C$12)=0,1,(1+Inputs!$C$11)^INT((A68-1)/Inputs!$C$12))</f>
        <v>1.21550625</v>
      </c>
      <c r="F68" s="28" t="n">
        <f aca="false">IF(AND(D68="Yes",Inputs!$C$10="Advance",MOD(A68-1,Inputs!$C$22)=0),Inputs!$C$8*E68,0)</f>
        <v>121550.625</v>
      </c>
      <c r="G68" s="28" t="n">
        <f aca="false">IF(AND(D68="Yes",Inputs!$C$10="Arrears",MOD(A68,Inputs!$C$22)=0),Inputs!$C$8*IF(N(Inputs!$C$12)=0,1,(1+Inputs!$C$11)^INT((A68-Inputs!$C$22)/Inputs!$C$12)),0)</f>
        <v>0</v>
      </c>
      <c r="H68" s="29" t="n">
        <f aca="false">1/(1+Inputs!$C$23)^(A68-1)</f>
        <v>0.640050017885178</v>
      </c>
      <c r="I68" s="29" t="n">
        <f aca="false">1/(1+Inputs!$C$23)^A68</f>
        <v>0.635227665281864</v>
      </c>
      <c r="J68" s="30" t="n">
        <f aca="false">F68*H68+G68*I68</f>
        <v>77798.4797052046</v>
      </c>
      <c r="K68" s="30" t="n">
        <f aca="false">M67</f>
        <v>121550.624999998</v>
      </c>
      <c r="L68" s="30" t="n">
        <f aca="false">IF(D68="Yes",(K68-F68)*Inputs!$C$23,0)</f>
        <v>-1.7454475425068E-011</v>
      </c>
      <c r="M68" s="30" t="n">
        <f aca="false">K68-F68+L68-G68</f>
        <v>-2.31665708150703E-009</v>
      </c>
      <c r="N68" s="30" t="n">
        <f aca="false">F68+G68</f>
        <v>121550.625</v>
      </c>
      <c r="O68" s="30" t="n">
        <f aca="false">N68-L68</f>
        <v>121550.625</v>
      </c>
      <c r="P68" s="30" t="n">
        <f aca="false">R67</f>
        <v>89222.2986581883</v>
      </c>
      <c r="Q68" s="30" t="n">
        <f aca="false">IF(A68&lt;=Inputs!$C$24,Inputs!$C$29/Inputs!$C$24,0)</f>
        <v>89222.298658187</v>
      </c>
      <c r="R68" s="30" t="n">
        <f aca="false">P68-Q68</f>
        <v>1.30967237055302E-009</v>
      </c>
      <c r="S68" s="10" t="str">
        <f aca="false">"FY "&amp;(YEAR(B68)-(MONTH(B68)&lt;4))&amp;"-"&amp;RIGHT(YEAR(B68)-(MONTH(B68)&lt;4)+1,2)</f>
        <v>FY 2030-31</v>
      </c>
    </row>
    <row r="69" customFormat="false" ht="15" hidden="false" customHeight="false" outlineLevel="0" collapsed="false">
      <c r="A69" s="22" t="n">
        <v>61</v>
      </c>
      <c r="B69" s="24" t="n">
        <f aca="false">EDATE(Inputs!$C$6,A69-1)</f>
        <v>47939</v>
      </c>
      <c r="C69" s="24" t="n">
        <f aca="false">EDATE(Inputs!$C$6,A69)-1</f>
        <v>47968</v>
      </c>
      <c r="D69" s="10" t="str">
        <f aca="false">IF(A69&lt;=Inputs!$C$7,"Yes","No")</f>
        <v>No</v>
      </c>
      <c r="E69" s="27" t="n">
        <f aca="false">IF(N(Inputs!$C$12)=0,1,(1+Inputs!$C$11)^INT((A69-1)/Inputs!$C$12))</f>
        <v>1.2762815625</v>
      </c>
      <c r="F69" s="28" t="n">
        <f aca="false">IF(AND(D69="Yes",Inputs!$C$10="Advance",MOD(A69-1,Inputs!$C$22)=0),Inputs!$C$8*E69,0)</f>
        <v>0</v>
      </c>
      <c r="G69" s="28" t="n">
        <f aca="false">IF(AND(D69="Yes",Inputs!$C$10="Arrears",MOD(A69,Inputs!$C$22)=0),Inputs!$C$8*IF(N(Inputs!$C$12)=0,1,(1+Inputs!$C$11)^INT((A69-Inputs!$C$22)/Inputs!$C$12)),0)</f>
        <v>0</v>
      </c>
      <c r="H69" s="29" t="n">
        <f aca="false">1/(1+Inputs!$C$23)^(A69-1)</f>
        <v>0.635227665281864</v>
      </c>
      <c r="I69" s="29" t="n">
        <f aca="false">1/(1+Inputs!$C$23)^A69</f>
        <v>0.630441645908737</v>
      </c>
      <c r="J69" s="30" t="n">
        <f aca="false">F69*H69+G69*I69</f>
        <v>0</v>
      </c>
      <c r="K69" s="30" t="n">
        <f aca="false">M68</f>
        <v>-2.31665708150703E-009</v>
      </c>
      <c r="L69" s="30" t="n">
        <f aca="false">IF(D69="Yes",(K69-F69)*Inputs!$C$23,0)</f>
        <v>0</v>
      </c>
      <c r="M69" s="30" t="n">
        <f aca="false">K69-F69+L69-G69</f>
        <v>-2.31665708150703E-009</v>
      </c>
      <c r="N69" s="30" t="n">
        <f aca="false">F69+G69</f>
        <v>0</v>
      </c>
      <c r="O69" s="30" t="n">
        <f aca="false">N69-L69</f>
        <v>0</v>
      </c>
      <c r="P69" s="30" t="n">
        <f aca="false">R68</f>
        <v>1.30967237055302E-009</v>
      </c>
      <c r="Q69" s="30" t="n">
        <f aca="false">IF(A69&lt;=Inputs!$C$24,Inputs!$C$29/Inputs!$C$24,0)</f>
        <v>0</v>
      </c>
      <c r="R69" s="30" t="n">
        <f aca="false">P69-Q69</f>
        <v>1.30967237055302E-009</v>
      </c>
      <c r="S69" s="10" t="str">
        <f aca="false">"FY "&amp;(YEAR(B69)-(MONTH(B69)&lt;4))&amp;"-"&amp;RIGHT(YEAR(B69)-(MONTH(B69)&lt;4)+1,2)</f>
        <v>FY 2031-32</v>
      </c>
    </row>
    <row r="70" customFormat="false" ht="15" hidden="false" customHeight="false" outlineLevel="0" collapsed="false">
      <c r="A70" s="22" t="n">
        <v>62</v>
      </c>
      <c r="B70" s="24" t="n">
        <f aca="false">EDATE(Inputs!$C$6,A70-1)</f>
        <v>47969</v>
      </c>
      <c r="C70" s="24" t="n">
        <f aca="false">EDATE(Inputs!$C$6,A70)-1</f>
        <v>47999</v>
      </c>
      <c r="D70" s="10" t="str">
        <f aca="false">IF(A70&lt;=Inputs!$C$7,"Yes","No")</f>
        <v>No</v>
      </c>
      <c r="E70" s="27" t="n">
        <f aca="false">IF(N(Inputs!$C$12)=0,1,(1+Inputs!$C$11)^INT((A70-1)/Inputs!$C$12))</f>
        <v>1.2762815625</v>
      </c>
      <c r="F70" s="28" t="n">
        <f aca="false">IF(AND(D70="Yes",Inputs!$C$10="Advance",MOD(A70-1,Inputs!$C$22)=0),Inputs!$C$8*E70,0)</f>
        <v>0</v>
      </c>
      <c r="G70" s="28" t="n">
        <f aca="false">IF(AND(D70="Yes",Inputs!$C$10="Arrears",MOD(A70,Inputs!$C$22)=0),Inputs!$C$8*IF(N(Inputs!$C$12)=0,1,(1+Inputs!$C$11)^INT((A70-Inputs!$C$22)/Inputs!$C$12)),0)</f>
        <v>0</v>
      </c>
      <c r="H70" s="29" t="n">
        <f aca="false">1/(1+Inputs!$C$23)^(A70-1)</f>
        <v>0.630441645908737</v>
      </c>
      <c r="I70" s="29" t="n">
        <f aca="false">1/(1+Inputs!$C$23)^A70</f>
        <v>0.625691686018991</v>
      </c>
      <c r="J70" s="30" t="n">
        <f aca="false">F70*H70+G70*I70</f>
        <v>0</v>
      </c>
      <c r="K70" s="30" t="n">
        <f aca="false">M69</f>
        <v>-2.31665708150703E-009</v>
      </c>
      <c r="L70" s="30" t="n">
        <f aca="false">IF(D70="Yes",(K70-F70)*Inputs!$C$23,0)</f>
        <v>0</v>
      </c>
      <c r="M70" s="30" t="n">
        <f aca="false">K70-F70+L70-G70</f>
        <v>-2.31665708150703E-009</v>
      </c>
      <c r="N70" s="30" t="n">
        <f aca="false">F70+G70</f>
        <v>0</v>
      </c>
      <c r="O70" s="30" t="n">
        <f aca="false">N70-L70</f>
        <v>0</v>
      </c>
      <c r="P70" s="30" t="n">
        <f aca="false">R69</f>
        <v>1.30967237055302E-009</v>
      </c>
      <c r="Q70" s="30" t="n">
        <f aca="false">IF(A70&lt;=Inputs!$C$24,Inputs!$C$29/Inputs!$C$24,0)</f>
        <v>0</v>
      </c>
      <c r="R70" s="30" t="n">
        <f aca="false">P70-Q70</f>
        <v>1.30967237055302E-009</v>
      </c>
      <c r="S70" s="10" t="str">
        <f aca="false">"FY "&amp;(YEAR(B70)-(MONTH(B70)&lt;4))&amp;"-"&amp;RIGHT(YEAR(B70)-(MONTH(B70)&lt;4)+1,2)</f>
        <v>FY 2031-32</v>
      </c>
    </row>
    <row r="71" customFormat="false" ht="15" hidden="false" customHeight="false" outlineLevel="0" collapsed="false">
      <c r="A71" s="22" t="n">
        <v>63</v>
      </c>
      <c r="B71" s="24" t="n">
        <f aca="false">EDATE(Inputs!$C$6,A71-1)</f>
        <v>48000</v>
      </c>
      <c r="C71" s="24" t="n">
        <f aca="false">EDATE(Inputs!$C$6,A71)-1</f>
        <v>48029</v>
      </c>
      <c r="D71" s="10" t="str">
        <f aca="false">IF(A71&lt;=Inputs!$C$7,"Yes","No")</f>
        <v>No</v>
      </c>
      <c r="E71" s="27" t="n">
        <f aca="false">IF(N(Inputs!$C$12)=0,1,(1+Inputs!$C$11)^INT((A71-1)/Inputs!$C$12))</f>
        <v>1.2762815625</v>
      </c>
      <c r="F71" s="28" t="n">
        <f aca="false">IF(AND(D71="Yes",Inputs!$C$10="Advance",MOD(A71-1,Inputs!$C$22)=0),Inputs!$C$8*E71,0)</f>
        <v>0</v>
      </c>
      <c r="G71" s="28" t="n">
        <f aca="false">IF(AND(D71="Yes",Inputs!$C$10="Arrears",MOD(A71,Inputs!$C$22)=0),Inputs!$C$8*IF(N(Inputs!$C$12)=0,1,(1+Inputs!$C$11)^INT((A71-Inputs!$C$22)/Inputs!$C$12)),0)</f>
        <v>0</v>
      </c>
      <c r="H71" s="29" t="n">
        <f aca="false">1/(1+Inputs!$C$23)^(A71-1)</f>
        <v>0.625691686018991</v>
      </c>
      <c r="I71" s="29" t="n">
        <f aca="false">1/(1+Inputs!$C$23)^A71</f>
        <v>0.620977513928324</v>
      </c>
      <c r="J71" s="30" t="n">
        <f aca="false">F71*H71+G71*I71</f>
        <v>0</v>
      </c>
      <c r="K71" s="30" t="n">
        <f aca="false">M70</f>
        <v>-2.31665708150703E-009</v>
      </c>
      <c r="L71" s="30" t="n">
        <f aca="false">IF(D71="Yes",(K71-F71)*Inputs!$C$23,0)</f>
        <v>0</v>
      </c>
      <c r="M71" s="30" t="n">
        <f aca="false">K71-F71+L71-G71</f>
        <v>-2.31665708150703E-009</v>
      </c>
      <c r="N71" s="30" t="n">
        <f aca="false">F71+G71</f>
        <v>0</v>
      </c>
      <c r="O71" s="30" t="n">
        <f aca="false">N71-L71</f>
        <v>0</v>
      </c>
      <c r="P71" s="30" t="n">
        <f aca="false">R70</f>
        <v>1.30967237055302E-009</v>
      </c>
      <c r="Q71" s="30" t="n">
        <f aca="false">IF(A71&lt;=Inputs!$C$24,Inputs!$C$29/Inputs!$C$24,0)</f>
        <v>0</v>
      </c>
      <c r="R71" s="30" t="n">
        <f aca="false">P71-Q71</f>
        <v>1.30967237055302E-009</v>
      </c>
      <c r="S71" s="10" t="str">
        <f aca="false">"FY "&amp;(YEAR(B71)-(MONTH(B71)&lt;4))&amp;"-"&amp;RIGHT(YEAR(B71)-(MONTH(B71)&lt;4)+1,2)</f>
        <v>FY 2031-32</v>
      </c>
    </row>
    <row r="72" customFormat="false" ht="15" hidden="false" customHeight="false" outlineLevel="0" collapsed="false">
      <c r="A72" s="22" t="n">
        <v>64</v>
      </c>
      <c r="B72" s="24" t="n">
        <f aca="false">EDATE(Inputs!$C$6,A72-1)</f>
        <v>48030</v>
      </c>
      <c r="C72" s="24" t="n">
        <f aca="false">EDATE(Inputs!$C$6,A72)-1</f>
        <v>48060</v>
      </c>
      <c r="D72" s="10" t="str">
        <f aca="false">IF(A72&lt;=Inputs!$C$7,"Yes","No")</f>
        <v>No</v>
      </c>
      <c r="E72" s="27" t="n">
        <f aca="false">IF(N(Inputs!$C$12)=0,1,(1+Inputs!$C$11)^INT((A72-1)/Inputs!$C$12))</f>
        <v>1.2762815625</v>
      </c>
      <c r="F72" s="28" t="n">
        <f aca="false">IF(AND(D72="Yes",Inputs!$C$10="Advance",MOD(A72-1,Inputs!$C$22)=0),Inputs!$C$8*E72,0)</f>
        <v>0</v>
      </c>
      <c r="G72" s="28" t="n">
        <f aca="false">IF(AND(D72="Yes",Inputs!$C$10="Arrears",MOD(A72,Inputs!$C$22)=0),Inputs!$C$8*IF(N(Inputs!$C$12)=0,1,(1+Inputs!$C$11)^INT((A72-Inputs!$C$22)/Inputs!$C$12)),0)</f>
        <v>0</v>
      </c>
      <c r="H72" s="29" t="n">
        <f aca="false">1/(1+Inputs!$C$23)^(A72-1)</f>
        <v>0.620977513928324</v>
      </c>
      <c r="I72" s="29" t="n">
        <f aca="false">1/(1+Inputs!$C$23)^A72</f>
        <v>0.616298859999391</v>
      </c>
      <c r="J72" s="30" t="n">
        <f aca="false">F72*H72+G72*I72</f>
        <v>0</v>
      </c>
      <c r="K72" s="30" t="n">
        <f aca="false">M71</f>
        <v>-2.31665708150703E-009</v>
      </c>
      <c r="L72" s="30" t="n">
        <f aca="false">IF(D72="Yes",(K72-F72)*Inputs!$C$23,0)</f>
        <v>0</v>
      </c>
      <c r="M72" s="30" t="n">
        <f aca="false">K72-F72+L72-G72</f>
        <v>-2.31665708150703E-009</v>
      </c>
      <c r="N72" s="30" t="n">
        <f aca="false">F72+G72</f>
        <v>0</v>
      </c>
      <c r="O72" s="30" t="n">
        <f aca="false">N72-L72</f>
        <v>0</v>
      </c>
      <c r="P72" s="30" t="n">
        <f aca="false">R71</f>
        <v>1.30967237055302E-009</v>
      </c>
      <c r="Q72" s="30" t="n">
        <f aca="false">IF(A72&lt;=Inputs!$C$24,Inputs!$C$29/Inputs!$C$24,0)</f>
        <v>0</v>
      </c>
      <c r="R72" s="30" t="n">
        <f aca="false">P72-Q72</f>
        <v>1.30967237055302E-009</v>
      </c>
      <c r="S72" s="10" t="str">
        <f aca="false">"FY "&amp;(YEAR(B72)-(MONTH(B72)&lt;4))&amp;"-"&amp;RIGHT(YEAR(B72)-(MONTH(B72)&lt;4)+1,2)</f>
        <v>FY 2031-32</v>
      </c>
    </row>
    <row r="73" customFormat="false" ht="15" hidden="false" customHeight="false" outlineLevel="0" collapsed="false">
      <c r="A73" s="22" t="n">
        <v>65</v>
      </c>
      <c r="B73" s="24" t="n">
        <f aca="false">EDATE(Inputs!$C$6,A73-1)</f>
        <v>48061</v>
      </c>
      <c r="C73" s="24" t="n">
        <f aca="false">EDATE(Inputs!$C$6,A73)-1</f>
        <v>48091</v>
      </c>
      <c r="D73" s="10" t="str">
        <f aca="false">IF(A73&lt;=Inputs!$C$7,"Yes","No")</f>
        <v>No</v>
      </c>
      <c r="E73" s="27" t="n">
        <f aca="false">IF(N(Inputs!$C$12)=0,1,(1+Inputs!$C$11)^INT((A73-1)/Inputs!$C$12))</f>
        <v>1.2762815625</v>
      </c>
      <c r="F73" s="28" t="n">
        <f aca="false">IF(AND(D73="Yes",Inputs!$C$10="Advance",MOD(A73-1,Inputs!$C$22)=0),Inputs!$C$8*E73,0)</f>
        <v>0</v>
      </c>
      <c r="G73" s="28" t="n">
        <f aca="false">IF(AND(D73="Yes",Inputs!$C$10="Arrears",MOD(A73,Inputs!$C$22)=0),Inputs!$C$8*IF(N(Inputs!$C$12)=0,1,(1+Inputs!$C$11)^INT((A73-Inputs!$C$22)/Inputs!$C$12)),0)</f>
        <v>0</v>
      </c>
      <c r="H73" s="29" t="n">
        <f aca="false">1/(1+Inputs!$C$23)^(A73-1)</f>
        <v>0.616298859999391</v>
      </c>
      <c r="I73" s="29" t="n">
        <f aca="false">1/(1+Inputs!$C$23)^A73</f>
        <v>0.61165545662639</v>
      </c>
      <c r="J73" s="30" t="n">
        <f aca="false">F73*H73+G73*I73</f>
        <v>0</v>
      </c>
      <c r="K73" s="30" t="n">
        <f aca="false">M72</f>
        <v>-2.31665708150703E-009</v>
      </c>
      <c r="L73" s="30" t="n">
        <f aca="false">IF(D73="Yes",(K73-F73)*Inputs!$C$23,0)</f>
        <v>0</v>
      </c>
      <c r="M73" s="30" t="n">
        <f aca="false">K73-F73+L73-G73</f>
        <v>-2.31665708150703E-009</v>
      </c>
      <c r="N73" s="30" t="n">
        <f aca="false">F73+G73</f>
        <v>0</v>
      </c>
      <c r="O73" s="30" t="n">
        <f aca="false">N73-L73</f>
        <v>0</v>
      </c>
      <c r="P73" s="30" t="n">
        <f aca="false">R72</f>
        <v>1.30967237055302E-009</v>
      </c>
      <c r="Q73" s="30" t="n">
        <f aca="false">IF(A73&lt;=Inputs!$C$24,Inputs!$C$29/Inputs!$C$24,0)</f>
        <v>0</v>
      </c>
      <c r="R73" s="30" t="n">
        <f aca="false">P73-Q73</f>
        <v>1.30967237055302E-009</v>
      </c>
      <c r="S73" s="10" t="str">
        <f aca="false">"FY "&amp;(YEAR(B73)-(MONTH(B73)&lt;4))&amp;"-"&amp;RIGHT(YEAR(B73)-(MONTH(B73)&lt;4)+1,2)</f>
        <v>FY 2031-32</v>
      </c>
    </row>
    <row r="74" customFormat="false" ht="15" hidden="false" customHeight="false" outlineLevel="0" collapsed="false">
      <c r="A74" s="22" t="n">
        <v>66</v>
      </c>
      <c r="B74" s="24" t="n">
        <f aca="false">EDATE(Inputs!$C$6,A74-1)</f>
        <v>48092</v>
      </c>
      <c r="C74" s="24" t="n">
        <f aca="false">EDATE(Inputs!$C$6,A74)-1</f>
        <v>48121</v>
      </c>
      <c r="D74" s="10" t="str">
        <f aca="false">IF(A74&lt;=Inputs!$C$7,"Yes","No")</f>
        <v>No</v>
      </c>
      <c r="E74" s="27" t="n">
        <f aca="false">IF(N(Inputs!$C$12)=0,1,(1+Inputs!$C$11)^INT((A74-1)/Inputs!$C$12))</f>
        <v>1.2762815625</v>
      </c>
      <c r="F74" s="28" t="n">
        <f aca="false">IF(AND(D74="Yes",Inputs!$C$10="Advance",MOD(A74-1,Inputs!$C$22)=0),Inputs!$C$8*E74,0)</f>
        <v>0</v>
      </c>
      <c r="G74" s="28" t="n">
        <f aca="false">IF(AND(D74="Yes",Inputs!$C$10="Arrears",MOD(A74,Inputs!$C$22)=0),Inputs!$C$8*IF(N(Inputs!$C$12)=0,1,(1+Inputs!$C$11)^INT((A74-Inputs!$C$22)/Inputs!$C$12)),0)</f>
        <v>0</v>
      </c>
      <c r="H74" s="29" t="n">
        <f aca="false">1/(1+Inputs!$C$23)^(A74-1)</f>
        <v>0.61165545662639</v>
      </c>
      <c r="I74" s="29" t="n">
        <f aca="false">1/(1+Inputs!$C$23)^A74</f>
        <v>0.607047038219748</v>
      </c>
      <c r="J74" s="30" t="n">
        <f aca="false">F74*H74+G74*I74</f>
        <v>0</v>
      </c>
      <c r="K74" s="30" t="n">
        <f aca="false">M73</f>
        <v>-2.31665708150703E-009</v>
      </c>
      <c r="L74" s="30" t="n">
        <f aca="false">IF(D74="Yes",(K74-F74)*Inputs!$C$23,0)</f>
        <v>0</v>
      </c>
      <c r="M74" s="30" t="n">
        <f aca="false">K74-F74+L74-G74</f>
        <v>-2.31665708150703E-009</v>
      </c>
      <c r="N74" s="30" t="n">
        <f aca="false">F74+G74</f>
        <v>0</v>
      </c>
      <c r="O74" s="30" t="n">
        <f aca="false">N74-L74</f>
        <v>0</v>
      </c>
      <c r="P74" s="30" t="n">
        <f aca="false">R73</f>
        <v>1.30967237055302E-009</v>
      </c>
      <c r="Q74" s="30" t="n">
        <f aca="false">IF(A74&lt;=Inputs!$C$24,Inputs!$C$29/Inputs!$C$24,0)</f>
        <v>0</v>
      </c>
      <c r="R74" s="30" t="n">
        <f aca="false">P74-Q74</f>
        <v>1.30967237055302E-009</v>
      </c>
      <c r="S74" s="10" t="str">
        <f aca="false">"FY "&amp;(YEAR(B74)-(MONTH(B74)&lt;4))&amp;"-"&amp;RIGHT(YEAR(B74)-(MONTH(B74)&lt;4)+1,2)</f>
        <v>FY 2031-32</v>
      </c>
    </row>
    <row r="75" customFormat="false" ht="15" hidden="false" customHeight="false" outlineLevel="0" collapsed="false">
      <c r="A75" s="22" t="n">
        <v>67</v>
      </c>
      <c r="B75" s="24" t="n">
        <f aca="false">EDATE(Inputs!$C$6,A75-1)</f>
        <v>48122</v>
      </c>
      <c r="C75" s="24" t="n">
        <f aca="false">EDATE(Inputs!$C$6,A75)-1</f>
        <v>48152</v>
      </c>
      <c r="D75" s="10" t="str">
        <f aca="false">IF(A75&lt;=Inputs!$C$7,"Yes","No")</f>
        <v>No</v>
      </c>
      <c r="E75" s="27" t="n">
        <f aca="false">IF(N(Inputs!$C$12)=0,1,(1+Inputs!$C$11)^INT((A75-1)/Inputs!$C$12))</f>
        <v>1.2762815625</v>
      </c>
      <c r="F75" s="28" t="n">
        <f aca="false">IF(AND(D75="Yes",Inputs!$C$10="Advance",MOD(A75-1,Inputs!$C$22)=0),Inputs!$C$8*E75,0)</f>
        <v>0</v>
      </c>
      <c r="G75" s="28" t="n">
        <f aca="false">IF(AND(D75="Yes",Inputs!$C$10="Arrears",MOD(A75,Inputs!$C$22)=0),Inputs!$C$8*IF(N(Inputs!$C$12)=0,1,(1+Inputs!$C$11)^INT((A75-Inputs!$C$22)/Inputs!$C$12)),0)</f>
        <v>0</v>
      </c>
      <c r="H75" s="29" t="n">
        <f aca="false">1/(1+Inputs!$C$23)^(A75-1)</f>
        <v>0.607047038219748</v>
      </c>
      <c r="I75" s="29" t="n">
        <f aca="false">1/(1+Inputs!$C$23)^A75</f>
        <v>0.602473341190935</v>
      </c>
      <c r="J75" s="30" t="n">
        <f aca="false">F75*H75+G75*I75</f>
        <v>0</v>
      </c>
      <c r="K75" s="30" t="n">
        <f aca="false">M74</f>
        <v>-2.31665708150703E-009</v>
      </c>
      <c r="L75" s="30" t="n">
        <f aca="false">IF(D75="Yes",(K75-F75)*Inputs!$C$23,0)</f>
        <v>0</v>
      </c>
      <c r="M75" s="30" t="n">
        <f aca="false">K75-F75+L75-G75</f>
        <v>-2.31665708150703E-009</v>
      </c>
      <c r="N75" s="30" t="n">
        <f aca="false">F75+G75</f>
        <v>0</v>
      </c>
      <c r="O75" s="30" t="n">
        <f aca="false">N75-L75</f>
        <v>0</v>
      </c>
      <c r="P75" s="30" t="n">
        <f aca="false">R74</f>
        <v>1.30967237055302E-009</v>
      </c>
      <c r="Q75" s="30" t="n">
        <f aca="false">IF(A75&lt;=Inputs!$C$24,Inputs!$C$29/Inputs!$C$24,0)</f>
        <v>0</v>
      </c>
      <c r="R75" s="30" t="n">
        <f aca="false">P75-Q75</f>
        <v>1.30967237055302E-009</v>
      </c>
      <c r="S75" s="10" t="str">
        <f aca="false">"FY "&amp;(YEAR(B75)-(MONTH(B75)&lt;4))&amp;"-"&amp;RIGHT(YEAR(B75)-(MONTH(B75)&lt;4)+1,2)</f>
        <v>FY 2031-32</v>
      </c>
    </row>
    <row r="76" customFormat="false" ht="15" hidden="false" customHeight="false" outlineLevel="0" collapsed="false">
      <c r="A76" s="22" t="n">
        <v>68</v>
      </c>
      <c r="B76" s="24" t="n">
        <f aca="false">EDATE(Inputs!$C$6,A76-1)</f>
        <v>48153</v>
      </c>
      <c r="C76" s="24" t="n">
        <f aca="false">EDATE(Inputs!$C$6,A76)-1</f>
        <v>48182</v>
      </c>
      <c r="D76" s="10" t="str">
        <f aca="false">IF(A76&lt;=Inputs!$C$7,"Yes","No")</f>
        <v>No</v>
      </c>
      <c r="E76" s="27" t="n">
        <f aca="false">IF(N(Inputs!$C$12)=0,1,(1+Inputs!$C$11)^INT((A76-1)/Inputs!$C$12))</f>
        <v>1.2762815625</v>
      </c>
      <c r="F76" s="28" t="n">
        <f aca="false">IF(AND(D76="Yes",Inputs!$C$10="Advance",MOD(A76-1,Inputs!$C$22)=0),Inputs!$C$8*E76,0)</f>
        <v>0</v>
      </c>
      <c r="G76" s="28" t="n">
        <f aca="false">IF(AND(D76="Yes",Inputs!$C$10="Arrears",MOD(A76,Inputs!$C$22)=0),Inputs!$C$8*IF(N(Inputs!$C$12)=0,1,(1+Inputs!$C$11)^INT((A76-Inputs!$C$22)/Inputs!$C$12)),0)</f>
        <v>0</v>
      </c>
      <c r="H76" s="29" t="n">
        <f aca="false">1/(1+Inputs!$C$23)^(A76-1)</f>
        <v>0.602473341190935</v>
      </c>
      <c r="I76" s="29" t="n">
        <f aca="false">1/(1+Inputs!$C$23)^A76</f>
        <v>0.597934103937386</v>
      </c>
      <c r="J76" s="30" t="n">
        <f aca="false">F76*H76+G76*I76</f>
        <v>0</v>
      </c>
      <c r="K76" s="30" t="n">
        <f aca="false">M75</f>
        <v>-2.31665708150703E-009</v>
      </c>
      <c r="L76" s="30" t="n">
        <f aca="false">IF(D76="Yes",(K76-F76)*Inputs!$C$23,0)</f>
        <v>0</v>
      </c>
      <c r="M76" s="30" t="n">
        <f aca="false">K76-F76+L76-G76</f>
        <v>-2.31665708150703E-009</v>
      </c>
      <c r="N76" s="30" t="n">
        <f aca="false">F76+G76</f>
        <v>0</v>
      </c>
      <c r="O76" s="30" t="n">
        <f aca="false">N76-L76</f>
        <v>0</v>
      </c>
      <c r="P76" s="30" t="n">
        <f aca="false">R75</f>
        <v>1.30967237055302E-009</v>
      </c>
      <c r="Q76" s="30" t="n">
        <f aca="false">IF(A76&lt;=Inputs!$C$24,Inputs!$C$29/Inputs!$C$24,0)</f>
        <v>0</v>
      </c>
      <c r="R76" s="30" t="n">
        <f aca="false">P76-Q76</f>
        <v>1.30967237055302E-009</v>
      </c>
      <c r="S76" s="10" t="str">
        <f aca="false">"FY "&amp;(YEAR(B76)-(MONTH(B76)&lt;4))&amp;"-"&amp;RIGHT(YEAR(B76)-(MONTH(B76)&lt;4)+1,2)</f>
        <v>FY 2031-32</v>
      </c>
    </row>
    <row r="77" customFormat="false" ht="15" hidden="false" customHeight="false" outlineLevel="0" collapsed="false">
      <c r="A77" s="22" t="n">
        <v>69</v>
      </c>
      <c r="B77" s="24" t="n">
        <f aca="false">EDATE(Inputs!$C$6,A77-1)</f>
        <v>48183</v>
      </c>
      <c r="C77" s="24" t="n">
        <f aca="false">EDATE(Inputs!$C$6,A77)-1</f>
        <v>48213</v>
      </c>
      <c r="D77" s="10" t="str">
        <f aca="false">IF(A77&lt;=Inputs!$C$7,"Yes","No")</f>
        <v>No</v>
      </c>
      <c r="E77" s="27" t="n">
        <f aca="false">IF(N(Inputs!$C$12)=0,1,(1+Inputs!$C$11)^INT((A77-1)/Inputs!$C$12))</f>
        <v>1.2762815625</v>
      </c>
      <c r="F77" s="28" t="n">
        <f aca="false">IF(AND(D77="Yes",Inputs!$C$10="Advance",MOD(A77-1,Inputs!$C$22)=0),Inputs!$C$8*E77,0)</f>
        <v>0</v>
      </c>
      <c r="G77" s="28" t="n">
        <f aca="false">IF(AND(D77="Yes",Inputs!$C$10="Arrears",MOD(A77,Inputs!$C$22)=0),Inputs!$C$8*IF(N(Inputs!$C$12)=0,1,(1+Inputs!$C$11)^INT((A77-Inputs!$C$22)/Inputs!$C$12)),0)</f>
        <v>0</v>
      </c>
      <c r="H77" s="29" t="n">
        <f aca="false">1/(1+Inputs!$C$23)^(A77-1)</f>
        <v>0.597934103937386</v>
      </c>
      <c r="I77" s="29" t="n">
        <f aca="false">1/(1+Inputs!$C$23)^A77</f>
        <v>0.593429066827536</v>
      </c>
      <c r="J77" s="30" t="n">
        <f aca="false">F77*H77+G77*I77</f>
        <v>0</v>
      </c>
      <c r="K77" s="30" t="n">
        <f aca="false">M76</f>
        <v>-2.31665708150703E-009</v>
      </c>
      <c r="L77" s="30" t="n">
        <f aca="false">IF(D77="Yes",(K77-F77)*Inputs!$C$23,0)</f>
        <v>0</v>
      </c>
      <c r="M77" s="30" t="n">
        <f aca="false">K77-F77+L77-G77</f>
        <v>-2.31665708150703E-009</v>
      </c>
      <c r="N77" s="30" t="n">
        <f aca="false">F77+G77</f>
        <v>0</v>
      </c>
      <c r="O77" s="30" t="n">
        <f aca="false">N77-L77</f>
        <v>0</v>
      </c>
      <c r="P77" s="30" t="n">
        <f aca="false">R76</f>
        <v>1.30967237055302E-009</v>
      </c>
      <c r="Q77" s="30" t="n">
        <f aca="false">IF(A77&lt;=Inputs!$C$24,Inputs!$C$29/Inputs!$C$24,0)</f>
        <v>0</v>
      </c>
      <c r="R77" s="30" t="n">
        <f aca="false">P77-Q77</f>
        <v>1.30967237055302E-009</v>
      </c>
      <c r="S77" s="10" t="str">
        <f aca="false">"FY "&amp;(YEAR(B77)-(MONTH(B77)&lt;4))&amp;"-"&amp;RIGHT(YEAR(B77)-(MONTH(B77)&lt;4)+1,2)</f>
        <v>FY 2031-32</v>
      </c>
    </row>
    <row r="78" customFormat="false" ht="15" hidden="false" customHeight="false" outlineLevel="0" collapsed="false">
      <c r="A78" s="22" t="n">
        <v>70</v>
      </c>
      <c r="B78" s="24" t="n">
        <f aca="false">EDATE(Inputs!$C$6,A78-1)</f>
        <v>48214</v>
      </c>
      <c r="C78" s="24" t="n">
        <f aca="false">EDATE(Inputs!$C$6,A78)-1</f>
        <v>48244</v>
      </c>
      <c r="D78" s="10" t="str">
        <f aca="false">IF(A78&lt;=Inputs!$C$7,"Yes","No")</f>
        <v>No</v>
      </c>
      <c r="E78" s="27" t="n">
        <f aca="false">IF(N(Inputs!$C$12)=0,1,(1+Inputs!$C$11)^INT((A78-1)/Inputs!$C$12))</f>
        <v>1.2762815625</v>
      </c>
      <c r="F78" s="28" t="n">
        <f aca="false">IF(AND(D78="Yes",Inputs!$C$10="Advance",MOD(A78-1,Inputs!$C$22)=0),Inputs!$C$8*E78,0)</f>
        <v>0</v>
      </c>
      <c r="G78" s="28" t="n">
        <f aca="false">IF(AND(D78="Yes",Inputs!$C$10="Arrears",MOD(A78,Inputs!$C$22)=0),Inputs!$C$8*IF(N(Inputs!$C$12)=0,1,(1+Inputs!$C$11)^INT((A78-Inputs!$C$22)/Inputs!$C$12)),0)</f>
        <v>0</v>
      </c>
      <c r="H78" s="29" t="n">
        <f aca="false">1/(1+Inputs!$C$23)^(A78-1)</f>
        <v>0.593429066827536</v>
      </c>
      <c r="I78" s="29" t="n">
        <f aca="false">1/(1+Inputs!$C$23)^A78</f>
        <v>0.588957972185975</v>
      </c>
      <c r="J78" s="30" t="n">
        <f aca="false">F78*H78+G78*I78</f>
        <v>0</v>
      </c>
      <c r="K78" s="30" t="n">
        <f aca="false">M77</f>
        <v>-2.31665708150703E-009</v>
      </c>
      <c r="L78" s="30" t="n">
        <f aca="false">IF(D78="Yes",(K78-F78)*Inputs!$C$23,0)</f>
        <v>0</v>
      </c>
      <c r="M78" s="30" t="n">
        <f aca="false">K78-F78+L78-G78</f>
        <v>-2.31665708150703E-009</v>
      </c>
      <c r="N78" s="30" t="n">
        <f aca="false">F78+G78</f>
        <v>0</v>
      </c>
      <c r="O78" s="30" t="n">
        <f aca="false">N78-L78</f>
        <v>0</v>
      </c>
      <c r="P78" s="30" t="n">
        <f aca="false">R77</f>
        <v>1.30967237055302E-009</v>
      </c>
      <c r="Q78" s="30" t="n">
        <f aca="false">IF(A78&lt;=Inputs!$C$24,Inputs!$C$29/Inputs!$C$24,0)</f>
        <v>0</v>
      </c>
      <c r="R78" s="30" t="n">
        <f aca="false">P78-Q78</f>
        <v>1.30967237055302E-009</v>
      </c>
      <c r="S78" s="10" t="str">
        <f aca="false">"FY "&amp;(YEAR(B78)-(MONTH(B78)&lt;4))&amp;"-"&amp;RIGHT(YEAR(B78)-(MONTH(B78)&lt;4)+1,2)</f>
        <v>FY 2031-32</v>
      </c>
    </row>
    <row r="79" customFormat="false" ht="15" hidden="false" customHeight="false" outlineLevel="0" collapsed="false">
      <c r="A79" s="22" t="n">
        <v>71</v>
      </c>
      <c r="B79" s="24" t="n">
        <f aca="false">EDATE(Inputs!$C$6,A79-1)</f>
        <v>48245</v>
      </c>
      <c r="C79" s="24" t="n">
        <f aca="false">EDATE(Inputs!$C$6,A79)-1</f>
        <v>48273</v>
      </c>
      <c r="D79" s="10" t="str">
        <f aca="false">IF(A79&lt;=Inputs!$C$7,"Yes","No")</f>
        <v>No</v>
      </c>
      <c r="E79" s="27" t="n">
        <f aca="false">IF(N(Inputs!$C$12)=0,1,(1+Inputs!$C$11)^INT((A79-1)/Inputs!$C$12))</f>
        <v>1.2762815625</v>
      </c>
      <c r="F79" s="28" t="n">
        <f aca="false">IF(AND(D79="Yes",Inputs!$C$10="Advance",MOD(A79-1,Inputs!$C$22)=0),Inputs!$C$8*E79,0)</f>
        <v>0</v>
      </c>
      <c r="G79" s="28" t="n">
        <f aca="false">IF(AND(D79="Yes",Inputs!$C$10="Arrears",MOD(A79,Inputs!$C$22)=0),Inputs!$C$8*IF(N(Inputs!$C$12)=0,1,(1+Inputs!$C$11)^INT((A79-Inputs!$C$22)/Inputs!$C$12)),0)</f>
        <v>0</v>
      </c>
      <c r="H79" s="29" t="n">
        <f aca="false">1/(1+Inputs!$C$23)^(A79-1)</f>
        <v>0.588957972185975</v>
      </c>
      <c r="I79" s="29" t="n">
        <f aca="false">1/(1+Inputs!$C$23)^A79</f>
        <v>0.584520564278702</v>
      </c>
      <c r="J79" s="30" t="n">
        <f aca="false">F79*H79+G79*I79</f>
        <v>0</v>
      </c>
      <c r="K79" s="30" t="n">
        <f aca="false">M78</f>
        <v>-2.31665708150703E-009</v>
      </c>
      <c r="L79" s="30" t="n">
        <f aca="false">IF(D79="Yes",(K79-F79)*Inputs!$C$23,0)</f>
        <v>0</v>
      </c>
      <c r="M79" s="30" t="n">
        <f aca="false">K79-F79+L79-G79</f>
        <v>-2.31665708150703E-009</v>
      </c>
      <c r="N79" s="30" t="n">
        <f aca="false">F79+G79</f>
        <v>0</v>
      </c>
      <c r="O79" s="30" t="n">
        <f aca="false">N79-L79</f>
        <v>0</v>
      </c>
      <c r="P79" s="30" t="n">
        <f aca="false">R78</f>
        <v>1.30967237055302E-009</v>
      </c>
      <c r="Q79" s="30" t="n">
        <f aca="false">IF(A79&lt;=Inputs!$C$24,Inputs!$C$29/Inputs!$C$24,0)</f>
        <v>0</v>
      </c>
      <c r="R79" s="30" t="n">
        <f aca="false">P79-Q79</f>
        <v>1.30967237055302E-009</v>
      </c>
      <c r="S79" s="10" t="str">
        <f aca="false">"FY "&amp;(YEAR(B79)-(MONTH(B79)&lt;4))&amp;"-"&amp;RIGHT(YEAR(B79)-(MONTH(B79)&lt;4)+1,2)</f>
        <v>FY 2031-32</v>
      </c>
    </row>
    <row r="80" customFormat="false" ht="15" hidden="false" customHeight="false" outlineLevel="0" collapsed="false">
      <c r="A80" s="22" t="n">
        <v>72</v>
      </c>
      <c r="B80" s="24" t="n">
        <f aca="false">EDATE(Inputs!$C$6,A80-1)</f>
        <v>48274</v>
      </c>
      <c r="C80" s="24" t="n">
        <f aca="false">EDATE(Inputs!$C$6,A80)-1</f>
        <v>48304</v>
      </c>
      <c r="D80" s="10" t="str">
        <f aca="false">IF(A80&lt;=Inputs!$C$7,"Yes","No")</f>
        <v>No</v>
      </c>
      <c r="E80" s="27" t="n">
        <f aca="false">IF(N(Inputs!$C$12)=0,1,(1+Inputs!$C$11)^INT((A80-1)/Inputs!$C$12))</f>
        <v>1.2762815625</v>
      </c>
      <c r="F80" s="28" t="n">
        <f aca="false">IF(AND(D80="Yes",Inputs!$C$10="Advance",MOD(A80-1,Inputs!$C$22)=0),Inputs!$C$8*E80,0)</f>
        <v>0</v>
      </c>
      <c r="G80" s="28" t="n">
        <f aca="false">IF(AND(D80="Yes",Inputs!$C$10="Arrears",MOD(A80,Inputs!$C$22)=0),Inputs!$C$8*IF(N(Inputs!$C$12)=0,1,(1+Inputs!$C$11)^INT((A80-Inputs!$C$22)/Inputs!$C$12)),0)</f>
        <v>0</v>
      </c>
      <c r="H80" s="29" t="n">
        <f aca="false">1/(1+Inputs!$C$23)^(A80-1)</f>
        <v>0.584520564278702</v>
      </c>
      <c r="I80" s="29" t="n">
        <f aca="false">1/(1+Inputs!$C$23)^A80</f>
        <v>0.580116589298507</v>
      </c>
      <c r="J80" s="30" t="n">
        <f aca="false">F80*H80+G80*I80</f>
        <v>0</v>
      </c>
      <c r="K80" s="30" t="n">
        <f aca="false">M79</f>
        <v>-2.31665708150703E-009</v>
      </c>
      <c r="L80" s="30" t="n">
        <f aca="false">IF(D80="Yes",(K80-F80)*Inputs!$C$23,0)</f>
        <v>0</v>
      </c>
      <c r="M80" s="30" t="n">
        <f aca="false">K80-F80+L80-G80</f>
        <v>-2.31665708150703E-009</v>
      </c>
      <c r="N80" s="30" t="n">
        <f aca="false">F80+G80</f>
        <v>0</v>
      </c>
      <c r="O80" s="30" t="n">
        <f aca="false">N80-L80</f>
        <v>0</v>
      </c>
      <c r="P80" s="30" t="n">
        <f aca="false">R79</f>
        <v>1.30967237055302E-009</v>
      </c>
      <c r="Q80" s="30" t="n">
        <f aca="false">IF(A80&lt;=Inputs!$C$24,Inputs!$C$29/Inputs!$C$24,0)</f>
        <v>0</v>
      </c>
      <c r="R80" s="30" t="n">
        <f aca="false">P80-Q80</f>
        <v>1.30967237055302E-009</v>
      </c>
      <c r="S80" s="10" t="str">
        <f aca="false">"FY "&amp;(YEAR(B80)-(MONTH(B80)&lt;4))&amp;"-"&amp;RIGHT(YEAR(B80)-(MONTH(B80)&lt;4)+1,2)</f>
        <v>FY 2031-32</v>
      </c>
    </row>
    <row r="81" customFormat="false" ht="15" hidden="false" customHeight="false" outlineLevel="0" collapsed="false">
      <c r="A81" s="22" t="n">
        <v>73</v>
      </c>
      <c r="B81" s="24" t="n">
        <f aca="false">EDATE(Inputs!$C$6,A81-1)</f>
        <v>48305</v>
      </c>
      <c r="C81" s="24" t="n">
        <f aca="false">EDATE(Inputs!$C$6,A81)-1</f>
        <v>48334</v>
      </c>
      <c r="D81" s="10" t="str">
        <f aca="false">IF(A81&lt;=Inputs!$C$7,"Yes","No")</f>
        <v>No</v>
      </c>
      <c r="E81" s="27" t="n">
        <f aca="false">IF(N(Inputs!$C$12)=0,1,(1+Inputs!$C$11)^INT((A81-1)/Inputs!$C$12))</f>
        <v>1.340095640625</v>
      </c>
      <c r="F81" s="28" t="n">
        <f aca="false">IF(AND(D81="Yes",Inputs!$C$10="Advance",MOD(A81-1,Inputs!$C$22)=0),Inputs!$C$8*E81,0)</f>
        <v>0</v>
      </c>
      <c r="G81" s="28" t="n">
        <f aca="false">IF(AND(D81="Yes",Inputs!$C$10="Arrears",MOD(A81,Inputs!$C$22)=0),Inputs!$C$8*IF(N(Inputs!$C$12)=0,1,(1+Inputs!$C$11)^INT((A81-Inputs!$C$22)/Inputs!$C$12)),0)</f>
        <v>0</v>
      </c>
      <c r="H81" s="29" t="n">
        <f aca="false">1/(1+Inputs!$C$23)^(A81-1)</f>
        <v>0.580116589298507</v>
      </c>
      <c r="I81" s="29" t="n">
        <f aca="false">1/(1+Inputs!$C$23)^A81</f>
        <v>0.575745795350445</v>
      </c>
      <c r="J81" s="30" t="n">
        <f aca="false">F81*H81+G81*I81</f>
        <v>0</v>
      </c>
      <c r="K81" s="30" t="n">
        <f aca="false">M80</f>
        <v>-2.31665708150703E-009</v>
      </c>
      <c r="L81" s="30" t="n">
        <f aca="false">IF(D81="Yes",(K81-F81)*Inputs!$C$23,0)</f>
        <v>0</v>
      </c>
      <c r="M81" s="30" t="n">
        <f aca="false">K81-F81+L81-G81</f>
        <v>-2.31665708150703E-009</v>
      </c>
      <c r="N81" s="30" t="n">
        <f aca="false">F81+G81</f>
        <v>0</v>
      </c>
      <c r="O81" s="30" t="n">
        <f aca="false">N81-L81</f>
        <v>0</v>
      </c>
      <c r="P81" s="30" t="n">
        <f aca="false">R80</f>
        <v>1.30967237055302E-009</v>
      </c>
      <c r="Q81" s="30" t="n">
        <f aca="false">IF(A81&lt;=Inputs!$C$24,Inputs!$C$29/Inputs!$C$24,0)</f>
        <v>0</v>
      </c>
      <c r="R81" s="30" t="n">
        <f aca="false">P81-Q81</f>
        <v>1.30967237055302E-009</v>
      </c>
      <c r="S81" s="10" t="str">
        <f aca="false">"FY "&amp;(YEAR(B81)-(MONTH(B81)&lt;4))&amp;"-"&amp;RIGHT(YEAR(B81)-(MONTH(B81)&lt;4)+1,2)</f>
        <v>FY 2032-33</v>
      </c>
    </row>
    <row r="82" customFormat="false" ht="15" hidden="false" customHeight="false" outlineLevel="0" collapsed="false">
      <c r="A82" s="22" t="n">
        <v>74</v>
      </c>
      <c r="B82" s="24" t="n">
        <f aca="false">EDATE(Inputs!$C$6,A82-1)</f>
        <v>48335</v>
      </c>
      <c r="C82" s="24" t="n">
        <f aca="false">EDATE(Inputs!$C$6,A82)-1</f>
        <v>48365</v>
      </c>
      <c r="D82" s="10" t="str">
        <f aca="false">IF(A82&lt;=Inputs!$C$7,"Yes","No")</f>
        <v>No</v>
      </c>
      <c r="E82" s="27" t="n">
        <f aca="false">IF(N(Inputs!$C$12)=0,1,(1+Inputs!$C$11)^INT((A82-1)/Inputs!$C$12))</f>
        <v>1.340095640625</v>
      </c>
      <c r="F82" s="28" t="n">
        <f aca="false">IF(AND(D82="Yes",Inputs!$C$10="Advance",MOD(A82-1,Inputs!$C$22)=0),Inputs!$C$8*E82,0)</f>
        <v>0</v>
      </c>
      <c r="G82" s="28" t="n">
        <f aca="false">IF(AND(D82="Yes",Inputs!$C$10="Arrears",MOD(A82,Inputs!$C$22)=0),Inputs!$C$8*IF(N(Inputs!$C$12)=0,1,(1+Inputs!$C$11)^INT((A82-Inputs!$C$22)/Inputs!$C$12)),0)</f>
        <v>0</v>
      </c>
      <c r="H82" s="29" t="n">
        <f aca="false">1/(1+Inputs!$C$23)^(A82-1)</f>
        <v>0.575745795350445</v>
      </c>
      <c r="I82" s="29" t="n">
        <f aca="false">1/(1+Inputs!$C$23)^A82</f>
        <v>0.571407932437435</v>
      </c>
      <c r="J82" s="30" t="n">
        <f aca="false">F82*H82+G82*I82</f>
        <v>0</v>
      </c>
      <c r="K82" s="30" t="n">
        <f aca="false">M81</f>
        <v>-2.31665708150703E-009</v>
      </c>
      <c r="L82" s="30" t="n">
        <f aca="false">IF(D82="Yes",(K82-F82)*Inputs!$C$23,0)</f>
        <v>0</v>
      </c>
      <c r="M82" s="30" t="n">
        <f aca="false">K82-F82+L82-G82</f>
        <v>-2.31665708150703E-009</v>
      </c>
      <c r="N82" s="30" t="n">
        <f aca="false">F82+G82</f>
        <v>0</v>
      </c>
      <c r="O82" s="30" t="n">
        <f aca="false">N82-L82</f>
        <v>0</v>
      </c>
      <c r="P82" s="30" t="n">
        <f aca="false">R81</f>
        <v>1.30967237055302E-009</v>
      </c>
      <c r="Q82" s="30" t="n">
        <f aca="false">IF(A82&lt;=Inputs!$C$24,Inputs!$C$29/Inputs!$C$24,0)</f>
        <v>0</v>
      </c>
      <c r="R82" s="30" t="n">
        <f aca="false">P82-Q82</f>
        <v>1.30967237055302E-009</v>
      </c>
      <c r="S82" s="10" t="str">
        <f aca="false">"FY "&amp;(YEAR(B82)-(MONTH(B82)&lt;4))&amp;"-"&amp;RIGHT(YEAR(B82)-(MONTH(B82)&lt;4)+1,2)</f>
        <v>FY 2032-33</v>
      </c>
    </row>
    <row r="83" customFormat="false" ht="15" hidden="false" customHeight="false" outlineLevel="0" collapsed="false">
      <c r="A83" s="22" t="n">
        <v>75</v>
      </c>
      <c r="B83" s="24" t="n">
        <f aca="false">EDATE(Inputs!$C$6,A83-1)</f>
        <v>48366</v>
      </c>
      <c r="C83" s="24" t="n">
        <f aca="false">EDATE(Inputs!$C$6,A83)-1</f>
        <v>48395</v>
      </c>
      <c r="D83" s="10" t="str">
        <f aca="false">IF(A83&lt;=Inputs!$C$7,"Yes","No")</f>
        <v>No</v>
      </c>
      <c r="E83" s="27" t="n">
        <f aca="false">IF(N(Inputs!$C$12)=0,1,(1+Inputs!$C$11)^INT((A83-1)/Inputs!$C$12))</f>
        <v>1.340095640625</v>
      </c>
      <c r="F83" s="28" t="n">
        <f aca="false">IF(AND(D83="Yes",Inputs!$C$10="Advance",MOD(A83-1,Inputs!$C$22)=0),Inputs!$C$8*E83,0)</f>
        <v>0</v>
      </c>
      <c r="G83" s="28" t="n">
        <f aca="false">IF(AND(D83="Yes",Inputs!$C$10="Arrears",MOD(A83,Inputs!$C$22)=0),Inputs!$C$8*IF(N(Inputs!$C$12)=0,1,(1+Inputs!$C$11)^INT((A83-Inputs!$C$22)/Inputs!$C$12)),0)</f>
        <v>0</v>
      </c>
      <c r="H83" s="29" t="n">
        <f aca="false">1/(1+Inputs!$C$23)^(A83-1)</f>
        <v>0.571407932437435</v>
      </c>
      <c r="I83" s="29" t="n">
        <f aca="false">1/(1+Inputs!$C$23)^A83</f>
        <v>0.567102752445958</v>
      </c>
      <c r="J83" s="30" t="n">
        <f aca="false">F83*H83+G83*I83</f>
        <v>0</v>
      </c>
      <c r="K83" s="30" t="n">
        <f aca="false">M82</f>
        <v>-2.31665708150703E-009</v>
      </c>
      <c r="L83" s="30" t="n">
        <f aca="false">IF(D83="Yes",(K83-F83)*Inputs!$C$23,0)</f>
        <v>0</v>
      </c>
      <c r="M83" s="30" t="n">
        <f aca="false">K83-F83+L83-G83</f>
        <v>-2.31665708150703E-009</v>
      </c>
      <c r="N83" s="30" t="n">
        <f aca="false">F83+G83</f>
        <v>0</v>
      </c>
      <c r="O83" s="30" t="n">
        <f aca="false">N83-L83</f>
        <v>0</v>
      </c>
      <c r="P83" s="30" t="n">
        <f aca="false">R82</f>
        <v>1.30967237055302E-009</v>
      </c>
      <c r="Q83" s="30" t="n">
        <f aca="false">IF(A83&lt;=Inputs!$C$24,Inputs!$C$29/Inputs!$C$24,0)</f>
        <v>0</v>
      </c>
      <c r="R83" s="30" t="n">
        <f aca="false">P83-Q83</f>
        <v>1.30967237055302E-009</v>
      </c>
      <c r="S83" s="10" t="str">
        <f aca="false">"FY "&amp;(YEAR(B83)-(MONTH(B83)&lt;4))&amp;"-"&amp;RIGHT(YEAR(B83)-(MONTH(B83)&lt;4)+1,2)</f>
        <v>FY 2032-33</v>
      </c>
    </row>
    <row r="84" customFormat="false" ht="15" hidden="false" customHeight="false" outlineLevel="0" collapsed="false">
      <c r="A84" s="22" t="n">
        <v>76</v>
      </c>
      <c r="B84" s="24" t="n">
        <f aca="false">EDATE(Inputs!$C$6,A84-1)</f>
        <v>48396</v>
      </c>
      <c r="C84" s="24" t="n">
        <f aca="false">EDATE(Inputs!$C$6,A84)-1</f>
        <v>48426</v>
      </c>
      <c r="D84" s="10" t="str">
        <f aca="false">IF(A84&lt;=Inputs!$C$7,"Yes","No")</f>
        <v>No</v>
      </c>
      <c r="E84" s="27" t="n">
        <f aca="false">IF(N(Inputs!$C$12)=0,1,(1+Inputs!$C$11)^INT((A84-1)/Inputs!$C$12))</f>
        <v>1.340095640625</v>
      </c>
      <c r="F84" s="28" t="n">
        <f aca="false">IF(AND(D84="Yes",Inputs!$C$10="Advance",MOD(A84-1,Inputs!$C$22)=0),Inputs!$C$8*E84,0)</f>
        <v>0</v>
      </c>
      <c r="G84" s="28" t="n">
        <f aca="false">IF(AND(D84="Yes",Inputs!$C$10="Arrears",MOD(A84,Inputs!$C$22)=0),Inputs!$C$8*IF(N(Inputs!$C$12)=0,1,(1+Inputs!$C$11)^INT((A84-Inputs!$C$22)/Inputs!$C$12)),0)</f>
        <v>0</v>
      </c>
      <c r="H84" s="29" t="n">
        <f aca="false">1/(1+Inputs!$C$23)^(A84-1)</f>
        <v>0.567102752445958</v>
      </c>
      <c r="I84" s="29" t="n">
        <f aca="false">1/(1+Inputs!$C$23)^A84</f>
        <v>0.562830009131865</v>
      </c>
      <c r="J84" s="30" t="n">
        <f aca="false">F84*H84+G84*I84</f>
        <v>0</v>
      </c>
      <c r="K84" s="30" t="n">
        <f aca="false">M83</f>
        <v>-2.31665708150703E-009</v>
      </c>
      <c r="L84" s="30" t="n">
        <f aca="false">IF(D84="Yes",(K84-F84)*Inputs!$C$23,0)</f>
        <v>0</v>
      </c>
      <c r="M84" s="30" t="n">
        <f aca="false">K84-F84+L84-G84</f>
        <v>-2.31665708150703E-009</v>
      </c>
      <c r="N84" s="30" t="n">
        <f aca="false">F84+G84</f>
        <v>0</v>
      </c>
      <c r="O84" s="30" t="n">
        <f aca="false">N84-L84</f>
        <v>0</v>
      </c>
      <c r="P84" s="30" t="n">
        <f aca="false">R83</f>
        <v>1.30967237055302E-009</v>
      </c>
      <c r="Q84" s="30" t="n">
        <f aca="false">IF(A84&lt;=Inputs!$C$24,Inputs!$C$29/Inputs!$C$24,0)</f>
        <v>0</v>
      </c>
      <c r="R84" s="30" t="n">
        <f aca="false">P84-Q84</f>
        <v>1.30967237055302E-009</v>
      </c>
      <c r="S84" s="10" t="str">
        <f aca="false">"FY "&amp;(YEAR(B84)-(MONTH(B84)&lt;4))&amp;"-"&amp;RIGHT(YEAR(B84)-(MONTH(B84)&lt;4)+1,2)</f>
        <v>FY 2032-33</v>
      </c>
    </row>
    <row r="85" customFormat="false" ht="15" hidden="false" customHeight="false" outlineLevel="0" collapsed="false">
      <c r="A85" s="22" t="n">
        <v>77</v>
      </c>
      <c r="B85" s="24" t="n">
        <f aca="false">EDATE(Inputs!$C$6,A85-1)</f>
        <v>48427</v>
      </c>
      <c r="C85" s="24" t="n">
        <f aca="false">EDATE(Inputs!$C$6,A85)-1</f>
        <v>48457</v>
      </c>
      <c r="D85" s="10" t="str">
        <f aca="false">IF(A85&lt;=Inputs!$C$7,"Yes","No")</f>
        <v>No</v>
      </c>
      <c r="E85" s="27" t="n">
        <f aca="false">IF(N(Inputs!$C$12)=0,1,(1+Inputs!$C$11)^INT((A85-1)/Inputs!$C$12))</f>
        <v>1.340095640625</v>
      </c>
      <c r="F85" s="28" t="n">
        <f aca="false">IF(AND(D85="Yes",Inputs!$C$10="Advance",MOD(A85-1,Inputs!$C$22)=0),Inputs!$C$8*E85,0)</f>
        <v>0</v>
      </c>
      <c r="G85" s="28" t="n">
        <f aca="false">IF(AND(D85="Yes",Inputs!$C$10="Arrears",MOD(A85,Inputs!$C$22)=0),Inputs!$C$8*IF(N(Inputs!$C$12)=0,1,(1+Inputs!$C$11)^INT((A85-Inputs!$C$22)/Inputs!$C$12)),0)</f>
        <v>0</v>
      </c>
      <c r="H85" s="29" t="n">
        <f aca="false">1/(1+Inputs!$C$23)^(A85-1)</f>
        <v>0.562830009131865</v>
      </c>
      <c r="I85" s="29" t="n">
        <f aca="false">1/(1+Inputs!$C$23)^A85</f>
        <v>0.558589458106293</v>
      </c>
      <c r="J85" s="30" t="n">
        <f aca="false">F85*H85+G85*I85</f>
        <v>0</v>
      </c>
      <c r="K85" s="30" t="n">
        <f aca="false">M84</f>
        <v>-2.31665708150703E-009</v>
      </c>
      <c r="L85" s="30" t="n">
        <f aca="false">IF(D85="Yes",(K85-F85)*Inputs!$C$23,0)</f>
        <v>0</v>
      </c>
      <c r="M85" s="30" t="n">
        <f aca="false">K85-F85+L85-G85</f>
        <v>-2.31665708150703E-009</v>
      </c>
      <c r="N85" s="30" t="n">
        <f aca="false">F85+G85</f>
        <v>0</v>
      </c>
      <c r="O85" s="30" t="n">
        <f aca="false">N85-L85</f>
        <v>0</v>
      </c>
      <c r="P85" s="30" t="n">
        <f aca="false">R84</f>
        <v>1.30967237055302E-009</v>
      </c>
      <c r="Q85" s="30" t="n">
        <f aca="false">IF(A85&lt;=Inputs!$C$24,Inputs!$C$29/Inputs!$C$24,0)</f>
        <v>0</v>
      </c>
      <c r="R85" s="30" t="n">
        <f aca="false">P85-Q85</f>
        <v>1.30967237055302E-009</v>
      </c>
      <c r="S85" s="10" t="str">
        <f aca="false">"FY "&amp;(YEAR(B85)-(MONTH(B85)&lt;4))&amp;"-"&amp;RIGHT(YEAR(B85)-(MONTH(B85)&lt;4)+1,2)</f>
        <v>FY 2032-33</v>
      </c>
    </row>
    <row r="86" customFormat="false" ht="15" hidden="false" customHeight="false" outlineLevel="0" collapsed="false">
      <c r="A86" s="22" t="n">
        <v>78</v>
      </c>
      <c r="B86" s="24" t="n">
        <f aca="false">EDATE(Inputs!$C$6,A86-1)</f>
        <v>48458</v>
      </c>
      <c r="C86" s="24" t="n">
        <f aca="false">EDATE(Inputs!$C$6,A86)-1</f>
        <v>48487</v>
      </c>
      <c r="D86" s="10" t="str">
        <f aca="false">IF(A86&lt;=Inputs!$C$7,"Yes","No")</f>
        <v>No</v>
      </c>
      <c r="E86" s="27" t="n">
        <f aca="false">IF(N(Inputs!$C$12)=0,1,(1+Inputs!$C$11)^INT((A86-1)/Inputs!$C$12))</f>
        <v>1.340095640625</v>
      </c>
      <c r="F86" s="28" t="n">
        <f aca="false">IF(AND(D86="Yes",Inputs!$C$10="Advance",MOD(A86-1,Inputs!$C$22)=0),Inputs!$C$8*E86,0)</f>
        <v>0</v>
      </c>
      <c r="G86" s="28" t="n">
        <f aca="false">IF(AND(D86="Yes",Inputs!$C$10="Arrears",MOD(A86,Inputs!$C$22)=0),Inputs!$C$8*IF(N(Inputs!$C$12)=0,1,(1+Inputs!$C$11)^INT((A86-Inputs!$C$22)/Inputs!$C$12)),0)</f>
        <v>0</v>
      </c>
      <c r="H86" s="29" t="n">
        <f aca="false">1/(1+Inputs!$C$23)^(A86-1)</f>
        <v>0.558589458106293</v>
      </c>
      <c r="I86" s="29" t="n">
        <f aca="false">1/(1+Inputs!$C$23)^A86</f>
        <v>0.554380856821689</v>
      </c>
      <c r="J86" s="30" t="n">
        <f aca="false">F86*H86+G86*I86</f>
        <v>0</v>
      </c>
      <c r="K86" s="30" t="n">
        <f aca="false">M85</f>
        <v>-2.31665708150703E-009</v>
      </c>
      <c r="L86" s="30" t="n">
        <f aca="false">IF(D86="Yes",(K86-F86)*Inputs!$C$23,0)</f>
        <v>0</v>
      </c>
      <c r="M86" s="30" t="n">
        <f aca="false">K86-F86+L86-G86</f>
        <v>-2.31665708150703E-009</v>
      </c>
      <c r="N86" s="30" t="n">
        <f aca="false">F86+G86</f>
        <v>0</v>
      </c>
      <c r="O86" s="30" t="n">
        <f aca="false">N86-L86</f>
        <v>0</v>
      </c>
      <c r="P86" s="30" t="n">
        <f aca="false">R85</f>
        <v>1.30967237055302E-009</v>
      </c>
      <c r="Q86" s="30" t="n">
        <f aca="false">IF(A86&lt;=Inputs!$C$24,Inputs!$C$29/Inputs!$C$24,0)</f>
        <v>0</v>
      </c>
      <c r="R86" s="30" t="n">
        <f aca="false">P86-Q86</f>
        <v>1.30967237055302E-009</v>
      </c>
      <c r="S86" s="10" t="str">
        <f aca="false">"FY "&amp;(YEAR(B86)-(MONTH(B86)&lt;4))&amp;"-"&amp;RIGHT(YEAR(B86)-(MONTH(B86)&lt;4)+1,2)</f>
        <v>FY 2032-33</v>
      </c>
    </row>
    <row r="87" customFormat="false" ht="15" hidden="false" customHeight="false" outlineLevel="0" collapsed="false">
      <c r="A87" s="22" t="n">
        <v>79</v>
      </c>
      <c r="B87" s="24" t="n">
        <f aca="false">EDATE(Inputs!$C$6,A87-1)</f>
        <v>48488</v>
      </c>
      <c r="C87" s="24" t="n">
        <f aca="false">EDATE(Inputs!$C$6,A87)-1</f>
        <v>48518</v>
      </c>
      <c r="D87" s="10" t="str">
        <f aca="false">IF(A87&lt;=Inputs!$C$7,"Yes","No")</f>
        <v>No</v>
      </c>
      <c r="E87" s="27" t="n">
        <f aca="false">IF(N(Inputs!$C$12)=0,1,(1+Inputs!$C$11)^INT((A87-1)/Inputs!$C$12))</f>
        <v>1.340095640625</v>
      </c>
      <c r="F87" s="28" t="n">
        <f aca="false">IF(AND(D87="Yes",Inputs!$C$10="Advance",MOD(A87-1,Inputs!$C$22)=0),Inputs!$C$8*E87,0)</f>
        <v>0</v>
      </c>
      <c r="G87" s="28" t="n">
        <f aca="false">IF(AND(D87="Yes",Inputs!$C$10="Arrears",MOD(A87,Inputs!$C$22)=0),Inputs!$C$8*IF(N(Inputs!$C$12)=0,1,(1+Inputs!$C$11)^INT((A87-Inputs!$C$22)/Inputs!$C$12)),0)</f>
        <v>0</v>
      </c>
      <c r="H87" s="29" t="n">
        <f aca="false">1/(1+Inputs!$C$23)^(A87-1)</f>
        <v>0.554380856821689</v>
      </c>
      <c r="I87" s="29" t="n">
        <f aca="false">1/(1+Inputs!$C$23)^A87</f>
        <v>0.550203964557932</v>
      </c>
      <c r="J87" s="30" t="n">
        <f aca="false">F87*H87+G87*I87</f>
        <v>0</v>
      </c>
      <c r="K87" s="30" t="n">
        <f aca="false">M86</f>
        <v>-2.31665708150703E-009</v>
      </c>
      <c r="L87" s="30" t="n">
        <f aca="false">IF(D87="Yes",(K87-F87)*Inputs!$C$23,0)</f>
        <v>0</v>
      </c>
      <c r="M87" s="30" t="n">
        <f aca="false">K87-F87+L87-G87</f>
        <v>-2.31665708150703E-009</v>
      </c>
      <c r="N87" s="30" t="n">
        <f aca="false">F87+G87</f>
        <v>0</v>
      </c>
      <c r="O87" s="30" t="n">
        <f aca="false">N87-L87</f>
        <v>0</v>
      </c>
      <c r="P87" s="30" t="n">
        <f aca="false">R86</f>
        <v>1.30967237055302E-009</v>
      </c>
      <c r="Q87" s="30" t="n">
        <f aca="false">IF(A87&lt;=Inputs!$C$24,Inputs!$C$29/Inputs!$C$24,0)</f>
        <v>0</v>
      </c>
      <c r="R87" s="30" t="n">
        <f aca="false">P87-Q87</f>
        <v>1.30967237055302E-009</v>
      </c>
      <c r="S87" s="10" t="str">
        <f aca="false">"FY "&amp;(YEAR(B87)-(MONTH(B87)&lt;4))&amp;"-"&amp;RIGHT(YEAR(B87)-(MONTH(B87)&lt;4)+1,2)</f>
        <v>FY 2032-33</v>
      </c>
    </row>
    <row r="88" customFormat="false" ht="15" hidden="false" customHeight="false" outlineLevel="0" collapsed="false">
      <c r="A88" s="22" t="n">
        <v>80</v>
      </c>
      <c r="B88" s="24" t="n">
        <f aca="false">EDATE(Inputs!$C$6,A88-1)</f>
        <v>48519</v>
      </c>
      <c r="C88" s="24" t="n">
        <f aca="false">EDATE(Inputs!$C$6,A88)-1</f>
        <v>48548</v>
      </c>
      <c r="D88" s="10" t="str">
        <f aca="false">IF(A88&lt;=Inputs!$C$7,"Yes","No")</f>
        <v>No</v>
      </c>
      <c r="E88" s="27" t="n">
        <f aca="false">IF(N(Inputs!$C$12)=0,1,(1+Inputs!$C$11)^INT((A88-1)/Inputs!$C$12))</f>
        <v>1.340095640625</v>
      </c>
      <c r="F88" s="28" t="n">
        <f aca="false">IF(AND(D88="Yes",Inputs!$C$10="Advance",MOD(A88-1,Inputs!$C$22)=0),Inputs!$C$8*E88,0)</f>
        <v>0</v>
      </c>
      <c r="G88" s="28" t="n">
        <f aca="false">IF(AND(D88="Yes",Inputs!$C$10="Arrears",MOD(A88,Inputs!$C$22)=0),Inputs!$C$8*IF(N(Inputs!$C$12)=0,1,(1+Inputs!$C$11)^INT((A88-Inputs!$C$22)/Inputs!$C$12)),0)</f>
        <v>0</v>
      </c>
      <c r="H88" s="29" t="n">
        <f aca="false">1/(1+Inputs!$C$23)^(A88-1)</f>
        <v>0.550203964557932</v>
      </c>
      <c r="I88" s="29" t="n">
        <f aca="false">1/(1+Inputs!$C$23)^A88</f>
        <v>0.546058542408572</v>
      </c>
      <c r="J88" s="30" t="n">
        <f aca="false">F88*H88+G88*I88</f>
        <v>0</v>
      </c>
      <c r="K88" s="30" t="n">
        <f aca="false">M87</f>
        <v>-2.31665708150703E-009</v>
      </c>
      <c r="L88" s="30" t="n">
        <f aca="false">IF(D88="Yes",(K88-F88)*Inputs!$C$23,0)</f>
        <v>0</v>
      </c>
      <c r="M88" s="30" t="n">
        <f aca="false">K88-F88+L88-G88</f>
        <v>-2.31665708150703E-009</v>
      </c>
      <c r="N88" s="30" t="n">
        <f aca="false">F88+G88</f>
        <v>0</v>
      </c>
      <c r="O88" s="30" t="n">
        <f aca="false">N88-L88</f>
        <v>0</v>
      </c>
      <c r="P88" s="30" t="n">
        <f aca="false">R87</f>
        <v>1.30967237055302E-009</v>
      </c>
      <c r="Q88" s="30" t="n">
        <f aca="false">IF(A88&lt;=Inputs!$C$24,Inputs!$C$29/Inputs!$C$24,0)</f>
        <v>0</v>
      </c>
      <c r="R88" s="30" t="n">
        <f aca="false">P88-Q88</f>
        <v>1.30967237055302E-009</v>
      </c>
      <c r="S88" s="10" t="str">
        <f aca="false">"FY "&amp;(YEAR(B88)-(MONTH(B88)&lt;4))&amp;"-"&amp;RIGHT(YEAR(B88)-(MONTH(B88)&lt;4)+1,2)</f>
        <v>FY 2032-33</v>
      </c>
    </row>
    <row r="89" customFormat="false" ht="15" hidden="false" customHeight="false" outlineLevel="0" collapsed="false">
      <c r="A89" s="22" t="n">
        <v>81</v>
      </c>
      <c r="B89" s="24" t="n">
        <f aca="false">EDATE(Inputs!$C$6,A89-1)</f>
        <v>48549</v>
      </c>
      <c r="C89" s="24" t="n">
        <f aca="false">EDATE(Inputs!$C$6,A89)-1</f>
        <v>48579</v>
      </c>
      <c r="D89" s="10" t="str">
        <f aca="false">IF(A89&lt;=Inputs!$C$7,"Yes","No")</f>
        <v>No</v>
      </c>
      <c r="E89" s="27" t="n">
        <f aca="false">IF(N(Inputs!$C$12)=0,1,(1+Inputs!$C$11)^INT((A89-1)/Inputs!$C$12))</f>
        <v>1.340095640625</v>
      </c>
      <c r="F89" s="28" t="n">
        <f aca="false">IF(AND(D89="Yes",Inputs!$C$10="Advance",MOD(A89-1,Inputs!$C$22)=0),Inputs!$C$8*E89,0)</f>
        <v>0</v>
      </c>
      <c r="G89" s="28" t="n">
        <f aca="false">IF(AND(D89="Yes",Inputs!$C$10="Arrears",MOD(A89,Inputs!$C$22)=0),Inputs!$C$8*IF(N(Inputs!$C$12)=0,1,(1+Inputs!$C$11)^INT((A89-Inputs!$C$22)/Inputs!$C$12)),0)</f>
        <v>0</v>
      </c>
      <c r="H89" s="29" t="n">
        <f aca="false">1/(1+Inputs!$C$23)^(A89-1)</f>
        <v>0.546058542408572</v>
      </c>
      <c r="I89" s="29" t="n">
        <f aca="false">1/(1+Inputs!$C$23)^A89</f>
        <v>0.541944353267157</v>
      </c>
      <c r="J89" s="30" t="n">
        <f aca="false">F89*H89+G89*I89</f>
        <v>0</v>
      </c>
      <c r="K89" s="30" t="n">
        <f aca="false">M88</f>
        <v>-2.31665708150703E-009</v>
      </c>
      <c r="L89" s="30" t="n">
        <f aca="false">IF(D89="Yes",(K89-F89)*Inputs!$C$23,0)</f>
        <v>0</v>
      </c>
      <c r="M89" s="30" t="n">
        <f aca="false">K89-F89+L89-G89</f>
        <v>-2.31665708150703E-009</v>
      </c>
      <c r="N89" s="30" t="n">
        <f aca="false">F89+G89</f>
        <v>0</v>
      </c>
      <c r="O89" s="30" t="n">
        <f aca="false">N89-L89</f>
        <v>0</v>
      </c>
      <c r="P89" s="30" t="n">
        <f aca="false">R88</f>
        <v>1.30967237055302E-009</v>
      </c>
      <c r="Q89" s="30" t="n">
        <f aca="false">IF(A89&lt;=Inputs!$C$24,Inputs!$C$29/Inputs!$C$24,0)</f>
        <v>0</v>
      </c>
      <c r="R89" s="30" t="n">
        <f aca="false">P89-Q89</f>
        <v>1.30967237055302E-009</v>
      </c>
      <c r="S89" s="10" t="str">
        <f aca="false">"FY "&amp;(YEAR(B89)-(MONTH(B89)&lt;4))&amp;"-"&amp;RIGHT(YEAR(B89)-(MONTH(B89)&lt;4)+1,2)</f>
        <v>FY 2032-33</v>
      </c>
    </row>
    <row r="90" customFormat="false" ht="15" hidden="false" customHeight="false" outlineLevel="0" collapsed="false">
      <c r="A90" s="22" t="n">
        <v>82</v>
      </c>
      <c r="B90" s="24" t="n">
        <f aca="false">EDATE(Inputs!$C$6,A90-1)</f>
        <v>48580</v>
      </c>
      <c r="C90" s="24" t="n">
        <f aca="false">EDATE(Inputs!$C$6,A90)-1</f>
        <v>48610</v>
      </c>
      <c r="D90" s="10" t="str">
        <f aca="false">IF(A90&lt;=Inputs!$C$7,"Yes","No")</f>
        <v>No</v>
      </c>
      <c r="E90" s="27" t="n">
        <f aca="false">IF(N(Inputs!$C$12)=0,1,(1+Inputs!$C$11)^INT((A90-1)/Inputs!$C$12))</f>
        <v>1.340095640625</v>
      </c>
      <c r="F90" s="28" t="n">
        <f aca="false">IF(AND(D90="Yes",Inputs!$C$10="Advance",MOD(A90-1,Inputs!$C$22)=0),Inputs!$C$8*E90,0)</f>
        <v>0</v>
      </c>
      <c r="G90" s="28" t="n">
        <f aca="false">IF(AND(D90="Yes",Inputs!$C$10="Arrears",MOD(A90,Inputs!$C$22)=0),Inputs!$C$8*IF(N(Inputs!$C$12)=0,1,(1+Inputs!$C$11)^INT((A90-Inputs!$C$22)/Inputs!$C$12)),0)</f>
        <v>0</v>
      </c>
      <c r="H90" s="29" t="n">
        <f aca="false">1/(1+Inputs!$C$23)^(A90-1)</f>
        <v>0.541944353267157</v>
      </c>
      <c r="I90" s="29" t="n">
        <f aca="false">1/(1+Inputs!$C$23)^A90</f>
        <v>0.537861161813676</v>
      </c>
      <c r="J90" s="30" t="n">
        <f aca="false">F90*H90+G90*I90</f>
        <v>0</v>
      </c>
      <c r="K90" s="30" t="n">
        <f aca="false">M89</f>
        <v>-2.31665708150703E-009</v>
      </c>
      <c r="L90" s="30" t="n">
        <f aca="false">IF(D90="Yes",(K90-F90)*Inputs!$C$23,0)</f>
        <v>0</v>
      </c>
      <c r="M90" s="30" t="n">
        <f aca="false">K90-F90+L90-G90</f>
        <v>-2.31665708150703E-009</v>
      </c>
      <c r="N90" s="30" t="n">
        <f aca="false">F90+G90</f>
        <v>0</v>
      </c>
      <c r="O90" s="30" t="n">
        <f aca="false">N90-L90</f>
        <v>0</v>
      </c>
      <c r="P90" s="30" t="n">
        <f aca="false">R89</f>
        <v>1.30967237055302E-009</v>
      </c>
      <c r="Q90" s="30" t="n">
        <f aca="false">IF(A90&lt;=Inputs!$C$24,Inputs!$C$29/Inputs!$C$24,0)</f>
        <v>0</v>
      </c>
      <c r="R90" s="30" t="n">
        <f aca="false">P90-Q90</f>
        <v>1.30967237055302E-009</v>
      </c>
      <c r="S90" s="10" t="str">
        <f aca="false">"FY "&amp;(YEAR(B90)-(MONTH(B90)&lt;4))&amp;"-"&amp;RIGHT(YEAR(B90)-(MONTH(B90)&lt;4)+1,2)</f>
        <v>FY 2032-33</v>
      </c>
    </row>
    <row r="91" customFormat="false" ht="15" hidden="false" customHeight="false" outlineLevel="0" collapsed="false">
      <c r="A91" s="22" t="n">
        <v>83</v>
      </c>
      <c r="B91" s="24" t="n">
        <f aca="false">EDATE(Inputs!$C$6,A91-1)</f>
        <v>48611</v>
      </c>
      <c r="C91" s="24" t="n">
        <f aca="false">EDATE(Inputs!$C$6,A91)-1</f>
        <v>48638</v>
      </c>
      <c r="D91" s="10" t="str">
        <f aca="false">IF(A91&lt;=Inputs!$C$7,"Yes","No")</f>
        <v>No</v>
      </c>
      <c r="E91" s="27" t="n">
        <f aca="false">IF(N(Inputs!$C$12)=0,1,(1+Inputs!$C$11)^INT((A91-1)/Inputs!$C$12))</f>
        <v>1.340095640625</v>
      </c>
      <c r="F91" s="28" t="n">
        <f aca="false">IF(AND(D91="Yes",Inputs!$C$10="Advance",MOD(A91-1,Inputs!$C$22)=0),Inputs!$C$8*E91,0)</f>
        <v>0</v>
      </c>
      <c r="G91" s="28" t="n">
        <f aca="false">IF(AND(D91="Yes",Inputs!$C$10="Arrears",MOD(A91,Inputs!$C$22)=0),Inputs!$C$8*IF(N(Inputs!$C$12)=0,1,(1+Inputs!$C$11)^INT((A91-Inputs!$C$22)/Inputs!$C$12)),0)</f>
        <v>0</v>
      </c>
      <c r="H91" s="29" t="n">
        <f aca="false">1/(1+Inputs!$C$23)^(A91-1)</f>
        <v>0.537861161813676</v>
      </c>
      <c r="I91" s="29" t="n">
        <f aca="false">1/(1+Inputs!$C$23)^A91</f>
        <v>0.533808734501098</v>
      </c>
      <c r="J91" s="30" t="n">
        <f aca="false">F91*H91+G91*I91</f>
        <v>0</v>
      </c>
      <c r="K91" s="30" t="n">
        <f aca="false">M90</f>
        <v>-2.31665708150703E-009</v>
      </c>
      <c r="L91" s="30" t="n">
        <f aca="false">IF(D91="Yes",(K91-F91)*Inputs!$C$23,0)</f>
        <v>0</v>
      </c>
      <c r="M91" s="30" t="n">
        <f aca="false">K91-F91+L91-G91</f>
        <v>-2.31665708150703E-009</v>
      </c>
      <c r="N91" s="30" t="n">
        <f aca="false">F91+G91</f>
        <v>0</v>
      </c>
      <c r="O91" s="30" t="n">
        <f aca="false">N91-L91</f>
        <v>0</v>
      </c>
      <c r="P91" s="30" t="n">
        <f aca="false">R90</f>
        <v>1.30967237055302E-009</v>
      </c>
      <c r="Q91" s="30" t="n">
        <f aca="false">IF(A91&lt;=Inputs!$C$24,Inputs!$C$29/Inputs!$C$24,0)</f>
        <v>0</v>
      </c>
      <c r="R91" s="30" t="n">
        <f aca="false">P91-Q91</f>
        <v>1.30967237055302E-009</v>
      </c>
      <c r="S91" s="10" t="str">
        <f aca="false">"FY "&amp;(YEAR(B91)-(MONTH(B91)&lt;4))&amp;"-"&amp;RIGHT(YEAR(B91)-(MONTH(B91)&lt;4)+1,2)</f>
        <v>FY 2032-33</v>
      </c>
    </row>
    <row r="92" customFormat="false" ht="15" hidden="false" customHeight="false" outlineLevel="0" collapsed="false">
      <c r="A92" s="22" t="n">
        <v>84</v>
      </c>
      <c r="B92" s="24" t="n">
        <f aca="false">EDATE(Inputs!$C$6,A92-1)</f>
        <v>48639</v>
      </c>
      <c r="C92" s="24" t="n">
        <f aca="false">EDATE(Inputs!$C$6,A92)-1</f>
        <v>48669</v>
      </c>
      <c r="D92" s="10" t="str">
        <f aca="false">IF(A92&lt;=Inputs!$C$7,"Yes","No")</f>
        <v>No</v>
      </c>
      <c r="E92" s="27" t="n">
        <f aca="false">IF(N(Inputs!$C$12)=0,1,(1+Inputs!$C$11)^INT((A92-1)/Inputs!$C$12))</f>
        <v>1.340095640625</v>
      </c>
      <c r="F92" s="28" t="n">
        <f aca="false">IF(AND(D92="Yes",Inputs!$C$10="Advance",MOD(A92-1,Inputs!$C$22)=0),Inputs!$C$8*E92,0)</f>
        <v>0</v>
      </c>
      <c r="G92" s="28" t="n">
        <f aca="false">IF(AND(D92="Yes",Inputs!$C$10="Arrears",MOD(A92,Inputs!$C$22)=0),Inputs!$C$8*IF(N(Inputs!$C$12)=0,1,(1+Inputs!$C$11)^INT((A92-Inputs!$C$22)/Inputs!$C$12)),0)</f>
        <v>0</v>
      </c>
      <c r="H92" s="29" t="n">
        <f aca="false">1/(1+Inputs!$C$23)^(A92-1)</f>
        <v>0.533808734501098</v>
      </c>
      <c r="I92" s="29" t="n">
        <f aca="false">1/(1+Inputs!$C$23)^A92</f>
        <v>0.529786839542016</v>
      </c>
      <c r="J92" s="30" t="n">
        <f aca="false">F92*H92+G92*I92</f>
        <v>0</v>
      </c>
      <c r="K92" s="30" t="n">
        <f aca="false">M91</f>
        <v>-2.31665708150703E-009</v>
      </c>
      <c r="L92" s="30" t="n">
        <f aca="false">IF(D92="Yes",(K92-F92)*Inputs!$C$23,0)</f>
        <v>0</v>
      </c>
      <c r="M92" s="30" t="n">
        <f aca="false">K92-F92+L92-G92</f>
        <v>-2.31665708150703E-009</v>
      </c>
      <c r="N92" s="30" t="n">
        <f aca="false">F92+G92</f>
        <v>0</v>
      </c>
      <c r="O92" s="30" t="n">
        <f aca="false">N92-L92</f>
        <v>0</v>
      </c>
      <c r="P92" s="30" t="n">
        <f aca="false">R91</f>
        <v>1.30967237055302E-009</v>
      </c>
      <c r="Q92" s="30" t="n">
        <f aca="false">IF(A92&lt;=Inputs!$C$24,Inputs!$C$29/Inputs!$C$24,0)</f>
        <v>0</v>
      </c>
      <c r="R92" s="30" t="n">
        <f aca="false">P92-Q92</f>
        <v>1.30967237055302E-009</v>
      </c>
      <c r="S92" s="10" t="str">
        <f aca="false">"FY "&amp;(YEAR(B92)-(MONTH(B92)&lt;4))&amp;"-"&amp;RIGHT(YEAR(B92)-(MONTH(B92)&lt;4)+1,2)</f>
        <v>FY 2032-33</v>
      </c>
    </row>
    <row r="93" customFormat="false" ht="15" hidden="false" customHeight="false" outlineLevel="0" collapsed="false">
      <c r="A93" s="22" t="n">
        <v>85</v>
      </c>
      <c r="B93" s="24" t="n">
        <f aca="false">EDATE(Inputs!$C$6,A93-1)</f>
        <v>48670</v>
      </c>
      <c r="C93" s="24" t="n">
        <f aca="false">EDATE(Inputs!$C$6,A93)-1</f>
        <v>48699</v>
      </c>
      <c r="D93" s="10" t="str">
        <f aca="false">IF(A93&lt;=Inputs!$C$7,"Yes","No")</f>
        <v>No</v>
      </c>
      <c r="E93" s="27" t="n">
        <f aca="false">IF(N(Inputs!$C$12)=0,1,(1+Inputs!$C$11)^INT((A93-1)/Inputs!$C$12))</f>
        <v>1.40710042265625</v>
      </c>
      <c r="F93" s="28" t="n">
        <f aca="false">IF(AND(D93="Yes",Inputs!$C$10="Advance",MOD(A93-1,Inputs!$C$22)=0),Inputs!$C$8*E93,0)</f>
        <v>0</v>
      </c>
      <c r="G93" s="28" t="n">
        <f aca="false">IF(AND(D93="Yes",Inputs!$C$10="Arrears",MOD(A93,Inputs!$C$22)=0),Inputs!$C$8*IF(N(Inputs!$C$12)=0,1,(1+Inputs!$C$11)^INT((A93-Inputs!$C$22)/Inputs!$C$12)),0)</f>
        <v>0</v>
      </c>
      <c r="H93" s="29" t="n">
        <f aca="false">1/(1+Inputs!$C$23)^(A93-1)</f>
        <v>0.529786839542016</v>
      </c>
      <c r="I93" s="29" t="n">
        <f aca="false">1/(1+Inputs!$C$23)^A93</f>
        <v>0.525795246895384</v>
      </c>
      <c r="J93" s="30" t="n">
        <f aca="false">F93*H93+G93*I93</f>
        <v>0</v>
      </c>
      <c r="K93" s="30" t="n">
        <f aca="false">M92</f>
        <v>-2.31665708150703E-009</v>
      </c>
      <c r="L93" s="30" t="n">
        <f aca="false">IF(D93="Yes",(K93-F93)*Inputs!$C$23,0)</f>
        <v>0</v>
      </c>
      <c r="M93" s="30" t="n">
        <f aca="false">K93-F93+L93-G93</f>
        <v>-2.31665708150703E-009</v>
      </c>
      <c r="N93" s="30" t="n">
        <f aca="false">F93+G93</f>
        <v>0</v>
      </c>
      <c r="O93" s="30" t="n">
        <f aca="false">N93-L93</f>
        <v>0</v>
      </c>
      <c r="P93" s="30" t="n">
        <f aca="false">R92</f>
        <v>1.30967237055302E-009</v>
      </c>
      <c r="Q93" s="30" t="n">
        <f aca="false">IF(A93&lt;=Inputs!$C$24,Inputs!$C$29/Inputs!$C$24,0)</f>
        <v>0</v>
      </c>
      <c r="R93" s="30" t="n">
        <f aca="false">P93-Q93</f>
        <v>1.30967237055302E-009</v>
      </c>
      <c r="S93" s="10" t="str">
        <f aca="false">"FY "&amp;(YEAR(B93)-(MONTH(B93)&lt;4))&amp;"-"&amp;RIGHT(YEAR(B93)-(MONTH(B93)&lt;4)+1,2)</f>
        <v>FY 2033-34</v>
      </c>
    </row>
    <row r="94" customFormat="false" ht="15" hidden="false" customHeight="false" outlineLevel="0" collapsed="false">
      <c r="A94" s="22" t="n">
        <v>86</v>
      </c>
      <c r="B94" s="24" t="n">
        <f aca="false">EDATE(Inputs!$C$6,A94-1)</f>
        <v>48700</v>
      </c>
      <c r="C94" s="24" t="n">
        <f aca="false">EDATE(Inputs!$C$6,A94)-1</f>
        <v>48730</v>
      </c>
      <c r="D94" s="10" t="str">
        <f aca="false">IF(A94&lt;=Inputs!$C$7,"Yes","No")</f>
        <v>No</v>
      </c>
      <c r="E94" s="27" t="n">
        <f aca="false">IF(N(Inputs!$C$12)=0,1,(1+Inputs!$C$11)^INT((A94-1)/Inputs!$C$12))</f>
        <v>1.40710042265625</v>
      </c>
      <c r="F94" s="28" t="n">
        <f aca="false">IF(AND(D94="Yes",Inputs!$C$10="Advance",MOD(A94-1,Inputs!$C$22)=0),Inputs!$C$8*E94,0)</f>
        <v>0</v>
      </c>
      <c r="G94" s="28" t="n">
        <f aca="false">IF(AND(D94="Yes",Inputs!$C$10="Arrears",MOD(A94,Inputs!$C$22)=0),Inputs!$C$8*IF(N(Inputs!$C$12)=0,1,(1+Inputs!$C$11)^INT((A94-Inputs!$C$22)/Inputs!$C$12)),0)</f>
        <v>0</v>
      </c>
      <c r="H94" s="29" t="n">
        <f aca="false">1/(1+Inputs!$C$23)^(A94-1)</f>
        <v>0.525795246895384</v>
      </c>
      <c r="I94" s="29" t="n">
        <f aca="false">1/(1+Inputs!$C$23)^A94</f>
        <v>0.521833728253366</v>
      </c>
      <c r="J94" s="30" t="n">
        <f aca="false">F94*H94+G94*I94</f>
        <v>0</v>
      </c>
      <c r="K94" s="30" t="n">
        <f aca="false">M93</f>
        <v>-2.31665708150703E-009</v>
      </c>
      <c r="L94" s="30" t="n">
        <f aca="false">IF(D94="Yes",(K94-F94)*Inputs!$C$23,0)</f>
        <v>0</v>
      </c>
      <c r="M94" s="30" t="n">
        <f aca="false">K94-F94+L94-G94</f>
        <v>-2.31665708150703E-009</v>
      </c>
      <c r="N94" s="30" t="n">
        <f aca="false">F94+G94</f>
        <v>0</v>
      </c>
      <c r="O94" s="30" t="n">
        <f aca="false">N94-L94</f>
        <v>0</v>
      </c>
      <c r="P94" s="30" t="n">
        <f aca="false">R93</f>
        <v>1.30967237055302E-009</v>
      </c>
      <c r="Q94" s="30" t="n">
        <f aca="false">IF(A94&lt;=Inputs!$C$24,Inputs!$C$29/Inputs!$C$24,0)</f>
        <v>0</v>
      </c>
      <c r="R94" s="30" t="n">
        <f aca="false">P94-Q94</f>
        <v>1.30967237055302E-009</v>
      </c>
      <c r="S94" s="10" t="str">
        <f aca="false">"FY "&amp;(YEAR(B94)-(MONTH(B94)&lt;4))&amp;"-"&amp;RIGHT(YEAR(B94)-(MONTH(B94)&lt;4)+1,2)</f>
        <v>FY 2033-34</v>
      </c>
    </row>
    <row r="95" customFormat="false" ht="15" hidden="false" customHeight="false" outlineLevel="0" collapsed="false">
      <c r="A95" s="22" t="n">
        <v>87</v>
      </c>
      <c r="B95" s="24" t="n">
        <f aca="false">EDATE(Inputs!$C$6,A95-1)</f>
        <v>48731</v>
      </c>
      <c r="C95" s="24" t="n">
        <f aca="false">EDATE(Inputs!$C$6,A95)-1</f>
        <v>48760</v>
      </c>
      <c r="D95" s="10" t="str">
        <f aca="false">IF(A95&lt;=Inputs!$C$7,"Yes","No")</f>
        <v>No</v>
      </c>
      <c r="E95" s="27" t="n">
        <f aca="false">IF(N(Inputs!$C$12)=0,1,(1+Inputs!$C$11)^INT((A95-1)/Inputs!$C$12))</f>
        <v>1.40710042265625</v>
      </c>
      <c r="F95" s="28" t="n">
        <f aca="false">IF(AND(D95="Yes",Inputs!$C$10="Advance",MOD(A95-1,Inputs!$C$22)=0),Inputs!$C$8*E95,0)</f>
        <v>0</v>
      </c>
      <c r="G95" s="28" t="n">
        <f aca="false">IF(AND(D95="Yes",Inputs!$C$10="Arrears",MOD(A95,Inputs!$C$22)=0),Inputs!$C$8*IF(N(Inputs!$C$12)=0,1,(1+Inputs!$C$11)^INT((A95-Inputs!$C$22)/Inputs!$C$12)),0)</f>
        <v>0</v>
      </c>
      <c r="H95" s="29" t="n">
        <f aca="false">1/(1+Inputs!$C$23)^(A95-1)</f>
        <v>0.521833728253366</v>
      </c>
      <c r="I95" s="29" t="n">
        <f aca="false">1/(1+Inputs!$C$23)^A95</f>
        <v>0.517902057028273</v>
      </c>
      <c r="J95" s="30" t="n">
        <f aca="false">F95*H95+G95*I95</f>
        <v>0</v>
      </c>
      <c r="K95" s="30" t="n">
        <f aca="false">M94</f>
        <v>-2.31665708150703E-009</v>
      </c>
      <c r="L95" s="30" t="n">
        <f aca="false">IF(D95="Yes",(K95-F95)*Inputs!$C$23,0)</f>
        <v>0</v>
      </c>
      <c r="M95" s="30" t="n">
        <f aca="false">K95-F95+L95-G95</f>
        <v>-2.31665708150703E-009</v>
      </c>
      <c r="N95" s="30" t="n">
        <f aca="false">F95+G95</f>
        <v>0</v>
      </c>
      <c r="O95" s="30" t="n">
        <f aca="false">N95-L95</f>
        <v>0</v>
      </c>
      <c r="P95" s="30" t="n">
        <f aca="false">R94</f>
        <v>1.30967237055302E-009</v>
      </c>
      <c r="Q95" s="30" t="n">
        <f aca="false">IF(A95&lt;=Inputs!$C$24,Inputs!$C$29/Inputs!$C$24,0)</f>
        <v>0</v>
      </c>
      <c r="R95" s="30" t="n">
        <f aca="false">P95-Q95</f>
        <v>1.30967237055302E-009</v>
      </c>
      <c r="S95" s="10" t="str">
        <f aca="false">"FY "&amp;(YEAR(B95)-(MONTH(B95)&lt;4))&amp;"-"&amp;RIGHT(YEAR(B95)-(MONTH(B95)&lt;4)+1,2)</f>
        <v>FY 2033-34</v>
      </c>
    </row>
    <row r="96" customFormat="false" ht="15" hidden="false" customHeight="false" outlineLevel="0" collapsed="false">
      <c r="A96" s="22" t="n">
        <v>88</v>
      </c>
      <c r="B96" s="24" t="n">
        <f aca="false">EDATE(Inputs!$C$6,A96-1)</f>
        <v>48761</v>
      </c>
      <c r="C96" s="24" t="n">
        <f aca="false">EDATE(Inputs!$C$6,A96)-1</f>
        <v>48791</v>
      </c>
      <c r="D96" s="10" t="str">
        <f aca="false">IF(A96&lt;=Inputs!$C$7,"Yes","No")</f>
        <v>No</v>
      </c>
      <c r="E96" s="27" t="n">
        <f aca="false">IF(N(Inputs!$C$12)=0,1,(1+Inputs!$C$11)^INT((A96-1)/Inputs!$C$12))</f>
        <v>1.40710042265625</v>
      </c>
      <c r="F96" s="28" t="n">
        <f aca="false">IF(AND(D96="Yes",Inputs!$C$10="Advance",MOD(A96-1,Inputs!$C$22)=0),Inputs!$C$8*E96,0)</f>
        <v>0</v>
      </c>
      <c r="G96" s="28" t="n">
        <f aca="false">IF(AND(D96="Yes",Inputs!$C$10="Arrears",MOD(A96,Inputs!$C$22)=0),Inputs!$C$8*IF(N(Inputs!$C$12)=0,1,(1+Inputs!$C$11)^INT((A96-Inputs!$C$22)/Inputs!$C$12)),0)</f>
        <v>0</v>
      </c>
      <c r="H96" s="29" t="n">
        <f aca="false">1/(1+Inputs!$C$23)^(A96-1)</f>
        <v>0.517902057028273</v>
      </c>
      <c r="I96" s="29" t="n">
        <f aca="false">1/(1+Inputs!$C$23)^A96</f>
        <v>0.514000008339603</v>
      </c>
      <c r="J96" s="30" t="n">
        <f aca="false">F96*H96+G96*I96</f>
        <v>0</v>
      </c>
      <c r="K96" s="30" t="n">
        <f aca="false">M95</f>
        <v>-2.31665708150703E-009</v>
      </c>
      <c r="L96" s="30" t="n">
        <f aca="false">IF(D96="Yes",(K96-F96)*Inputs!$C$23,0)</f>
        <v>0</v>
      </c>
      <c r="M96" s="30" t="n">
        <f aca="false">K96-F96+L96-G96</f>
        <v>-2.31665708150703E-009</v>
      </c>
      <c r="N96" s="30" t="n">
        <f aca="false">F96+G96</f>
        <v>0</v>
      </c>
      <c r="O96" s="30" t="n">
        <f aca="false">N96-L96</f>
        <v>0</v>
      </c>
      <c r="P96" s="30" t="n">
        <f aca="false">R95</f>
        <v>1.30967237055302E-009</v>
      </c>
      <c r="Q96" s="30" t="n">
        <f aca="false">IF(A96&lt;=Inputs!$C$24,Inputs!$C$29/Inputs!$C$24,0)</f>
        <v>0</v>
      </c>
      <c r="R96" s="30" t="n">
        <f aca="false">P96-Q96</f>
        <v>1.30967237055302E-009</v>
      </c>
      <c r="S96" s="10" t="str">
        <f aca="false">"FY "&amp;(YEAR(B96)-(MONTH(B96)&lt;4))&amp;"-"&amp;RIGHT(YEAR(B96)-(MONTH(B96)&lt;4)+1,2)</f>
        <v>FY 2033-34</v>
      </c>
    </row>
    <row r="97" customFormat="false" ht="15" hidden="false" customHeight="false" outlineLevel="0" collapsed="false">
      <c r="A97" s="22" t="n">
        <v>89</v>
      </c>
      <c r="B97" s="24" t="n">
        <f aca="false">EDATE(Inputs!$C$6,A97-1)</f>
        <v>48792</v>
      </c>
      <c r="C97" s="24" t="n">
        <f aca="false">EDATE(Inputs!$C$6,A97)-1</f>
        <v>48822</v>
      </c>
      <c r="D97" s="10" t="str">
        <f aca="false">IF(A97&lt;=Inputs!$C$7,"Yes","No")</f>
        <v>No</v>
      </c>
      <c r="E97" s="27" t="n">
        <f aca="false">IF(N(Inputs!$C$12)=0,1,(1+Inputs!$C$11)^INT((A97-1)/Inputs!$C$12))</f>
        <v>1.40710042265625</v>
      </c>
      <c r="F97" s="28" t="n">
        <f aca="false">IF(AND(D97="Yes",Inputs!$C$10="Advance",MOD(A97-1,Inputs!$C$22)=0),Inputs!$C$8*E97,0)</f>
        <v>0</v>
      </c>
      <c r="G97" s="28" t="n">
        <f aca="false">IF(AND(D97="Yes",Inputs!$C$10="Arrears",MOD(A97,Inputs!$C$22)=0),Inputs!$C$8*IF(N(Inputs!$C$12)=0,1,(1+Inputs!$C$11)^INT((A97-Inputs!$C$22)/Inputs!$C$12)),0)</f>
        <v>0</v>
      </c>
      <c r="H97" s="29" t="n">
        <f aca="false">1/(1+Inputs!$C$23)^(A97-1)</f>
        <v>0.514000008339603</v>
      </c>
      <c r="I97" s="29" t="n">
        <f aca="false">1/(1+Inputs!$C$23)^A97</f>
        <v>0.510127359001181</v>
      </c>
      <c r="J97" s="30" t="n">
        <f aca="false">F97*H97+G97*I97</f>
        <v>0</v>
      </c>
      <c r="K97" s="30" t="n">
        <f aca="false">M96</f>
        <v>-2.31665708150703E-009</v>
      </c>
      <c r="L97" s="30" t="n">
        <f aca="false">IF(D97="Yes",(K97-F97)*Inputs!$C$23,0)</f>
        <v>0</v>
      </c>
      <c r="M97" s="30" t="n">
        <f aca="false">K97-F97+L97-G97</f>
        <v>-2.31665708150703E-009</v>
      </c>
      <c r="N97" s="30" t="n">
        <f aca="false">F97+G97</f>
        <v>0</v>
      </c>
      <c r="O97" s="30" t="n">
        <f aca="false">N97-L97</f>
        <v>0</v>
      </c>
      <c r="P97" s="30" t="n">
        <f aca="false">R96</f>
        <v>1.30967237055302E-009</v>
      </c>
      <c r="Q97" s="30" t="n">
        <f aca="false">IF(A97&lt;=Inputs!$C$24,Inputs!$C$29/Inputs!$C$24,0)</f>
        <v>0</v>
      </c>
      <c r="R97" s="30" t="n">
        <f aca="false">P97-Q97</f>
        <v>1.30967237055302E-009</v>
      </c>
      <c r="S97" s="10" t="str">
        <f aca="false">"FY "&amp;(YEAR(B97)-(MONTH(B97)&lt;4))&amp;"-"&amp;RIGHT(YEAR(B97)-(MONTH(B97)&lt;4)+1,2)</f>
        <v>FY 2033-34</v>
      </c>
    </row>
    <row r="98" customFormat="false" ht="15" hidden="false" customHeight="false" outlineLevel="0" collapsed="false">
      <c r="A98" s="22" t="n">
        <v>90</v>
      </c>
      <c r="B98" s="24" t="n">
        <f aca="false">EDATE(Inputs!$C$6,A98-1)</f>
        <v>48823</v>
      </c>
      <c r="C98" s="24" t="n">
        <f aca="false">EDATE(Inputs!$C$6,A98)-1</f>
        <v>48852</v>
      </c>
      <c r="D98" s="10" t="str">
        <f aca="false">IF(A98&lt;=Inputs!$C$7,"Yes","No")</f>
        <v>No</v>
      </c>
      <c r="E98" s="27" t="n">
        <f aca="false">IF(N(Inputs!$C$12)=0,1,(1+Inputs!$C$11)^INT((A98-1)/Inputs!$C$12))</f>
        <v>1.40710042265625</v>
      </c>
      <c r="F98" s="28" t="n">
        <f aca="false">IF(AND(D98="Yes",Inputs!$C$10="Advance",MOD(A98-1,Inputs!$C$22)=0),Inputs!$C$8*E98,0)</f>
        <v>0</v>
      </c>
      <c r="G98" s="28" t="n">
        <f aca="false">IF(AND(D98="Yes",Inputs!$C$10="Arrears",MOD(A98,Inputs!$C$22)=0),Inputs!$C$8*IF(N(Inputs!$C$12)=0,1,(1+Inputs!$C$11)^INT((A98-Inputs!$C$22)/Inputs!$C$12)),0)</f>
        <v>0</v>
      </c>
      <c r="H98" s="29" t="n">
        <f aca="false">1/(1+Inputs!$C$23)^(A98-1)</f>
        <v>0.510127359001181</v>
      </c>
      <c r="I98" s="29" t="n">
        <f aca="false">1/(1+Inputs!$C$23)^A98</f>
        <v>0.506283887508392</v>
      </c>
      <c r="J98" s="30" t="n">
        <f aca="false">F98*H98+G98*I98</f>
        <v>0</v>
      </c>
      <c r="K98" s="30" t="n">
        <f aca="false">M97</f>
        <v>-2.31665708150703E-009</v>
      </c>
      <c r="L98" s="30" t="n">
        <f aca="false">IF(D98="Yes",(K98-F98)*Inputs!$C$23,0)</f>
        <v>0</v>
      </c>
      <c r="M98" s="30" t="n">
        <f aca="false">K98-F98+L98-G98</f>
        <v>-2.31665708150703E-009</v>
      </c>
      <c r="N98" s="30" t="n">
        <f aca="false">F98+G98</f>
        <v>0</v>
      </c>
      <c r="O98" s="30" t="n">
        <f aca="false">N98-L98</f>
        <v>0</v>
      </c>
      <c r="P98" s="30" t="n">
        <f aca="false">R97</f>
        <v>1.30967237055302E-009</v>
      </c>
      <c r="Q98" s="30" t="n">
        <f aca="false">IF(A98&lt;=Inputs!$C$24,Inputs!$C$29/Inputs!$C$24,0)</f>
        <v>0</v>
      </c>
      <c r="R98" s="30" t="n">
        <f aca="false">P98-Q98</f>
        <v>1.30967237055302E-009</v>
      </c>
      <c r="S98" s="10" t="str">
        <f aca="false">"FY "&amp;(YEAR(B98)-(MONTH(B98)&lt;4))&amp;"-"&amp;RIGHT(YEAR(B98)-(MONTH(B98)&lt;4)+1,2)</f>
        <v>FY 2033-34</v>
      </c>
    </row>
    <row r="99" customFormat="false" ht="15" hidden="false" customHeight="false" outlineLevel="0" collapsed="false">
      <c r="A99" s="22" t="n">
        <v>91</v>
      </c>
      <c r="B99" s="24" t="n">
        <f aca="false">EDATE(Inputs!$C$6,A99-1)</f>
        <v>48853</v>
      </c>
      <c r="C99" s="24" t="n">
        <f aca="false">EDATE(Inputs!$C$6,A99)-1</f>
        <v>48883</v>
      </c>
      <c r="D99" s="10" t="str">
        <f aca="false">IF(A99&lt;=Inputs!$C$7,"Yes","No")</f>
        <v>No</v>
      </c>
      <c r="E99" s="27" t="n">
        <f aca="false">IF(N(Inputs!$C$12)=0,1,(1+Inputs!$C$11)^INT((A99-1)/Inputs!$C$12))</f>
        <v>1.40710042265625</v>
      </c>
      <c r="F99" s="28" t="n">
        <f aca="false">IF(AND(D99="Yes",Inputs!$C$10="Advance",MOD(A99-1,Inputs!$C$22)=0),Inputs!$C$8*E99,0)</f>
        <v>0</v>
      </c>
      <c r="G99" s="28" t="n">
        <f aca="false">IF(AND(D99="Yes",Inputs!$C$10="Arrears",MOD(A99,Inputs!$C$22)=0),Inputs!$C$8*IF(N(Inputs!$C$12)=0,1,(1+Inputs!$C$11)^INT((A99-Inputs!$C$22)/Inputs!$C$12)),0)</f>
        <v>0</v>
      </c>
      <c r="H99" s="29" t="n">
        <f aca="false">1/(1+Inputs!$C$23)^(A99-1)</f>
        <v>0.506283887508392</v>
      </c>
      <c r="I99" s="29" t="n">
        <f aca="false">1/(1+Inputs!$C$23)^A99</f>
        <v>0.50246937402551</v>
      </c>
      <c r="J99" s="30" t="n">
        <f aca="false">F99*H99+G99*I99</f>
        <v>0</v>
      </c>
      <c r="K99" s="30" t="n">
        <f aca="false">M98</f>
        <v>-2.31665708150703E-009</v>
      </c>
      <c r="L99" s="30" t="n">
        <f aca="false">IF(D99="Yes",(K99-F99)*Inputs!$C$23,0)</f>
        <v>0</v>
      </c>
      <c r="M99" s="30" t="n">
        <f aca="false">K99-F99+L99-G99</f>
        <v>-2.31665708150703E-009</v>
      </c>
      <c r="N99" s="30" t="n">
        <f aca="false">F99+G99</f>
        <v>0</v>
      </c>
      <c r="O99" s="30" t="n">
        <f aca="false">N99-L99</f>
        <v>0</v>
      </c>
      <c r="P99" s="30" t="n">
        <f aca="false">R98</f>
        <v>1.30967237055302E-009</v>
      </c>
      <c r="Q99" s="30" t="n">
        <f aca="false">IF(A99&lt;=Inputs!$C$24,Inputs!$C$29/Inputs!$C$24,0)</f>
        <v>0</v>
      </c>
      <c r="R99" s="30" t="n">
        <f aca="false">P99-Q99</f>
        <v>1.30967237055302E-009</v>
      </c>
      <c r="S99" s="10" t="str">
        <f aca="false">"FY "&amp;(YEAR(B99)-(MONTH(B99)&lt;4))&amp;"-"&amp;RIGHT(YEAR(B99)-(MONTH(B99)&lt;4)+1,2)</f>
        <v>FY 2033-34</v>
      </c>
    </row>
    <row r="100" customFormat="false" ht="15" hidden="false" customHeight="false" outlineLevel="0" collapsed="false">
      <c r="A100" s="22" t="n">
        <v>92</v>
      </c>
      <c r="B100" s="24" t="n">
        <f aca="false">EDATE(Inputs!$C$6,A100-1)</f>
        <v>48884</v>
      </c>
      <c r="C100" s="24" t="n">
        <f aca="false">EDATE(Inputs!$C$6,A100)-1</f>
        <v>48913</v>
      </c>
      <c r="D100" s="10" t="str">
        <f aca="false">IF(A100&lt;=Inputs!$C$7,"Yes","No")</f>
        <v>No</v>
      </c>
      <c r="E100" s="27" t="n">
        <f aca="false">IF(N(Inputs!$C$12)=0,1,(1+Inputs!$C$11)^INT((A100-1)/Inputs!$C$12))</f>
        <v>1.40710042265625</v>
      </c>
      <c r="F100" s="28" t="n">
        <f aca="false">IF(AND(D100="Yes",Inputs!$C$10="Advance",MOD(A100-1,Inputs!$C$22)=0),Inputs!$C$8*E100,0)</f>
        <v>0</v>
      </c>
      <c r="G100" s="28" t="n">
        <f aca="false">IF(AND(D100="Yes",Inputs!$C$10="Arrears",MOD(A100,Inputs!$C$22)=0),Inputs!$C$8*IF(N(Inputs!$C$12)=0,1,(1+Inputs!$C$11)^INT((A100-Inputs!$C$22)/Inputs!$C$12)),0)</f>
        <v>0</v>
      </c>
      <c r="H100" s="29" t="n">
        <f aca="false">1/(1+Inputs!$C$23)^(A100-1)</f>
        <v>0.50246937402551</v>
      </c>
      <c r="I100" s="29" t="n">
        <f aca="false">1/(1+Inputs!$C$23)^A100</f>
        <v>0.498683600373126</v>
      </c>
      <c r="J100" s="30" t="n">
        <f aca="false">F100*H100+G100*I100</f>
        <v>0</v>
      </c>
      <c r="K100" s="30" t="n">
        <f aca="false">M99</f>
        <v>-2.31665708150703E-009</v>
      </c>
      <c r="L100" s="30" t="n">
        <f aca="false">IF(D100="Yes",(K100-F100)*Inputs!$C$23,0)</f>
        <v>0</v>
      </c>
      <c r="M100" s="30" t="n">
        <f aca="false">K100-F100+L100-G100</f>
        <v>-2.31665708150703E-009</v>
      </c>
      <c r="N100" s="30" t="n">
        <f aca="false">F100+G100</f>
        <v>0</v>
      </c>
      <c r="O100" s="30" t="n">
        <f aca="false">N100-L100</f>
        <v>0</v>
      </c>
      <c r="P100" s="30" t="n">
        <f aca="false">R99</f>
        <v>1.30967237055302E-009</v>
      </c>
      <c r="Q100" s="30" t="n">
        <f aca="false">IF(A100&lt;=Inputs!$C$24,Inputs!$C$29/Inputs!$C$24,0)</f>
        <v>0</v>
      </c>
      <c r="R100" s="30" t="n">
        <f aca="false">P100-Q100</f>
        <v>1.30967237055302E-009</v>
      </c>
      <c r="S100" s="10" t="str">
        <f aca="false">"FY "&amp;(YEAR(B100)-(MONTH(B100)&lt;4))&amp;"-"&amp;RIGHT(YEAR(B100)-(MONTH(B100)&lt;4)+1,2)</f>
        <v>FY 2033-34</v>
      </c>
    </row>
    <row r="101" customFormat="false" ht="15" hidden="false" customHeight="false" outlineLevel="0" collapsed="false">
      <c r="A101" s="22" t="n">
        <v>93</v>
      </c>
      <c r="B101" s="24" t="n">
        <f aca="false">EDATE(Inputs!$C$6,A101-1)</f>
        <v>48914</v>
      </c>
      <c r="C101" s="24" t="n">
        <f aca="false">EDATE(Inputs!$C$6,A101)-1</f>
        <v>48944</v>
      </c>
      <c r="D101" s="10" t="str">
        <f aca="false">IF(A101&lt;=Inputs!$C$7,"Yes","No")</f>
        <v>No</v>
      </c>
      <c r="E101" s="27" t="n">
        <f aca="false">IF(N(Inputs!$C$12)=0,1,(1+Inputs!$C$11)^INT((A101-1)/Inputs!$C$12))</f>
        <v>1.40710042265625</v>
      </c>
      <c r="F101" s="28" t="n">
        <f aca="false">IF(AND(D101="Yes",Inputs!$C$10="Advance",MOD(A101-1,Inputs!$C$22)=0),Inputs!$C$8*E101,0)</f>
        <v>0</v>
      </c>
      <c r="G101" s="28" t="n">
        <f aca="false">IF(AND(D101="Yes",Inputs!$C$10="Arrears",MOD(A101,Inputs!$C$22)=0),Inputs!$C$8*IF(N(Inputs!$C$12)=0,1,(1+Inputs!$C$11)^INT((A101-Inputs!$C$22)/Inputs!$C$12)),0)</f>
        <v>0</v>
      </c>
      <c r="H101" s="29" t="n">
        <f aca="false">1/(1+Inputs!$C$23)^(A101-1)</f>
        <v>0.498683600373126</v>
      </c>
      <c r="I101" s="29" t="n">
        <f aca="false">1/(1+Inputs!$C$23)^A101</f>
        <v>0.494926350015669</v>
      </c>
      <c r="J101" s="30" t="n">
        <f aca="false">F101*H101+G101*I101</f>
        <v>0</v>
      </c>
      <c r="K101" s="30" t="n">
        <f aca="false">M100</f>
        <v>-2.31665708150703E-009</v>
      </c>
      <c r="L101" s="30" t="n">
        <f aca="false">IF(D101="Yes",(K101-F101)*Inputs!$C$23,0)</f>
        <v>0</v>
      </c>
      <c r="M101" s="30" t="n">
        <f aca="false">K101-F101+L101-G101</f>
        <v>-2.31665708150703E-009</v>
      </c>
      <c r="N101" s="30" t="n">
        <f aca="false">F101+G101</f>
        <v>0</v>
      </c>
      <c r="O101" s="30" t="n">
        <f aca="false">N101-L101</f>
        <v>0</v>
      </c>
      <c r="P101" s="30" t="n">
        <f aca="false">R100</f>
        <v>1.30967237055302E-009</v>
      </c>
      <c r="Q101" s="30" t="n">
        <f aca="false">IF(A101&lt;=Inputs!$C$24,Inputs!$C$29/Inputs!$C$24,0)</f>
        <v>0</v>
      </c>
      <c r="R101" s="30" t="n">
        <f aca="false">P101-Q101</f>
        <v>1.30967237055302E-009</v>
      </c>
      <c r="S101" s="10" t="str">
        <f aca="false">"FY "&amp;(YEAR(B101)-(MONTH(B101)&lt;4))&amp;"-"&amp;RIGHT(YEAR(B101)-(MONTH(B101)&lt;4)+1,2)</f>
        <v>FY 2033-34</v>
      </c>
    </row>
    <row r="102" customFormat="false" ht="15" hidden="false" customHeight="false" outlineLevel="0" collapsed="false">
      <c r="A102" s="22" t="n">
        <v>94</v>
      </c>
      <c r="B102" s="24" t="n">
        <f aca="false">EDATE(Inputs!$C$6,A102-1)</f>
        <v>48945</v>
      </c>
      <c r="C102" s="24" t="n">
        <f aca="false">EDATE(Inputs!$C$6,A102)-1</f>
        <v>48975</v>
      </c>
      <c r="D102" s="10" t="str">
        <f aca="false">IF(A102&lt;=Inputs!$C$7,"Yes","No")</f>
        <v>No</v>
      </c>
      <c r="E102" s="27" t="n">
        <f aca="false">IF(N(Inputs!$C$12)=0,1,(1+Inputs!$C$11)^INT((A102-1)/Inputs!$C$12))</f>
        <v>1.40710042265625</v>
      </c>
      <c r="F102" s="28" t="n">
        <f aca="false">IF(AND(D102="Yes",Inputs!$C$10="Advance",MOD(A102-1,Inputs!$C$22)=0),Inputs!$C$8*E102,0)</f>
        <v>0</v>
      </c>
      <c r="G102" s="28" t="n">
        <f aca="false">IF(AND(D102="Yes",Inputs!$C$10="Arrears",MOD(A102,Inputs!$C$22)=0),Inputs!$C$8*IF(N(Inputs!$C$12)=0,1,(1+Inputs!$C$11)^INT((A102-Inputs!$C$22)/Inputs!$C$12)),0)</f>
        <v>0</v>
      </c>
      <c r="H102" s="29" t="n">
        <f aca="false">1/(1+Inputs!$C$23)^(A102-1)</f>
        <v>0.494926350015669</v>
      </c>
      <c r="I102" s="29" t="n">
        <f aca="false">1/(1+Inputs!$C$23)^A102</f>
        <v>0.49119740804902</v>
      </c>
      <c r="J102" s="30" t="n">
        <f aca="false">F102*H102+G102*I102</f>
        <v>0</v>
      </c>
      <c r="K102" s="30" t="n">
        <f aca="false">M101</f>
        <v>-2.31665708150703E-009</v>
      </c>
      <c r="L102" s="30" t="n">
        <f aca="false">IF(D102="Yes",(K102-F102)*Inputs!$C$23,0)</f>
        <v>0</v>
      </c>
      <c r="M102" s="30" t="n">
        <f aca="false">K102-F102+L102-G102</f>
        <v>-2.31665708150703E-009</v>
      </c>
      <c r="N102" s="30" t="n">
        <f aca="false">F102+G102</f>
        <v>0</v>
      </c>
      <c r="O102" s="30" t="n">
        <f aca="false">N102-L102</f>
        <v>0</v>
      </c>
      <c r="P102" s="30" t="n">
        <f aca="false">R101</f>
        <v>1.30967237055302E-009</v>
      </c>
      <c r="Q102" s="30" t="n">
        <f aca="false">IF(A102&lt;=Inputs!$C$24,Inputs!$C$29/Inputs!$C$24,0)</f>
        <v>0</v>
      </c>
      <c r="R102" s="30" t="n">
        <f aca="false">P102-Q102</f>
        <v>1.30967237055302E-009</v>
      </c>
      <c r="S102" s="10" t="str">
        <f aca="false">"FY "&amp;(YEAR(B102)-(MONTH(B102)&lt;4))&amp;"-"&amp;RIGHT(YEAR(B102)-(MONTH(B102)&lt;4)+1,2)</f>
        <v>FY 2033-34</v>
      </c>
    </row>
    <row r="103" customFormat="false" ht="15" hidden="false" customHeight="false" outlineLevel="0" collapsed="false">
      <c r="A103" s="22" t="n">
        <v>95</v>
      </c>
      <c r="B103" s="24" t="n">
        <f aca="false">EDATE(Inputs!$C$6,A103-1)</f>
        <v>48976</v>
      </c>
      <c r="C103" s="24" t="n">
        <f aca="false">EDATE(Inputs!$C$6,A103)-1</f>
        <v>49003</v>
      </c>
      <c r="D103" s="10" t="str">
        <f aca="false">IF(A103&lt;=Inputs!$C$7,"Yes","No")</f>
        <v>No</v>
      </c>
      <c r="E103" s="27" t="n">
        <f aca="false">IF(N(Inputs!$C$12)=0,1,(1+Inputs!$C$11)^INT((A103-1)/Inputs!$C$12))</f>
        <v>1.40710042265625</v>
      </c>
      <c r="F103" s="28" t="n">
        <f aca="false">IF(AND(D103="Yes",Inputs!$C$10="Advance",MOD(A103-1,Inputs!$C$22)=0),Inputs!$C$8*E103,0)</f>
        <v>0</v>
      </c>
      <c r="G103" s="28" t="n">
        <f aca="false">IF(AND(D103="Yes",Inputs!$C$10="Arrears",MOD(A103,Inputs!$C$22)=0),Inputs!$C$8*IF(N(Inputs!$C$12)=0,1,(1+Inputs!$C$11)^INT((A103-Inputs!$C$22)/Inputs!$C$12)),0)</f>
        <v>0</v>
      </c>
      <c r="H103" s="29" t="n">
        <f aca="false">1/(1+Inputs!$C$23)^(A103-1)</f>
        <v>0.49119740804902</v>
      </c>
      <c r="I103" s="29" t="n">
        <f aca="false">1/(1+Inputs!$C$23)^A103</f>
        <v>0.487496561188218</v>
      </c>
      <c r="J103" s="30" t="n">
        <f aca="false">F103*H103+G103*I103</f>
        <v>0</v>
      </c>
      <c r="K103" s="30" t="n">
        <f aca="false">M102</f>
        <v>-2.31665708150703E-009</v>
      </c>
      <c r="L103" s="30" t="n">
        <f aca="false">IF(D103="Yes",(K103-F103)*Inputs!$C$23,0)</f>
        <v>0</v>
      </c>
      <c r="M103" s="30" t="n">
        <f aca="false">K103-F103+L103-G103</f>
        <v>-2.31665708150703E-009</v>
      </c>
      <c r="N103" s="30" t="n">
        <f aca="false">F103+G103</f>
        <v>0</v>
      </c>
      <c r="O103" s="30" t="n">
        <f aca="false">N103-L103</f>
        <v>0</v>
      </c>
      <c r="P103" s="30" t="n">
        <f aca="false">R102</f>
        <v>1.30967237055302E-009</v>
      </c>
      <c r="Q103" s="30" t="n">
        <f aca="false">IF(A103&lt;=Inputs!$C$24,Inputs!$C$29/Inputs!$C$24,0)</f>
        <v>0</v>
      </c>
      <c r="R103" s="30" t="n">
        <f aca="false">P103-Q103</f>
        <v>1.30967237055302E-009</v>
      </c>
      <c r="S103" s="10" t="str">
        <f aca="false">"FY "&amp;(YEAR(B103)-(MONTH(B103)&lt;4))&amp;"-"&amp;RIGHT(YEAR(B103)-(MONTH(B103)&lt;4)+1,2)</f>
        <v>FY 2033-34</v>
      </c>
    </row>
    <row r="104" customFormat="false" ht="15" hidden="false" customHeight="false" outlineLevel="0" collapsed="false">
      <c r="A104" s="22" t="n">
        <v>96</v>
      </c>
      <c r="B104" s="24" t="n">
        <f aca="false">EDATE(Inputs!$C$6,A104-1)</f>
        <v>49004</v>
      </c>
      <c r="C104" s="24" t="n">
        <f aca="false">EDATE(Inputs!$C$6,A104)-1</f>
        <v>49034</v>
      </c>
      <c r="D104" s="10" t="str">
        <f aca="false">IF(A104&lt;=Inputs!$C$7,"Yes","No")</f>
        <v>No</v>
      </c>
      <c r="E104" s="27" t="n">
        <f aca="false">IF(N(Inputs!$C$12)=0,1,(1+Inputs!$C$11)^INT((A104-1)/Inputs!$C$12))</f>
        <v>1.40710042265625</v>
      </c>
      <c r="F104" s="28" t="n">
        <f aca="false">IF(AND(D104="Yes",Inputs!$C$10="Advance",MOD(A104-1,Inputs!$C$22)=0),Inputs!$C$8*E104,0)</f>
        <v>0</v>
      </c>
      <c r="G104" s="28" t="n">
        <f aca="false">IF(AND(D104="Yes",Inputs!$C$10="Arrears",MOD(A104,Inputs!$C$22)=0),Inputs!$C$8*IF(N(Inputs!$C$12)=0,1,(1+Inputs!$C$11)^INT((A104-Inputs!$C$22)/Inputs!$C$12)),0)</f>
        <v>0</v>
      </c>
      <c r="H104" s="29" t="n">
        <f aca="false">1/(1+Inputs!$C$23)^(A104-1)</f>
        <v>0.487496561188218</v>
      </c>
      <c r="I104" s="29" t="n">
        <f aca="false">1/(1+Inputs!$C$23)^A104</f>
        <v>0.483823597755266</v>
      </c>
      <c r="J104" s="30" t="n">
        <f aca="false">F104*H104+G104*I104</f>
        <v>0</v>
      </c>
      <c r="K104" s="30" t="n">
        <f aca="false">M103</f>
        <v>-2.31665708150703E-009</v>
      </c>
      <c r="L104" s="30" t="n">
        <f aca="false">IF(D104="Yes",(K104-F104)*Inputs!$C$23,0)</f>
        <v>0</v>
      </c>
      <c r="M104" s="30" t="n">
        <f aca="false">K104-F104+L104-G104</f>
        <v>-2.31665708150703E-009</v>
      </c>
      <c r="N104" s="30" t="n">
        <f aca="false">F104+G104</f>
        <v>0</v>
      </c>
      <c r="O104" s="30" t="n">
        <f aca="false">N104-L104</f>
        <v>0</v>
      </c>
      <c r="P104" s="30" t="n">
        <f aca="false">R103</f>
        <v>1.30967237055302E-009</v>
      </c>
      <c r="Q104" s="30" t="n">
        <f aca="false">IF(A104&lt;=Inputs!$C$24,Inputs!$C$29/Inputs!$C$24,0)</f>
        <v>0</v>
      </c>
      <c r="R104" s="30" t="n">
        <f aca="false">P104-Q104</f>
        <v>1.30967237055302E-009</v>
      </c>
      <c r="S104" s="10" t="str">
        <f aca="false">"FY "&amp;(YEAR(B104)-(MONTH(B104)&lt;4))&amp;"-"&amp;RIGHT(YEAR(B104)-(MONTH(B104)&lt;4)+1,2)</f>
        <v>FY 2033-34</v>
      </c>
    </row>
    <row r="105" customFormat="false" ht="15" hidden="false" customHeight="false" outlineLevel="0" collapsed="false">
      <c r="A105" s="22" t="n">
        <v>97</v>
      </c>
      <c r="B105" s="24" t="n">
        <f aca="false">EDATE(Inputs!$C$6,A105-1)</f>
        <v>49035</v>
      </c>
      <c r="C105" s="24" t="n">
        <f aca="false">EDATE(Inputs!$C$6,A105)-1</f>
        <v>49064</v>
      </c>
      <c r="D105" s="10" t="str">
        <f aca="false">IF(A105&lt;=Inputs!$C$7,"Yes","No")</f>
        <v>No</v>
      </c>
      <c r="E105" s="27" t="n">
        <f aca="false">IF(N(Inputs!$C$12)=0,1,(1+Inputs!$C$11)^INT((A105-1)/Inputs!$C$12))</f>
        <v>1.47745544378906</v>
      </c>
      <c r="F105" s="28" t="n">
        <f aca="false">IF(AND(D105="Yes",Inputs!$C$10="Advance",MOD(A105-1,Inputs!$C$22)=0),Inputs!$C$8*E105,0)</f>
        <v>0</v>
      </c>
      <c r="G105" s="28" t="n">
        <f aca="false">IF(AND(D105="Yes",Inputs!$C$10="Arrears",MOD(A105,Inputs!$C$22)=0),Inputs!$C$8*IF(N(Inputs!$C$12)=0,1,(1+Inputs!$C$11)^INT((A105-Inputs!$C$22)/Inputs!$C$12)),0)</f>
        <v>0</v>
      </c>
      <c r="H105" s="29" t="n">
        <f aca="false">1/(1+Inputs!$C$23)^(A105-1)</f>
        <v>0.483823597755266</v>
      </c>
      <c r="I105" s="29" t="n">
        <f aca="false">1/(1+Inputs!$C$23)^A105</f>
        <v>0.480178307667018</v>
      </c>
      <c r="J105" s="30" t="n">
        <f aca="false">F105*H105+G105*I105</f>
        <v>0</v>
      </c>
      <c r="K105" s="30" t="n">
        <f aca="false">M104</f>
        <v>-2.31665708150703E-009</v>
      </c>
      <c r="L105" s="30" t="n">
        <f aca="false">IF(D105="Yes",(K105-F105)*Inputs!$C$23,0)</f>
        <v>0</v>
      </c>
      <c r="M105" s="30" t="n">
        <f aca="false">K105-F105+L105-G105</f>
        <v>-2.31665708150703E-009</v>
      </c>
      <c r="N105" s="30" t="n">
        <f aca="false">F105+G105</f>
        <v>0</v>
      </c>
      <c r="O105" s="30" t="n">
        <f aca="false">N105-L105</f>
        <v>0</v>
      </c>
      <c r="P105" s="30" t="n">
        <f aca="false">R104</f>
        <v>1.30967237055302E-009</v>
      </c>
      <c r="Q105" s="30" t="n">
        <f aca="false">IF(A105&lt;=Inputs!$C$24,Inputs!$C$29/Inputs!$C$24,0)</f>
        <v>0</v>
      </c>
      <c r="R105" s="30" t="n">
        <f aca="false">P105-Q105</f>
        <v>1.30967237055302E-009</v>
      </c>
      <c r="S105" s="10" t="str">
        <f aca="false">"FY "&amp;(YEAR(B105)-(MONTH(B105)&lt;4))&amp;"-"&amp;RIGHT(YEAR(B105)-(MONTH(B105)&lt;4)+1,2)</f>
        <v>FY 2034-35</v>
      </c>
    </row>
    <row r="106" customFormat="false" ht="15" hidden="false" customHeight="false" outlineLevel="0" collapsed="false">
      <c r="A106" s="22" t="n">
        <v>98</v>
      </c>
      <c r="B106" s="24" t="n">
        <f aca="false">EDATE(Inputs!$C$6,A106-1)</f>
        <v>49065</v>
      </c>
      <c r="C106" s="24" t="n">
        <f aca="false">EDATE(Inputs!$C$6,A106)-1</f>
        <v>49095</v>
      </c>
      <c r="D106" s="10" t="str">
        <f aca="false">IF(A106&lt;=Inputs!$C$7,"Yes","No")</f>
        <v>No</v>
      </c>
      <c r="E106" s="27" t="n">
        <f aca="false">IF(N(Inputs!$C$12)=0,1,(1+Inputs!$C$11)^INT((A106-1)/Inputs!$C$12))</f>
        <v>1.47745544378906</v>
      </c>
      <c r="F106" s="28" t="n">
        <f aca="false">IF(AND(D106="Yes",Inputs!$C$10="Advance",MOD(A106-1,Inputs!$C$22)=0),Inputs!$C$8*E106,0)</f>
        <v>0</v>
      </c>
      <c r="G106" s="28" t="n">
        <f aca="false">IF(AND(D106="Yes",Inputs!$C$10="Arrears",MOD(A106,Inputs!$C$22)=0),Inputs!$C$8*IF(N(Inputs!$C$12)=0,1,(1+Inputs!$C$11)^INT((A106-Inputs!$C$22)/Inputs!$C$12)),0)</f>
        <v>0</v>
      </c>
      <c r="H106" s="29" t="n">
        <f aca="false">1/(1+Inputs!$C$23)^(A106-1)</f>
        <v>0.480178307667018</v>
      </c>
      <c r="I106" s="29" t="n">
        <f aca="false">1/(1+Inputs!$C$23)^A106</f>
        <v>0.476560482423166</v>
      </c>
      <c r="J106" s="30" t="n">
        <f aca="false">F106*H106+G106*I106</f>
        <v>0</v>
      </c>
      <c r="K106" s="30" t="n">
        <f aca="false">M105</f>
        <v>-2.31665708150703E-009</v>
      </c>
      <c r="L106" s="30" t="n">
        <f aca="false">IF(D106="Yes",(K106-F106)*Inputs!$C$23,0)</f>
        <v>0</v>
      </c>
      <c r="M106" s="30" t="n">
        <f aca="false">K106-F106+L106-G106</f>
        <v>-2.31665708150703E-009</v>
      </c>
      <c r="N106" s="30" t="n">
        <f aca="false">F106+G106</f>
        <v>0</v>
      </c>
      <c r="O106" s="30" t="n">
        <f aca="false">N106-L106</f>
        <v>0</v>
      </c>
      <c r="P106" s="30" t="n">
        <f aca="false">R105</f>
        <v>1.30967237055302E-009</v>
      </c>
      <c r="Q106" s="30" t="n">
        <f aca="false">IF(A106&lt;=Inputs!$C$24,Inputs!$C$29/Inputs!$C$24,0)</f>
        <v>0</v>
      </c>
      <c r="R106" s="30" t="n">
        <f aca="false">P106-Q106</f>
        <v>1.30967237055302E-009</v>
      </c>
      <c r="S106" s="10" t="str">
        <f aca="false">"FY "&amp;(YEAR(B106)-(MONTH(B106)&lt;4))&amp;"-"&amp;RIGHT(YEAR(B106)-(MONTH(B106)&lt;4)+1,2)</f>
        <v>FY 2034-35</v>
      </c>
    </row>
    <row r="107" customFormat="false" ht="15" hidden="false" customHeight="false" outlineLevel="0" collapsed="false">
      <c r="A107" s="22" t="n">
        <v>99</v>
      </c>
      <c r="B107" s="24" t="n">
        <f aca="false">EDATE(Inputs!$C$6,A107-1)</f>
        <v>49096</v>
      </c>
      <c r="C107" s="24" t="n">
        <f aca="false">EDATE(Inputs!$C$6,A107)-1</f>
        <v>49125</v>
      </c>
      <c r="D107" s="10" t="str">
        <f aca="false">IF(A107&lt;=Inputs!$C$7,"Yes","No")</f>
        <v>No</v>
      </c>
      <c r="E107" s="27" t="n">
        <f aca="false">IF(N(Inputs!$C$12)=0,1,(1+Inputs!$C$11)^INT((A107-1)/Inputs!$C$12))</f>
        <v>1.47745544378906</v>
      </c>
      <c r="F107" s="28" t="n">
        <f aca="false">IF(AND(D107="Yes",Inputs!$C$10="Advance",MOD(A107-1,Inputs!$C$22)=0),Inputs!$C$8*E107,0)</f>
        <v>0</v>
      </c>
      <c r="G107" s="28" t="n">
        <f aca="false">IF(AND(D107="Yes",Inputs!$C$10="Arrears",MOD(A107,Inputs!$C$22)=0),Inputs!$C$8*IF(N(Inputs!$C$12)=0,1,(1+Inputs!$C$11)^INT((A107-Inputs!$C$22)/Inputs!$C$12)),0)</f>
        <v>0</v>
      </c>
      <c r="H107" s="29" t="n">
        <f aca="false">1/(1+Inputs!$C$23)^(A107-1)</f>
        <v>0.476560482423166</v>
      </c>
      <c r="I107" s="29" t="n">
        <f aca="false">1/(1+Inputs!$C$23)^A107</f>
        <v>0.472969915094313</v>
      </c>
      <c r="J107" s="30" t="n">
        <f aca="false">F107*H107+G107*I107</f>
        <v>0</v>
      </c>
      <c r="K107" s="30" t="n">
        <f aca="false">M106</f>
        <v>-2.31665708150703E-009</v>
      </c>
      <c r="L107" s="30" t="n">
        <f aca="false">IF(D107="Yes",(K107-F107)*Inputs!$C$23,0)</f>
        <v>0</v>
      </c>
      <c r="M107" s="30" t="n">
        <f aca="false">K107-F107+L107-G107</f>
        <v>-2.31665708150703E-009</v>
      </c>
      <c r="N107" s="30" t="n">
        <f aca="false">F107+G107</f>
        <v>0</v>
      </c>
      <c r="O107" s="30" t="n">
        <f aca="false">N107-L107</f>
        <v>0</v>
      </c>
      <c r="P107" s="30" t="n">
        <f aca="false">R106</f>
        <v>1.30967237055302E-009</v>
      </c>
      <c r="Q107" s="30" t="n">
        <f aca="false">IF(A107&lt;=Inputs!$C$24,Inputs!$C$29/Inputs!$C$24,0)</f>
        <v>0</v>
      </c>
      <c r="R107" s="30" t="n">
        <f aca="false">P107-Q107</f>
        <v>1.30967237055302E-009</v>
      </c>
      <c r="S107" s="10" t="str">
        <f aca="false">"FY "&amp;(YEAR(B107)-(MONTH(B107)&lt;4))&amp;"-"&amp;RIGHT(YEAR(B107)-(MONTH(B107)&lt;4)+1,2)</f>
        <v>FY 2034-35</v>
      </c>
    </row>
    <row r="108" customFormat="false" ht="15" hidden="false" customHeight="false" outlineLevel="0" collapsed="false">
      <c r="A108" s="22" t="n">
        <v>100</v>
      </c>
      <c r="B108" s="24" t="n">
        <f aca="false">EDATE(Inputs!$C$6,A108-1)</f>
        <v>49126</v>
      </c>
      <c r="C108" s="24" t="n">
        <f aca="false">EDATE(Inputs!$C$6,A108)-1</f>
        <v>49156</v>
      </c>
      <c r="D108" s="10" t="str">
        <f aca="false">IF(A108&lt;=Inputs!$C$7,"Yes","No")</f>
        <v>No</v>
      </c>
      <c r="E108" s="27" t="n">
        <f aca="false">IF(N(Inputs!$C$12)=0,1,(1+Inputs!$C$11)^INT((A108-1)/Inputs!$C$12))</f>
        <v>1.47745544378906</v>
      </c>
      <c r="F108" s="28" t="n">
        <f aca="false">IF(AND(D108="Yes",Inputs!$C$10="Advance",MOD(A108-1,Inputs!$C$22)=0),Inputs!$C$8*E108,0)</f>
        <v>0</v>
      </c>
      <c r="G108" s="28" t="n">
        <f aca="false">IF(AND(D108="Yes",Inputs!$C$10="Arrears",MOD(A108,Inputs!$C$22)=0),Inputs!$C$8*IF(N(Inputs!$C$12)=0,1,(1+Inputs!$C$11)^INT((A108-Inputs!$C$22)/Inputs!$C$12)),0)</f>
        <v>0</v>
      </c>
      <c r="H108" s="29" t="n">
        <f aca="false">1/(1+Inputs!$C$23)^(A108-1)</f>
        <v>0.472969915094313</v>
      </c>
      <c r="I108" s="29" t="n">
        <f aca="false">1/(1+Inputs!$C$23)^A108</f>
        <v>0.46940640031014</v>
      </c>
      <c r="J108" s="30" t="n">
        <f aca="false">F108*H108+G108*I108</f>
        <v>0</v>
      </c>
      <c r="K108" s="30" t="n">
        <f aca="false">M107</f>
        <v>-2.31665708150703E-009</v>
      </c>
      <c r="L108" s="30" t="n">
        <f aca="false">IF(D108="Yes",(K108-F108)*Inputs!$C$23,0)</f>
        <v>0</v>
      </c>
      <c r="M108" s="30" t="n">
        <f aca="false">K108-F108+L108-G108</f>
        <v>-2.31665708150703E-009</v>
      </c>
      <c r="N108" s="30" t="n">
        <f aca="false">F108+G108</f>
        <v>0</v>
      </c>
      <c r="O108" s="30" t="n">
        <f aca="false">N108-L108</f>
        <v>0</v>
      </c>
      <c r="P108" s="30" t="n">
        <f aca="false">R107</f>
        <v>1.30967237055302E-009</v>
      </c>
      <c r="Q108" s="30" t="n">
        <f aca="false">IF(A108&lt;=Inputs!$C$24,Inputs!$C$29/Inputs!$C$24,0)</f>
        <v>0</v>
      </c>
      <c r="R108" s="30" t="n">
        <f aca="false">P108-Q108</f>
        <v>1.30967237055302E-009</v>
      </c>
      <c r="S108" s="10" t="str">
        <f aca="false">"FY "&amp;(YEAR(B108)-(MONTH(B108)&lt;4))&amp;"-"&amp;RIGHT(YEAR(B108)-(MONTH(B108)&lt;4)+1,2)</f>
        <v>FY 2034-35</v>
      </c>
    </row>
    <row r="109" customFormat="false" ht="15" hidden="false" customHeight="false" outlineLevel="0" collapsed="false">
      <c r="A109" s="22" t="n">
        <v>101</v>
      </c>
      <c r="B109" s="24" t="n">
        <f aca="false">EDATE(Inputs!$C$6,A109-1)</f>
        <v>49157</v>
      </c>
      <c r="C109" s="24" t="n">
        <f aca="false">EDATE(Inputs!$C$6,A109)-1</f>
        <v>49187</v>
      </c>
      <c r="D109" s="10" t="str">
        <f aca="false">IF(A109&lt;=Inputs!$C$7,"Yes","No")</f>
        <v>No</v>
      </c>
      <c r="E109" s="27" t="n">
        <f aca="false">IF(N(Inputs!$C$12)=0,1,(1+Inputs!$C$11)^INT((A109-1)/Inputs!$C$12))</f>
        <v>1.47745544378906</v>
      </c>
      <c r="F109" s="28" t="n">
        <f aca="false">IF(AND(D109="Yes",Inputs!$C$10="Advance",MOD(A109-1,Inputs!$C$22)=0),Inputs!$C$8*E109,0)</f>
        <v>0</v>
      </c>
      <c r="G109" s="28" t="n">
        <f aca="false">IF(AND(D109="Yes",Inputs!$C$10="Arrears",MOD(A109,Inputs!$C$22)=0),Inputs!$C$8*IF(N(Inputs!$C$12)=0,1,(1+Inputs!$C$11)^INT((A109-Inputs!$C$22)/Inputs!$C$12)),0)</f>
        <v>0</v>
      </c>
      <c r="H109" s="29" t="n">
        <f aca="false">1/(1+Inputs!$C$23)^(A109-1)</f>
        <v>0.46940640031014</v>
      </c>
      <c r="I109" s="29" t="n">
        <f aca="false">1/(1+Inputs!$C$23)^A109</f>
        <v>0.465869734247654</v>
      </c>
      <c r="J109" s="30" t="n">
        <f aca="false">F109*H109+G109*I109</f>
        <v>0</v>
      </c>
      <c r="K109" s="30" t="n">
        <f aca="false">M108</f>
        <v>-2.31665708150703E-009</v>
      </c>
      <c r="L109" s="30" t="n">
        <f aca="false">IF(D109="Yes",(K109-F109)*Inputs!$C$23,0)</f>
        <v>0</v>
      </c>
      <c r="M109" s="30" t="n">
        <f aca="false">K109-F109+L109-G109</f>
        <v>-2.31665708150703E-009</v>
      </c>
      <c r="N109" s="30" t="n">
        <f aca="false">F109+G109</f>
        <v>0</v>
      </c>
      <c r="O109" s="30" t="n">
        <f aca="false">N109-L109</f>
        <v>0</v>
      </c>
      <c r="P109" s="30" t="n">
        <f aca="false">R108</f>
        <v>1.30967237055302E-009</v>
      </c>
      <c r="Q109" s="30" t="n">
        <f aca="false">IF(A109&lt;=Inputs!$C$24,Inputs!$C$29/Inputs!$C$24,0)</f>
        <v>0</v>
      </c>
      <c r="R109" s="30" t="n">
        <f aca="false">P109-Q109</f>
        <v>1.30967237055302E-009</v>
      </c>
      <c r="S109" s="10" t="str">
        <f aca="false">"FY "&amp;(YEAR(B109)-(MONTH(B109)&lt;4))&amp;"-"&amp;RIGHT(YEAR(B109)-(MONTH(B109)&lt;4)+1,2)</f>
        <v>FY 2034-35</v>
      </c>
    </row>
    <row r="110" customFormat="false" ht="15" hidden="false" customHeight="false" outlineLevel="0" collapsed="false">
      <c r="A110" s="22" t="n">
        <v>102</v>
      </c>
      <c r="B110" s="24" t="n">
        <f aca="false">EDATE(Inputs!$C$6,A110-1)</f>
        <v>49188</v>
      </c>
      <c r="C110" s="24" t="n">
        <f aca="false">EDATE(Inputs!$C$6,A110)-1</f>
        <v>49217</v>
      </c>
      <c r="D110" s="10" t="str">
        <f aca="false">IF(A110&lt;=Inputs!$C$7,"Yes","No")</f>
        <v>No</v>
      </c>
      <c r="E110" s="27" t="n">
        <f aca="false">IF(N(Inputs!$C$12)=0,1,(1+Inputs!$C$11)^INT((A110-1)/Inputs!$C$12))</f>
        <v>1.47745544378906</v>
      </c>
      <c r="F110" s="28" t="n">
        <f aca="false">IF(AND(D110="Yes",Inputs!$C$10="Advance",MOD(A110-1,Inputs!$C$22)=0),Inputs!$C$8*E110,0)</f>
        <v>0</v>
      </c>
      <c r="G110" s="28" t="n">
        <f aca="false">IF(AND(D110="Yes",Inputs!$C$10="Arrears",MOD(A110,Inputs!$C$22)=0),Inputs!$C$8*IF(N(Inputs!$C$12)=0,1,(1+Inputs!$C$11)^INT((A110-Inputs!$C$22)/Inputs!$C$12)),0)</f>
        <v>0</v>
      </c>
      <c r="H110" s="29" t="n">
        <f aca="false">1/(1+Inputs!$C$23)^(A110-1)</f>
        <v>0.465869734247654</v>
      </c>
      <c r="I110" s="29" t="n">
        <f aca="false">1/(1+Inputs!$C$23)^A110</f>
        <v>0.462359714619536</v>
      </c>
      <c r="J110" s="30" t="n">
        <f aca="false">F110*H110+G110*I110</f>
        <v>0</v>
      </c>
      <c r="K110" s="30" t="n">
        <f aca="false">M109</f>
        <v>-2.31665708150703E-009</v>
      </c>
      <c r="L110" s="30" t="n">
        <f aca="false">IF(D110="Yes",(K110-F110)*Inputs!$C$23,0)</f>
        <v>0</v>
      </c>
      <c r="M110" s="30" t="n">
        <f aca="false">K110-F110+L110-G110</f>
        <v>-2.31665708150703E-009</v>
      </c>
      <c r="N110" s="30" t="n">
        <f aca="false">F110+G110</f>
        <v>0</v>
      </c>
      <c r="O110" s="30" t="n">
        <f aca="false">N110-L110</f>
        <v>0</v>
      </c>
      <c r="P110" s="30" t="n">
        <f aca="false">R109</f>
        <v>1.30967237055302E-009</v>
      </c>
      <c r="Q110" s="30" t="n">
        <f aca="false">IF(A110&lt;=Inputs!$C$24,Inputs!$C$29/Inputs!$C$24,0)</f>
        <v>0</v>
      </c>
      <c r="R110" s="30" t="n">
        <f aca="false">P110-Q110</f>
        <v>1.30967237055302E-009</v>
      </c>
      <c r="S110" s="10" t="str">
        <f aca="false">"FY "&amp;(YEAR(B110)-(MONTH(B110)&lt;4))&amp;"-"&amp;RIGHT(YEAR(B110)-(MONTH(B110)&lt;4)+1,2)</f>
        <v>FY 2034-35</v>
      </c>
    </row>
    <row r="111" customFormat="false" ht="15" hidden="false" customHeight="false" outlineLevel="0" collapsed="false">
      <c r="A111" s="22" t="n">
        <v>103</v>
      </c>
      <c r="B111" s="24" t="n">
        <f aca="false">EDATE(Inputs!$C$6,A111-1)</f>
        <v>49218</v>
      </c>
      <c r="C111" s="24" t="n">
        <f aca="false">EDATE(Inputs!$C$6,A111)-1</f>
        <v>49248</v>
      </c>
      <c r="D111" s="10" t="str">
        <f aca="false">IF(A111&lt;=Inputs!$C$7,"Yes","No")</f>
        <v>No</v>
      </c>
      <c r="E111" s="27" t="n">
        <f aca="false">IF(N(Inputs!$C$12)=0,1,(1+Inputs!$C$11)^INT((A111-1)/Inputs!$C$12))</f>
        <v>1.47745544378906</v>
      </c>
      <c r="F111" s="28" t="n">
        <f aca="false">IF(AND(D111="Yes",Inputs!$C$10="Advance",MOD(A111-1,Inputs!$C$22)=0),Inputs!$C$8*E111,0)</f>
        <v>0</v>
      </c>
      <c r="G111" s="28" t="n">
        <f aca="false">IF(AND(D111="Yes",Inputs!$C$10="Arrears",MOD(A111,Inputs!$C$22)=0),Inputs!$C$8*IF(N(Inputs!$C$12)=0,1,(1+Inputs!$C$11)^INT((A111-Inputs!$C$22)/Inputs!$C$12)),0)</f>
        <v>0</v>
      </c>
      <c r="H111" s="29" t="n">
        <f aca="false">1/(1+Inputs!$C$23)^(A111-1)</f>
        <v>0.462359714619536</v>
      </c>
      <c r="I111" s="29" t="n">
        <f aca="false">1/(1+Inputs!$C$23)^A111</f>
        <v>0.458876140662566</v>
      </c>
      <c r="J111" s="30" t="n">
        <f aca="false">F111*H111+G111*I111</f>
        <v>0</v>
      </c>
      <c r="K111" s="30" t="n">
        <f aca="false">M110</f>
        <v>-2.31665708150703E-009</v>
      </c>
      <c r="L111" s="30" t="n">
        <f aca="false">IF(D111="Yes",(K111-F111)*Inputs!$C$23,0)</f>
        <v>0</v>
      </c>
      <c r="M111" s="30" t="n">
        <f aca="false">K111-F111+L111-G111</f>
        <v>-2.31665708150703E-009</v>
      </c>
      <c r="N111" s="30" t="n">
        <f aca="false">F111+G111</f>
        <v>0</v>
      </c>
      <c r="O111" s="30" t="n">
        <f aca="false">N111-L111</f>
        <v>0</v>
      </c>
      <c r="P111" s="30" t="n">
        <f aca="false">R110</f>
        <v>1.30967237055302E-009</v>
      </c>
      <c r="Q111" s="30" t="n">
        <f aca="false">IF(A111&lt;=Inputs!$C$24,Inputs!$C$29/Inputs!$C$24,0)</f>
        <v>0</v>
      </c>
      <c r="R111" s="30" t="n">
        <f aca="false">P111-Q111</f>
        <v>1.30967237055302E-009</v>
      </c>
      <c r="S111" s="10" t="str">
        <f aca="false">"FY "&amp;(YEAR(B111)-(MONTH(B111)&lt;4))&amp;"-"&amp;RIGHT(YEAR(B111)-(MONTH(B111)&lt;4)+1,2)</f>
        <v>FY 2034-35</v>
      </c>
    </row>
    <row r="112" customFormat="false" ht="15" hidden="false" customHeight="false" outlineLevel="0" collapsed="false">
      <c r="A112" s="22" t="n">
        <v>104</v>
      </c>
      <c r="B112" s="24" t="n">
        <f aca="false">EDATE(Inputs!$C$6,A112-1)</f>
        <v>49249</v>
      </c>
      <c r="C112" s="24" t="n">
        <f aca="false">EDATE(Inputs!$C$6,A112)-1</f>
        <v>49278</v>
      </c>
      <c r="D112" s="10" t="str">
        <f aca="false">IF(A112&lt;=Inputs!$C$7,"Yes","No")</f>
        <v>No</v>
      </c>
      <c r="E112" s="27" t="n">
        <f aca="false">IF(N(Inputs!$C$12)=0,1,(1+Inputs!$C$11)^INT((A112-1)/Inputs!$C$12))</f>
        <v>1.47745544378906</v>
      </c>
      <c r="F112" s="28" t="n">
        <f aca="false">IF(AND(D112="Yes",Inputs!$C$10="Advance",MOD(A112-1,Inputs!$C$22)=0),Inputs!$C$8*E112,0)</f>
        <v>0</v>
      </c>
      <c r="G112" s="28" t="n">
        <f aca="false">IF(AND(D112="Yes",Inputs!$C$10="Arrears",MOD(A112,Inputs!$C$22)=0),Inputs!$C$8*IF(N(Inputs!$C$12)=0,1,(1+Inputs!$C$11)^INT((A112-Inputs!$C$22)/Inputs!$C$12)),0)</f>
        <v>0</v>
      </c>
      <c r="H112" s="29" t="n">
        <f aca="false">1/(1+Inputs!$C$23)^(A112-1)</f>
        <v>0.458876140662566</v>
      </c>
      <c r="I112" s="29" t="n">
        <f aca="false">1/(1+Inputs!$C$23)^A112</f>
        <v>0.455418813126143</v>
      </c>
      <c r="J112" s="30" t="n">
        <f aca="false">F112*H112+G112*I112</f>
        <v>0</v>
      </c>
      <c r="K112" s="30" t="n">
        <f aca="false">M111</f>
        <v>-2.31665708150703E-009</v>
      </c>
      <c r="L112" s="30" t="n">
        <f aca="false">IF(D112="Yes",(K112-F112)*Inputs!$C$23,0)</f>
        <v>0</v>
      </c>
      <c r="M112" s="30" t="n">
        <f aca="false">K112-F112+L112-G112</f>
        <v>-2.31665708150703E-009</v>
      </c>
      <c r="N112" s="30" t="n">
        <f aca="false">F112+G112</f>
        <v>0</v>
      </c>
      <c r="O112" s="30" t="n">
        <f aca="false">N112-L112</f>
        <v>0</v>
      </c>
      <c r="P112" s="30" t="n">
        <f aca="false">R111</f>
        <v>1.30967237055302E-009</v>
      </c>
      <c r="Q112" s="30" t="n">
        <f aca="false">IF(A112&lt;=Inputs!$C$24,Inputs!$C$29/Inputs!$C$24,0)</f>
        <v>0</v>
      </c>
      <c r="R112" s="30" t="n">
        <f aca="false">P112-Q112</f>
        <v>1.30967237055302E-009</v>
      </c>
      <c r="S112" s="10" t="str">
        <f aca="false">"FY "&amp;(YEAR(B112)-(MONTH(B112)&lt;4))&amp;"-"&amp;RIGHT(YEAR(B112)-(MONTH(B112)&lt;4)+1,2)</f>
        <v>FY 2034-35</v>
      </c>
    </row>
    <row r="113" customFormat="false" ht="15" hidden="false" customHeight="false" outlineLevel="0" collapsed="false">
      <c r="A113" s="22" t="n">
        <v>105</v>
      </c>
      <c r="B113" s="24" t="n">
        <f aca="false">EDATE(Inputs!$C$6,A113-1)</f>
        <v>49279</v>
      </c>
      <c r="C113" s="24" t="n">
        <f aca="false">EDATE(Inputs!$C$6,A113)-1</f>
        <v>49309</v>
      </c>
      <c r="D113" s="10" t="str">
        <f aca="false">IF(A113&lt;=Inputs!$C$7,"Yes","No")</f>
        <v>No</v>
      </c>
      <c r="E113" s="27" t="n">
        <f aca="false">IF(N(Inputs!$C$12)=0,1,(1+Inputs!$C$11)^INT((A113-1)/Inputs!$C$12))</f>
        <v>1.47745544378906</v>
      </c>
      <c r="F113" s="28" t="n">
        <f aca="false">IF(AND(D113="Yes",Inputs!$C$10="Advance",MOD(A113-1,Inputs!$C$22)=0),Inputs!$C$8*E113,0)</f>
        <v>0</v>
      </c>
      <c r="G113" s="28" t="n">
        <f aca="false">IF(AND(D113="Yes",Inputs!$C$10="Arrears",MOD(A113,Inputs!$C$22)=0),Inputs!$C$8*IF(N(Inputs!$C$12)=0,1,(1+Inputs!$C$11)^INT((A113-Inputs!$C$22)/Inputs!$C$12)),0)</f>
        <v>0</v>
      </c>
      <c r="H113" s="29" t="n">
        <f aca="false">1/(1+Inputs!$C$23)^(A113-1)</f>
        <v>0.455418813126143</v>
      </c>
      <c r="I113" s="29" t="n">
        <f aca="false">1/(1+Inputs!$C$23)^A113</f>
        <v>0.451987534260885</v>
      </c>
      <c r="J113" s="30" t="n">
        <f aca="false">F113*H113+G113*I113</f>
        <v>0</v>
      </c>
      <c r="K113" s="30" t="n">
        <f aca="false">M112</f>
        <v>-2.31665708150703E-009</v>
      </c>
      <c r="L113" s="30" t="n">
        <f aca="false">IF(D113="Yes",(K113-F113)*Inputs!$C$23,0)</f>
        <v>0</v>
      </c>
      <c r="M113" s="30" t="n">
        <f aca="false">K113-F113+L113-G113</f>
        <v>-2.31665708150703E-009</v>
      </c>
      <c r="N113" s="30" t="n">
        <f aca="false">F113+G113</f>
        <v>0</v>
      </c>
      <c r="O113" s="30" t="n">
        <f aca="false">N113-L113</f>
        <v>0</v>
      </c>
      <c r="P113" s="30" t="n">
        <f aca="false">R112</f>
        <v>1.30967237055302E-009</v>
      </c>
      <c r="Q113" s="30" t="n">
        <f aca="false">IF(A113&lt;=Inputs!$C$24,Inputs!$C$29/Inputs!$C$24,0)</f>
        <v>0</v>
      </c>
      <c r="R113" s="30" t="n">
        <f aca="false">P113-Q113</f>
        <v>1.30967237055302E-009</v>
      </c>
      <c r="S113" s="10" t="str">
        <f aca="false">"FY "&amp;(YEAR(B113)-(MONTH(B113)&lt;4))&amp;"-"&amp;RIGHT(YEAR(B113)-(MONTH(B113)&lt;4)+1,2)</f>
        <v>FY 2034-35</v>
      </c>
    </row>
    <row r="114" customFormat="false" ht="15" hidden="false" customHeight="false" outlineLevel="0" collapsed="false">
      <c r="A114" s="22" t="n">
        <v>106</v>
      </c>
      <c r="B114" s="24" t="n">
        <f aca="false">EDATE(Inputs!$C$6,A114-1)</f>
        <v>49310</v>
      </c>
      <c r="C114" s="24" t="n">
        <f aca="false">EDATE(Inputs!$C$6,A114)-1</f>
        <v>49340</v>
      </c>
      <c r="D114" s="10" t="str">
        <f aca="false">IF(A114&lt;=Inputs!$C$7,"Yes","No")</f>
        <v>No</v>
      </c>
      <c r="E114" s="27" t="n">
        <f aca="false">IF(N(Inputs!$C$12)=0,1,(1+Inputs!$C$11)^INT((A114-1)/Inputs!$C$12))</f>
        <v>1.47745544378906</v>
      </c>
      <c r="F114" s="28" t="n">
        <f aca="false">IF(AND(D114="Yes",Inputs!$C$10="Advance",MOD(A114-1,Inputs!$C$22)=0),Inputs!$C$8*E114,0)</f>
        <v>0</v>
      </c>
      <c r="G114" s="28" t="n">
        <f aca="false">IF(AND(D114="Yes",Inputs!$C$10="Arrears",MOD(A114,Inputs!$C$22)=0),Inputs!$C$8*IF(N(Inputs!$C$12)=0,1,(1+Inputs!$C$11)^INT((A114-Inputs!$C$22)/Inputs!$C$12)),0)</f>
        <v>0</v>
      </c>
      <c r="H114" s="29" t="n">
        <f aca="false">1/(1+Inputs!$C$23)^(A114-1)</f>
        <v>0.451987534260885</v>
      </c>
      <c r="I114" s="29" t="n">
        <f aca="false">1/(1+Inputs!$C$23)^A114</f>
        <v>0.448582107807324</v>
      </c>
      <c r="J114" s="30" t="n">
        <f aca="false">F114*H114+G114*I114</f>
        <v>0</v>
      </c>
      <c r="K114" s="30" t="n">
        <f aca="false">M113</f>
        <v>-2.31665708150703E-009</v>
      </c>
      <c r="L114" s="30" t="n">
        <f aca="false">IF(D114="Yes",(K114-F114)*Inputs!$C$23,0)</f>
        <v>0</v>
      </c>
      <c r="M114" s="30" t="n">
        <f aca="false">K114-F114+L114-G114</f>
        <v>-2.31665708150703E-009</v>
      </c>
      <c r="N114" s="30" t="n">
        <f aca="false">F114+G114</f>
        <v>0</v>
      </c>
      <c r="O114" s="30" t="n">
        <f aca="false">N114-L114</f>
        <v>0</v>
      </c>
      <c r="P114" s="30" t="n">
        <f aca="false">R113</f>
        <v>1.30967237055302E-009</v>
      </c>
      <c r="Q114" s="30" t="n">
        <f aca="false">IF(A114&lt;=Inputs!$C$24,Inputs!$C$29/Inputs!$C$24,0)</f>
        <v>0</v>
      </c>
      <c r="R114" s="30" t="n">
        <f aca="false">P114-Q114</f>
        <v>1.30967237055302E-009</v>
      </c>
      <c r="S114" s="10" t="str">
        <f aca="false">"FY "&amp;(YEAR(B114)-(MONTH(B114)&lt;4))&amp;"-"&amp;RIGHT(YEAR(B114)-(MONTH(B114)&lt;4)+1,2)</f>
        <v>FY 2034-35</v>
      </c>
    </row>
    <row r="115" customFormat="false" ht="15" hidden="false" customHeight="false" outlineLevel="0" collapsed="false">
      <c r="A115" s="22" t="n">
        <v>107</v>
      </c>
      <c r="B115" s="24" t="n">
        <f aca="false">EDATE(Inputs!$C$6,A115-1)</f>
        <v>49341</v>
      </c>
      <c r="C115" s="24" t="n">
        <f aca="false">EDATE(Inputs!$C$6,A115)-1</f>
        <v>49368</v>
      </c>
      <c r="D115" s="10" t="str">
        <f aca="false">IF(A115&lt;=Inputs!$C$7,"Yes","No")</f>
        <v>No</v>
      </c>
      <c r="E115" s="27" t="n">
        <f aca="false">IF(N(Inputs!$C$12)=0,1,(1+Inputs!$C$11)^INT((A115-1)/Inputs!$C$12))</f>
        <v>1.47745544378906</v>
      </c>
      <c r="F115" s="28" t="n">
        <f aca="false">IF(AND(D115="Yes",Inputs!$C$10="Advance",MOD(A115-1,Inputs!$C$22)=0),Inputs!$C$8*E115,0)</f>
        <v>0</v>
      </c>
      <c r="G115" s="28" t="n">
        <f aca="false">IF(AND(D115="Yes",Inputs!$C$10="Arrears",MOD(A115,Inputs!$C$22)=0),Inputs!$C$8*IF(N(Inputs!$C$12)=0,1,(1+Inputs!$C$11)^INT((A115-Inputs!$C$22)/Inputs!$C$12)),0)</f>
        <v>0</v>
      </c>
      <c r="H115" s="29" t="n">
        <f aca="false">1/(1+Inputs!$C$23)^(A115-1)</f>
        <v>0.448582107807324</v>
      </c>
      <c r="I115" s="29" t="n">
        <f aca="false">1/(1+Inputs!$C$23)^A115</f>
        <v>0.445202338984674</v>
      </c>
      <c r="J115" s="30" t="n">
        <f aca="false">F115*H115+G115*I115</f>
        <v>0</v>
      </c>
      <c r="K115" s="30" t="n">
        <f aca="false">M114</f>
        <v>-2.31665708150703E-009</v>
      </c>
      <c r="L115" s="30" t="n">
        <f aca="false">IF(D115="Yes",(K115-F115)*Inputs!$C$23,0)</f>
        <v>0</v>
      </c>
      <c r="M115" s="30" t="n">
        <f aca="false">K115-F115+L115-G115</f>
        <v>-2.31665708150703E-009</v>
      </c>
      <c r="N115" s="30" t="n">
        <f aca="false">F115+G115</f>
        <v>0</v>
      </c>
      <c r="O115" s="30" t="n">
        <f aca="false">N115-L115</f>
        <v>0</v>
      </c>
      <c r="P115" s="30" t="n">
        <f aca="false">R114</f>
        <v>1.30967237055302E-009</v>
      </c>
      <c r="Q115" s="30" t="n">
        <f aca="false">IF(A115&lt;=Inputs!$C$24,Inputs!$C$29/Inputs!$C$24,0)</f>
        <v>0</v>
      </c>
      <c r="R115" s="30" t="n">
        <f aca="false">P115-Q115</f>
        <v>1.30967237055302E-009</v>
      </c>
      <c r="S115" s="10" t="str">
        <f aca="false">"FY "&amp;(YEAR(B115)-(MONTH(B115)&lt;4))&amp;"-"&amp;RIGHT(YEAR(B115)-(MONTH(B115)&lt;4)+1,2)</f>
        <v>FY 2034-35</v>
      </c>
    </row>
    <row r="116" customFormat="false" ht="15" hidden="false" customHeight="false" outlineLevel="0" collapsed="false">
      <c r="A116" s="22" t="n">
        <v>108</v>
      </c>
      <c r="B116" s="24" t="n">
        <f aca="false">EDATE(Inputs!$C$6,A116-1)</f>
        <v>49369</v>
      </c>
      <c r="C116" s="24" t="n">
        <f aca="false">EDATE(Inputs!$C$6,A116)-1</f>
        <v>49399</v>
      </c>
      <c r="D116" s="10" t="str">
        <f aca="false">IF(A116&lt;=Inputs!$C$7,"Yes","No")</f>
        <v>No</v>
      </c>
      <c r="E116" s="27" t="n">
        <f aca="false">IF(N(Inputs!$C$12)=0,1,(1+Inputs!$C$11)^INT((A116-1)/Inputs!$C$12))</f>
        <v>1.47745544378906</v>
      </c>
      <c r="F116" s="28" t="n">
        <f aca="false">IF(AND(D116="Yes",Inputs!$C$10="Advance",MOD(A116-1,Inputs!$C$22)=0),Inputs!$C$8*E116,0)</f>
        <v>0</v>
      </c>
      <c r="G116" s="28" t="n">
        <f aca="false">IF(AND(D116="Yes",Inputs!$C$10="Arrears",MOD(A116,Inputs!$C$22)=0),Inputs!$C$8*IF(N(Inputs!$C$12)=0,1,(1+Inputs!$C$11)^INT((A116-Inputs!$C$22)/Inputs!$C$12)),0)</f>
        <v>0</v>
      </c>
      <c r="H116" s="29" t="n">
        <f aca="false">1/(1+Inputs!$C$23)^(A116-1)</f>
        <v>0.445202338984674</v>
      </c>
      <c r="I116" s="29" t="n">
        <f aca="false">1/(1+Inputs!$C$23)^A116</f>
        <v>0.441848034479695</v>
      </c>
      <c r="J116" s="30" t="n">
        <f aca="false">F116*H116+G116*I116</f>
        <v>0</v>
      </c>
      <c r="K116" s="30" t="n">
        <f aca="false">M115</f>
        <v>-2.31665708150703E-009</v>
      </c>
      <c r="L116" s="30" t="n">
        <f aca="false">IF(D116="Yes",(K116-F116)*Inputs!$C$23,0)</f>
        <v>0</v>
      </c>
      <c r="M116" s="30" t="n">
        <f aca="false">K116-F116+L116-G116</f>
        <v>-2.31665708150703E-009</v>
      </c>
      <c r="N116" s="30" t="n">
        <f aca="false">F116+G116</f>
        <v>0</v>
      </c>
      <c r="O116" s="30" t="n">
        <f aca="false">N116-L116</f>
        <v>0</v>
      </c>
      <c r="P116" s="30" t="n">
        <f aca="false">R115</f>
        <v>1.30967237055302E-009</v>
      </c>
      <c r="Q116" s="30" t="n">
        <f aca="false">IF(A116&lt;=Inputs!$C$24,Inputs!$C$29/Inputs!$C$24,0)</f>
        <v>0</v>
      </c>
      <c r="R116" s="30" t="n">
        <f aca="false">P116-Q116</f>
        <v>1.30967237055302E-009</v>
      </c>
      <c r="S116" s="10" t="str">
        <f aca="false">"FY "&amp;(YEAR(B116)-(MONTH(B116)&lt;4))&amp;"-"&amp;RIGHT(YEAR(B116)-(MONTH(B116)&lt;4)+1,2)</f>
        <v>FY 2034-35</v>
      </c>
    </row>
    <row r="117" customFormat="false" ht="15" hidden="false" customHeight="false" outlineLevel="0" collapsed="false">
      <c r="A117" s="22" t="n">
        <v>109</v>
      </c>
      <c r="B117" s="24" t="n">
        <f aca="false">EDATE(Inputs!$C$6,A117-1)</f>
        <v>49400</v>
      </c>
      <c r="C117" s="24" t="n">
        <f aca="false">EDATE(Inputs!$C$6,A117)-1</f>
        <v>49429</v>
      </c>
      <c r="D117" s="10" t="str">
        <f aca="false">IF(A117&lt;=Inputs!$C$7,"Yes","No")</f>
        <v>No</v>
      </c>
      <c r="E117" s="27" t="n">
        <f aca="false">IF(N(Inputs!$C$12)=0,1,(1+Inputs!$C$11)^INT((A117-1)/Inputs!$C$12))</f>
        <v>1.55132821597852</v>
      </c>
      <c r="F117" s="28" t="n">
        <f aca="false">IF(AND(D117="Yes",Inputs!$C$10="Advance",MOD(A117-1,Inputs!$C$22)=0),Inputs!$C$8*E117,0)</f>
        <v>0</v>
      </c>
      <c r="G117" s="28" t="n">
        <f aca="false">IF(AND(D117="Yes",Inputs!$C$10="Arrears",MOD(A117,Inputs!$C$22)=0),Inputs!$C$8*IF(N(Inputs!$C$12)=0,1,(1+Inputs!$C$11)^INT((A117-Inputs!$C$22)/Inputs!$C$12)),0)</f>
        <v>0</v>
      </c>
      <c r="H117" s="29" t="n">
        <f aca="false">1/(1+Inputs!$C$23)^(A117-1)</f>
        <v>0.441848034479695</v>
      </c>
      <c r="I117" s="29" t="n">
        <f aca="false">1/(1+Inputs!$C$23)^A117</f>
        <v>0.438519002435633</v>
      </c>
      <c r="J117" s="30" t="n">
        <f aca="false">F117*H117+G117*I117</f>
        <v>0</v>
      </c>
      <c r="K117" s="30" t="n">
        <f aca="false">M116</f>
        <v>-2.31665708150703E-009</v>
      </c>
      <c r="L117" s="30" t="n">
        <f aca="false">IF(D117="Yes",(K117-F117)*Inputs!$C$23,0)</f>
        <v>0</v>
      </c>
      <c r="M117" s="30" t="n">
        <f aca="false">K117-F117+L117-G117</f>
        <v>-2.31665708150703E-009</v>
      </c>
      <c r="N117" s="30" t="n">
        <f aca="false">F117+G117</f>
        <v>0</v>
      </c>
      <c r="O117" s="30" t="n">
        <f aca="false">N117-L117</f>
        <v>0</v>
      </c>
      <c r="P117" s="30" t="n">
        <f aca="false">R116</f>
        <v>1.30967237055302E-009</v>
      </c>
      <c r="Q117" s="30" t="n">
        <f aca="false">IF(A117&lt;=Inputs!$C$24,Inputs!$C$29/Inputs!$C$24,0)</f>
        <v>0</v>
      </c>
      <c r="R117" s="30" t="n">
        <f aca="false">P117-Q117</f>
        <v>1.30967237055302E-009</v>
      </c>
      <c r="S117" s="10" t="str">
        <f aca="false">"FY "&amp;(YEAR(B117)-(MONTH(B117)&lt;4))&amp;"-"&amp;RIGHT(YEAR(B117)-(MONTH(B117)&lt;4)+1,2)</f>
        <v>FY 2035-36</v>
      </c>
    </row>
    <row r="118" customFormat="false" ht="15" hidden="false" customHeight="false" outlineLevel="0" collapsed="false">
      <c r="A118" s="22" t="n">
        <v>110</v>
      </c>
      <c r="B118" s="24" t="n">
        <f aca="false">EDATE(Inputs!$C$6,A118-1)</f>
        <v>49430</v>
      </c>
      <c r="C118" s="24" t="n">
        <f aca="false">EDATE(Inputs!$C$6,A118)-1</f>
        <v>49460</v>
      </c>
      <c r="D118" s="10" t="str">
        <f aca="false">IF(A118&lt;=Inputs!$C$7,"Yes","No")</f>
        <v>No</v>
      </c>
      <c r="E118" s="27" t="n">
        <f aca="false">IF(N(Inputs!$C$12)=0,1,(1+Inputs!$C$11)^INT((A118-1)/Inputs!$C$12))</f>
        <v>1.55132821597852</v>
      </c>
      <c r="F118" s="28" t="n">
        <f aca="false">IF(AND(D118="Yes",Inputs!$C$10="Advance",MOD(A118-1,Inputs!$C$22)=0),Inputs!$C$8*E118,0)</f>
        <v>0</v>
      </c>
      <c r="G118" s="28" t="n">
        <f aca="false">IF(AND(D118="Yes",Inputs!$C$10="Arrears",MOD(A118,Inputs!$C$22)=0),Inputs!$C$8*IF(N(Inputs!$C$12)=0,1,(1+Inputs!$C$11)^INT((A118-Inputs!$C$22)/Inputs!$C$12)),0)</f>
        <v>0</v>
      </c>
      <c r="H118" s="29" t="n">
        <f aca="false">1/(1+Inputs!$C$23)^(A118-1)</f>
        <v>0.438519002435633</v>
      </c>
      <c r="I118" s="29" t="n">
        <f aca="false">1/(1+Inputs!$C$23)^A118</f>
        <v>0.435215052441248</v>
      </c>
      <c r="J118" s="30" t="n">
        <f aca="false">F118*H118+G118*I118</f>
        <v>0</v>
      </c>
      <c r="K118" s="30" t="n">
        <f aca="false">M117</f>
        <v>-2.31665708150703E-009</v>
      </c>
      <c r="L118" s="30" t="n">
        <f aca="false">IF(D118="Yes",(K118-F118)*Inputs!$C$23,0)</f>
        <v>0</v>
      </c>
      <c r="M118" s="30" t="n">
        <f aca="false">K118-F118+L118-G118</f>
        <v>-2.31665708150703E-009</v>
      </c>
      <c r="N118" s="30" t="n">
        <f aca="false">F118+G118</f>
        <v>0</v>
      </c>
      <c r="O118" s="30" t="n">
        <f aca="false">N118-L118</f>
        <v>0</v>
      </c>
      <c r="P118" s="30" t="n">
        <f aca="false">R117</f>
        <v>1.30967237055302E-009</v>
      </c>
      <c r="Q118" s="30" t="n">
        <f aca="false">IF(A118&lt;=Inputs!$C$24,Inputs!$C$29/Inputs!$C$24,0)</f>
        <v>0</v>
      </c>
      <c r="R118" s="30" t="n">
        <f aca="false">P118-Q118</f>
        <v>1.30967237055302E-009</v>
      </c>
      <c r="S118" s="10" t="str">
        <f aca="false">"FY "&amp;(YEAR(B118)-(MONTH(B118)&lt;4))&amp;"-"&amp;RIGHT(YEAR(B118)-(MONTH(B118)&lt;4)+1,2)</f>
        <v>FY 2035-36</v>
      </c>
    </row>
    <row r="119" customFormat="false" ht="15" hidden="false" customHeight="false" outlineLevel="0" collapsed="false">
      <c r="A119" s="22" t="n">
        <v>111</v>
      </c>
      <c r="B119" s="24" t="n">
        <f aca="false">EDATE(Inputs!$C$6,A119-1)</f>
        <v>49461</v>
      </c>
      <c r="C119" s="24" t="n">
        <f aca="false">EDATE(Inputs!$C$6,A119)-1</f>
        <v>49490</v>
      </c>
      <c r="D119" s="10" t="str">
        <f aca="false">IF(A119&lt;=Inputs!$C$7,"Yes","No")</f>
        <v>No</v>
      </c>
      <c r="E119" s="27" t="n">
        <f aca="false">IF(N(Inputs!$C$12)=0,1,(1+Inputs!$C$11)^INT((A119-1)/Inputs!$C$12))</f>
        <v>1.55132821597852</v>
      </c>
      <c r="F119" s="28" t="n">
        <f aca="false">IF(AND(D119="Yes",Inputs!$C$10="Advance",MOD(A119-1,Inputs!$C$22)=0),Inputs!$C$8*E119,0)</f>
        <v>0</v>
      </c>
      <c r="G119" s="28" t="n">
        <f aca="false">IF(AND(D119="Yes",Inputs!$C$10="Arrears",MOD(A119,Inputs!$C$22)=0),Inputs!$C$8*IF(N(Inputs!$C$12)=0,1,(1+Inputs!$C$11)^INT((A119-Inputs!$C$22)/Inputs!$C$12)),0)</f>
        <v>0</v>
      </c>
      <c r="H119" s="29" t="n">
        <f aca="false">1/(1+Inputs!$C$23)^(A119-1)</f>
        <v>0.435215052441248</v>
      </c>
      <c r="I119" s="29" t="n">
        <f aca="false">1/(1+Inputs!$C$23)^A119</f>
        <v>0.431935995519921</v>
      </c>
      <c r="J119" s="30" t="n">
        <f aca="false">F119*H119+G119*I119</f>
        <v>0</v>
      </c>
      <c r="K119" s="30" t="n">
        <f aca="false">M118</f>
        <v>-2.31665708150703E-009</v>
      </c>
      <c r="L119" s="30" t="n">
        <f aca="false">IF(D119="Yes",(K119-F119)*Inputs!$C$23,0)</f>
        <v>0</v>
      </c>
      <c r="M119" s="30" t="n">
        <f aca="false">K119-F119+L119-G119</f>
        <v>-2.31665708150703E-009</v>
      </c>
      <c r="N119" s="30" t="n">
        <f aca="false">F119+G119</f>
        <v>0</v>
      </c>
      <c r="O119" s="30" t="n">
        <f aca="false">N119-L119</f>
        <v>0</v>
      </c>
      <c r="P119" s="30" t="n">
        <f aca="false">R118</f>
        <v>1.30967237055302E-009</v>
      </c>
      <c r="Q119" s="30" t="n">
        <f aca="false">IF(A119&lt;=Inputs!$C$24,Inputs!$C$29/Inputs!$C$24,0)</f>
        <v>0</v>
      </c>
      <c r="R119" s="30" t="n">
        <f aca="false">P119-Q119</f>
        <v>1.30967237055302E-009</v>
      </c>
      <c r="S119" s="10" t="str">
        <f aca="false">"FY "&amp;(YEAR(B119)-(MONTH(B119)&lt;4))&amp;"-"&amp;RIGHT(YEAR(B119)-(MONTH(B119)&lt;4)+1,2)</f>
        <v>FY 2035-36</v>
      </c>
    </row>
    <row r="120" customFormat="false" ht="15" hidden="false" customHeight="false" outlineLevel="0" collapsed="false">
      <c r="A120" s="22" t="n">
        <v>112</v>
      </c>
      <c r="B120" s="24" t="n">
        <f aca="false">EDATE(Inputs!$C$6,A120-1)</f>
        <v>49491</v>
      </c>
      <c r="C120" s="24" t="n">
        <f aca="false">EDATE(Inputs!$C$6,A120)-1</f>
        <v>49521</v>
      </c>
      <c r="D120" s="10" t="str">
        <f aca="false">IF(A120&lt;=Inputs!$C$7,"Yes","No")</f>
        <v>No</v>
      </c>
      <c r="E120" s="27" t="n">
        <f aca="false">IF(N(Inputs!$C$12)=0,1,(1+Inputs!$C$11)^INT((A120-1)/Inputs!$C$12))</f>
        <v>1.55132821597852</v>
      </c>
      <c r="F120" s="28" t="n">
        <f aca="false">IF(AND(D120="Yes",Inputs!$C$10="Advance",MOD(A120-1,Inputs!$C$22)=0),Inputs!$C$8*E120,0)</f>
        <v>0</v>
      </c>
      <c r="G120" s="28" t="n">
        <f aca="false">IF(AND(D120="Yes",Inputs!$C$10="Arrears",MOD(A120,Inputs!$C$22)=0),Inputs!$C$8*IF(N(Inputs!$C$12)=0,1,(1+Inputs!$C$11)^INT((A120-Inputs!$C$22)/Inputs!$C$12)),0)</f>
        <v>0</v>
      </c>
      <c r="H120" s="29" t="n">
        <f aca="false">1/(1+Inputs!$C$23)^(A120-1)</f>
        <v>0.431935995519921</v>
      </c>
      <c r="I120" s="29" t="n">
        <f aca="false">1/(1+Inputs!$C$23)^A120</f>
        <v>0.42868164411885</v>
      </c>
      <c r="J120" s="30" t="n">
        <f aca="false">F120*H120+G120*I120</f>
        <v>0</v>
      </c>
      <c r="K120" s="30" t="n">
        <f aca="false">M119</f>
        <v>-2.31665708150703E-009</v>
      </c>
      <c r="L120" s="30" t="n">
        <f aca="false">IF(D120="Yes",(K120-F120)*Inputs!$C$23,0)</f>
        <v>0</v>
      </c>
      <c r="M120" s="30" t="n">
        <f aca="false">K120-F120+L120-G120</f>
        <v>-2.31665708150703E-009</v>
      </c>
      <c r="N120" s="30" t="n">
        <f aca="false">F120+G120</f>
        <v>0</v>
      </c>
      <c r="O120" s="30" t="n">
        <f aca="false">N120-L120</f>
        <v>0</v>
      </c>
      <c r="P120" s="30" t="n">
        <f aca="false">R119</f>
        <v>1.30967237055302E-009</v>
      </c>
      <c r="Q120" s="30" t="n">
        <f aca="false">IF(A120&lt;=Inputs!$C$24,Inputs!$C$29/Inputs!$C$24,0)</f>
        <v>0</v>
      </c>
      <c r="R120" s="30" t="n">
        <f aca="false">P120-Q120</f>
        <v>1.30967237055302E-009</v>
      </c>
      <c r="S120" s="10" t="str">
        <f aca="false">"FY "&amp;(YEAR(B120)-(MONTH(B120)&lt;4))&amp;"-"&amp;RIGHT(YEAR(B120)-(MONTH(B120)&lt;4)+1,2)</f>
        <v>FY 2035-36</v>
      </c>
    </row>
    <row r="121" customFormat="false" ht="15" hidden="false" customHeight="false" outlineLevel="0" collapsed="false">
      <c r="A121" s="22" t="n">
        <v>113</v>
      </c>
      <c r="B121" s="24" t="n">
        <f aca="false">EDATE(Inputs!$C$6,A121-1)</f>
        <v>49522</v>
      </c>
      <c r="C121" s="24" t="n">
        <f aca="false">EDATE(Inputs!$C$6,A121)-1</f>
        <v>49552</v>
      </c>
      <c r="D121" s="10" t="str">
        <f aca="false">IF(A121&lt;=Inputs!$C$7,"Yes","No")</f>
        <v>No</v>
      </c>
      <c r="E121" s="27" t="n">
        <f aca="false">IF(N(Inputs!$C$12)=0,1,(1+Inputs!$C$11)^INT((A121-1)/Inputs!$C$12))</f>
        <v>1.55132821597852</v>
      </c>
      <c r="F121" s="28" t="n">
        <f aca="false">IF(AND(D121="Yes",Inputs!$C$10="Advance",MOD(A121-1,Inputs!$C$22)=0),Inputs!$C$8*E121,0)</f>
        <v>0</v>
      </c>
      <c r="G121" s="28" t="n">
        <f aca="false">IF(AND(D121="Yes",Inputs!$C$10="Arrears",MOD(A121,Inputs!$C$22)=0),Inputs!$C$8*IF(N(Inputs!$C$12)=0,1,(1+Inputs!$C$11)^INT((A121-Inputs!$C$22)/Inputs!$C$12)),0)</f>
        <v>0</v>
      </c>
      <c r="H121" s="29" t="n">
        <f aca="false">1/(1+Inputs!$C$23)^(A121-1)</f>
        <v>0.42868164411885</v>
      </c>
      <c r="I121" s="29" t="n">
        <f aca="false">1/(1+Inputs!$C$23)^A121</f>
        <v>0.425451812098315</v>
      </c>
      <c r="J121" s="30" t="n">
        <f aca="false">F121*H121+G121*I121</f>
        <v>0</v>
      </c>
      <c r="K121" s="30" t="n">
        <f aca="false">M120</f>
        <v>-2.31665708150703E-009</v>
      </c>
      <c r="L121" s="30" t="n">
        <f aca="false">IF(D121="Yes",(K121-F121)*Inputs!$C$23,0)</f>
        <v>0</v>
      </c>
      <c r="M121" s="30" t="n">
        <f aca="false">K121-F121+L121-G121</f>
        <v>-2.31665708150703E-009</v>
      </c>
      <c r="N121" s="30" t="n">
        <f aca="false">F121+G121</f>
        <v>0</v>
      </c>
      <c r="O121" s="30" t="n">
        <f aca="false">N121-L121</f>
        <v>0</v>
      </c>
      <c r="P121" s="30" t="n">
        <f aca="false">R120</f>
        <v>1.30967237055302E-009</v>
      </c>
      <c r="Q121" s="30" t="n">
        <f aca="false">IF(A121&lt;=Inputs!$C$24,Inputs!$C$29/Inputs!$C$24,0)</f>
        <v>0</v>
      </c>
      <c r="R121" s="30" t="n">
        <f aca="false">P121-Q121</f>
        <v>1.30967237055302E-009</v>
      </c>
      <c r="S121" s="10" t="str">
        <f aca="false">"FY "&amp;(YEAR(B121)-(MONTH(B121)&lt;4))&amp;"-"&amp;RIGHT(YEAR(B121)-(MONTH(B121)&lt;4)+1,2)</f>
        <v>FY 2035-36</v>
      </c>
    </row>
    <row r="122" customFormat="false" ht="15" hidden="false" customHeight="false" outlineLevel="0" collapsed="false">
      <c r="A122" s="22" t="n">
        <v>114</v>
      </c>
      <c r="B122" s="24" t="n">
        <f aca="false">EDATE(Inputs!$C$6,A122-1)</f>
        <v>49553</v>
      </c>
      <c r="C122" s="24" t="n">
        <f aca="false">EDATE(Inputs!$C$6,A122)-1</f>
        <v>49582</v>
      </c>
      <c r="D122" s="10" t="str">
        <f aca="false">IF(A122&lt;=Inputs!$C$7,"Yes","No")</f>
        <v>No</v>
      </c>
      <c r="E122" s="27" t="n">
        <f aca="false">IF(N(Inputs!$C$12)=0,1,(1+Inputs!$C$11)^INT((A122-1)/Inputs!$C$12))</f>
        <v>1.55132821597852</v>
      </c>
      <c r="F122" s="28" t="n">
        <f aca="false">IF(AND(D122="Yes",Inputs!$C$10="Advance",MOD(A122-1,Inputs!$C$22)=0),Inputs!$C$8*E122,0)</f>
        <v>0</v>
      </c>
      <c r="G122" s="28" t="n">
        <f aca="false">IF(AND(D122="Yes",Inputs!$C$10="Arrears",MOD(A122,Inputs!$C$22)=0),Inputs!$C$8*IF(N(Inputs!$C$12)=0,1,(1+Inputs!$C$11)^INT((A122-Inputs!$C$22)/Inputs!$C$12)),0)</f>
        <v>0</v>
      </c>
      <c r="H122" s="29" t="n">
        <f aca="false">1/(1+Inputs!$C$23)^(A122-1)</f>
        <v>0.425451812098315</v>
      </c>
      <c r="I122" s="29" t="n">
        <f aca="false">1/(1+Inputs!$C$23)^A122</f>
        <v>0.422246314721038</v>
      </c>
      <c r="J122" s="30" t="n">
        <f aca="false">F122*H122+G122*I122</f>
        <v>0</v>
      </c>
      <c r="K122" s="30" t="n">
        <f aca="false">M121</f>
        <v>-2.31665708150703E-009</v>
      </c>
      <c r="L122" s="30" t="n">
        <f aca="false">IF(D122="Yes",(K122-F122)*Inputs!$C$23,0)</f>
        <v>0</v>
      </c>
      <c r="M122" s="30" t="n">
        <f aca="false">K122-F122+L122-G122</f>
        <v>-2.31665708150703E-009</v>
      </c>
      <c r="N122" s="30" t="n">
        <f aca="false">F122+G122</f>
        <v>0</v>
      </c>
      <c r="O122" s="30" t="n">
        <f aca="false">N122-L122</f>
        <v>0</v>
      </c>
      <c r="P122" s="30" t="n">
        <f aca="false">R121</f>
        <v>1.30967237055302E-009</v>
      </c>
      <c r="Q122" s="30" t="n">
        <f aca="false">IF(A122&lt;=Inputs!$C$24,Inputs!$C$29/Inputs!$C$24,0)</f>
        <v>0</v>
      </c>
      <c r="R122" s="30" t="n">
        <f aca="false">P122-Q122</f>
        <v>1.30967237055302E-009</v>
      </c>
      <c r="S122" s="10" t="str">
        <f aca="false">"FY "&amp;(YEAR(B122)-(MONTH(B122)&lt;4))&amp;"-"&amp;RIGHT(YEAR(B122)-(MONTH(B122)&lt;4)+1,2)</f>
        <v>FY 2035-36</v>
      </c>
    </row>
    <row r="123" customFormat="false" ht="15" hidden="false" customHeight="false" outlineLevel="0" collapsed="false">
      <c r="A123" s="22" t="n">
        <v>115</v>
      </c>
      <c r="B123" s="24" t="n">
        <f aca="false">EDATE(Inputs!$C$6,A123-1)</f>
        <v>49583</v>
      </c>
      <c r="C123" s="24" t="n">
        <f aca="false">EDATE(Inputs!$C$6,A123)-1</f>
        <v>49613</v>
      </c>
      <c r="D123" s="10" t="str">
        <f aca="false">IF(A123&lt;=Inputs!$C$7,"Yes","No")</f>
        <v>No</v>
      </c>
      <c r="E123" s="27" t="n">
        <f aca="false">IF(N(Inputs!$C$12)=0,1,(1+Inputs!$C$11)^INT((A123-1)/Inputs!$C$12))</f>
        <v>1.55132821597852</v>
      </c>
      <c r="F123" s="28" t="n">
        <f aca="false">IF(AND(D123="Yes",Inputs!$C$10="Advance",MOD(A123-1,Inputs!$C$22)=0),Inputs!$C$8*E123,0)</f>
        <v>0</v>
      </c>
      <c r="G123" s="28" t="n">
        <f aca="false">IF(AND(D123="Yes",Inputs!$C$10="Arrears",MOD(A123,Inputs!$C$22)=0),Inputs!$C$8*IF(N(Inputs!$C$12)=0,1,(1+Inputs!$C$11)^INT((A123-Inputs!$C$22)/Inputs!$C$12)),0)</f>
        <v>0</v>
      </c>
      <c r="H123" s="29" t="n">
        <f aca="false">1/(1+Inputs!$C$23)^(A123-1)</f>
        <v>0.422246314721038</v>
      </c>
      <c r="I123" s="29" t="n">
        <f aca="false">1/(1+Inputs!$C$23)^A123</f>
        <v>0.419064968641613</v>
      </c>
      <c r="J123" s="30" t="n">
        <f aca="false">F123*H123+G123*I123</f>
        <v>0</v>
      </c>
      <c r="K123" s="30" t="n">
        <f aca="false">M122</f>
        <v>-2.31665708150703E-009</v>
      </c>
      <c r="L123" s="30" t="n">
        <f aca="false">IF(D123="Yes",(K123-F123)*Inputs!$C$23,0)</f>
        <v>0</v>
      </c>
      <c r="M123" s="30" t="n">
        <f aca="false">K123-F123+L123-G123</f>
        <v>-2.31665708150703E-009</v>
      </c>
      <c r="N123" s="30" t="n">
        <f aca="false">F123+G123</f>
        <v>0</v>
      </c>
      <c r="O123" s="30" t="n">
        <f aca="false">N123-L123</f>
        <v>0</v>
      </c>
      <c r="P123" s="30" t="n">
        <f aca="false">R122</f>
        <v>1.30967237055302E-009</v>
      </c>
      <c r="Q123" s="30" t="n">
        <f aca="false">IF(A123&lt;=Inputs!$C$24,Inputs!$C$29/Inputs!$C$24,0)</f>
        <v>0</v>
      </c>
      <c r="R123" s="30" t="n">
        <f aca="false">P123-Q123</f>
        <v>1.30967237055302E-009</v>
      </c>
      <c r="S123" s="10" t="str">
        <f aca="false">"FY "&amp;(YEAR(B123)-(MONTH(B123)&lt;4))&amp;"-"&amp;RIGHT(YEAR(B123)-(MONTH(B123)&lt;4)+1,2)</f>
        <v>FY 2035-36</v>
      </c>
    </row>
    <row r="124" customFormat="false" ht="15" hidden="false" customHeight="false" outlineLevel="0" collapsed="false">
      <c r="A124" s="22" t="n">
        <v>116</v>
      </c>
      <c r="B124" s="24" t="n">
        <f aca="false">EDATE(Inputs!$C$6,A124-1)</f>
        <v>49614</v>
      </c>
      <c r="C124" s="24" t="n">
        <f aca="false">EDATE(Inputs!$C$6,A124)-1</f>
        <v>49643</v>
      </c>
      <c r="D124" s="10" t="str">
        <f aca="false">IF(A124&lt;=Inputs!$C$7,"Yes","No")</f>
        <v>No</v>
      </c>
      <c r="E124" s="27" t="n">
        <f aca="false">IF(N(Inputs!$C$12)=0,1,(1+Inputs!$C$11)^INT((A124-1)/Inputs!$C$12))</f>
        <v>1.55132821597852</v>
      </c>
      <c r="F124" s="28" t="n">
        <f aca="false">IF(AND(D124="Yes",Inputs!$C$10="Advance",MOD(A124-1,Inputs!$C$22)=0),Inputs!$C$8*E124,0)</f>
        <v>0</v>
      </c>
      <c r="G124" s="28" t="n">
        <f aca="false">IF(AND(D124="Yes",Inputs!$C$10="Arrears",MOD(A124,Inputs!$C$22)=0),Inputs!$C$8*IF(N(Inputs!$C$12)=0,1,(1+Inputs!$C$11)^INT((A124-Inputs!$C$22)/Inputs!$C$12)),0)</f>
        <v>0</v>
      </c>
      <c r="H124" s="29" t="n">
        <f aca="false">1/(1+Inputs!$C$23)^(A124-1)</f>
        <v>0.419064968641613</v>
      </c>
      <c r="I124" s="29" t="n">
        <f aca="false">1/(1+Inputs!$C$23)^A124</f>
        <v>0.415907591896021</v>
      </c>
      <c r="J124" s="30" t="n">
        <f aca="false">F124*H124+G124*I124</f>
        <v>0</v>
      </c>
      <c r="K124" s="30" t="n">
        <f aca="false">M123</f>
        <v>-2.31665708150703E-009</v>
      </c>
      <c r="L124" s="30" t="n">
        <f aca="false">IF(D124="Yes",(K124-F124)*Inputs!$C$23,0)</f>
        <v>0</v>
      </c>
      <c r="M124" s="30" t="n">
        <f aca="false">K124-F124+L124-G124</f>
        <v>-2.31665708150703E-009</v>
      </c>
      <c r="N124" s="30" t="n">
        <f aca="false">F124+G124</f>
        <v>0</v>
      </c>
      <c r="O124" s="30" t="n">
        <f aca="false">N124-L124</f>
        <v>0</v>
      </c>
      <c r="P124" s="30" t="n">
        <f aca="false">R123</f>
        <v>1.30967237055302E-009</v>
      </c>
      <c r="Q124" s="30" t="n">
        <f aca="false">IF(A124&lt;=Inputs!$C$24,Inputs!$C$29/Inputs!$C$24,0)</f>
        <v>0</v>
      </c>
      <c r="R124" s="30" t="n">
        <f aca="false">P124-Q124</f>
        <v>1.30967237055302E-009</v>
      </c>
      <c r="S124" s="10" t="str">
        <f aca="false">"FY "&amp;(YEAR(B124)-(MONTH(B124)&lt;4))&amp;"-"&amp;RIGHT(YEAR(B124)-(MONTH(B124)&lt;4)+1,2)</f>
        <v>FY 2035-36</v>
      </c>
    </row>
    <row r="125" customFormat="false" ht="15" hidden="false" customHeight="false" outlineLevel="0" collapsed="false">
      <c r="A125" s="22" t="n">
        <v>117</v>
      </c>
      <c r="B125" s="24" t="n">
        <f aca="false">EDATE(Inputs!$C$6,A125-1)</f>
        <v>49644</v>
      </c>
      <c r="C125" s="24" t="n">
        <f aca="false">EDATE(Inputs!$C$6,A125)-1</f>
        <v>49674</v>
      </c>
      <c r="D125" s="10" t="str">
        <f aca="false">IF(A125&lt;=Inputs!$C$7,"Yes","No")</f>
        <v>No</v>
      </c>
      <c r="E125" s="27" t="n">
        <f aca="false">IF(N(Inputs!$C$12)=0,1,(1+Inputs!$C$11)^INT((A125-1)/Inputs!$C$12))</f>
        <v>1.55132821597852</v>
      </c>
      <c r="F125" s="28" t="n">
        <f aca="false">IF(AND(D125="Yes",Inputs!$C$10="Advance",MOD(A125-1,Inputs!$C$22)=0),Inputs!$C$8*E125,0)</f>
        <v>0</v>
      </c>
      <c r="G125" s="28" t="n">
        <f aca="false">IF(AND(D125="Yes",Inputs!$C$10="Arrears",MOD(A125,Inputs!$C$22)=0),Inputs!$C$8*IF(N(Inputs!$C$12)=0,1,(1+Inputs!$C$11)^INT((A125-Inputs!$C$22)/Inputs!$C$12)),0)</f>
        <v>0</v>
      </c>
      <c r="H125" s="29" t="n">
        <f aca="false">1/(1+Inputs!$C$23)^(A125-1)</f>
        <v>0.415907591896021</v>
      </c>
      <c r="I125" s="29" t="n">
        <f aca="false">1/(1+Inputs!$C$23)^A125</f>
        <v>0.41277400389122</v>
      </c>
      <c r="J125" s="30" t="n">
        <f aca="false">F125*H125+G125*I125</f>
        <v>0</v>
      </c>
      <c r="K125" s="30" t="n">
        <f aca="false">M124</f>
        <v>-2.31665708150703E-009</v>
      </c>
      <c r="L125" s="30" t="n">
        <f aca="false">IF(D125="Yes",(K125-F125)*Inputs!$C$23,0)</f>
        <v>0</v>
      </c>
      <c r="M125" s="30" t="n">
        <f aca="false">K125-F125+L125-G125</f>
        <v>-2.31665708150703E-009</v>
      </c>
      <c r="N125" s="30" t="n">
        <f aca="false">F125+G125</f>
        <v>0</v>
      </c>
      <c r="O125" s="30" t="n">
        <f aca="false">N125-L125</f>
        <v>0</v>
      </c>
      <c r="P125" s="30" t="n">
        <f aca="false">R124</f>
        <v>1.30967237055302E-009</v>
      </c>
      <c r="Q125" s="30" t="n">
        <f aca="false">IF(A125&lt;=Inputs!$C$24,Inputs!$C$29/Inputs!$C$24,0)</f>
        <v>0</v>
      </c>
      <c r="R125" s="30" t="n">
        <f aca="false">P125-Q125</f>
        <v>1.30967237055302E-009</v>
      </c>
      <c r="S125" s="10" t="str">
        <f aca="false">"FY "&amp;(YEAR(B125)-(MONTH(B125)&lt;4))&amp;"-"&amp;RIGHT(YEAR(B125)-(MONTH(B125)&lt;4)+1,2)</f>
        <v>FY 2035-36</v>
      </c>
    </row>
    <row r="126" customFormat="false" ht="15" hidden="false" customHeight="false" outlineLevel="0" collapsed="false">
      <c r="A126" s="22" t="n">
        <v>118</v>
      </c>
      <c r="B126" s="24" t="n">
        <f aca="false">EDATE(Inputs!$C$6,A126-1)</f>
        <v>49675</v>
      </c>
      <c r="C126" s="24" t="n">
        <f aca="false">EDATE(Inputs!$C$6,A126)-1</f>
        <v>49705</v>
      </c>
      <c r="D126" s="10" t="str">
        <f aca="false">IF(A126&lt;=Inputs!$C$7,"Yes","No")</f>
        <v>No</v>
      </c>
      <c r="E126" s="27" t="n">
        <f aca="false">IF(N(Inputs!$C$12)=0,1,(1+Inputs!$C$11)^INT((A126-1)/Inputs!$C$12))</f>
        <v>1.55132821597852</v>
      </c>
      <c r="F126" s="28" t="n">
        <f aca="false">IF(AND(D126="Yes",Inputs!$C$10="Advance",MOD(A126-1,Inputs!$C$22)=0),Inputs!$C$8*E126,0)</f>
        <v>0</v>
      </c>
      <c r="G126" s="28" t="n">
        <f aca="false">IF(AND(D126="Yes",Inputs!$C$10="Arrears",MOD(A126,Inputs!$C$22)=0),Inputs!$C$8*IF(N(Inputs!$C$12)=0,1,(1+Inputs!$C$11)^INT((A126-Inputs!$C$22)/Inputs!$C$12)),0)</f>
        <v>0</v>
      </c>
      <c r="H126" s="29" t="n">
        <f aca="false">1/(1+Inputs!$C$23)^(A126-1)</f>
        <v>0.41277400389122</v>
      </c>
      <c r="I126" s="29" t="n">
        <f aca="false">1/(1+Inputs!$C$23)^A126</f>
        <v>0.409664025394817</v>
      </c>
      <c r="J126" s="30" t="n">
        <f aca="false">F126*H126+G126*I126</f>
        <v>0</v>
      </c>
      <c r="K126" s="30" t="n">
        <f aca="false">M125</f>
        <v>-2.31665708150703E-009</v>
      </c>
      <c r="L126" s="30" t="n">
        <f aca="false">IF(D126="Yes",(K126-F126)*Inputs!$C$23,0)</f>
        <v>0</v>
      </c>
      <c r="M126" s="30" t="n">
        <f aca="false">K126-F126+L126-G126</f>
        <v>-2.31665708150703E-009</v>
      </c>
      <c r="N126" s="30" t="n">
        <f aca="false">F126+G126</f>
        <v>0</v>
      </c>
      <c r="O126" s="30" t="n">
        <f aca="false">N126-L126</f>
        <v>0</v>
      </c>
      <c r="P126" s="30" t="n">
        <f aca="false">R125</f>
        <v>1.30967237055302E-009</v>
      </c>
      <c r="Q126" s="30" t="n">
        <f aca="false">IF(A126&lt;=Inputs!$C$24,Inputs!$C$29/Inputs!$C$24,0)</f>
        <v>0</v>
      </c>
      <c r="R126" s="30" t="n">
        <f aca="false">P126-Q126</f>
        <v>1.30967237055302E-009</v>
      </c>
      <c r="S126" s="10" t="str">
        <f aca="false">"FY "&amp;(YEAR(B126)-(MONTH(B126)&lt;4))&amp;"-"&amp;RIGHT(YEAR(B126)-(MONTH(B126)&lt;4)+1,2)</f>
        <v>FY 2035-36</v>
      </c>
    </row>
    <row r="127" customFormat="false" ht="15" hidden="false" customHeight="false" outlineLevel="0" collapsed="false">
      <c r="A127" s="22" t="n">
        <v>119</v>
      </c>
      <c r="B127" s="24" t="n">
        <f aca="false">EDATE(Inputs!$C$6,A127-1)</f>
        <v>49706</v>
      </c>
      <c r="C127" s="24" t="n">
        <f aca="false">EDATE(Inputs!$C$6,A127)-1</f>
        <v>49734</v>
      </c>
      <c r="D127" s="10" t="str">
        <f aca="false">IF(A127&lt;=Inputs!$C$7,"Yes","No")</f>
        <v>No</v>
      </c>
      <c r="E127" s="27" t="n">
        <f aca="false">IF(N(Inputs!$C$12)=0,1,(1+Inputs!$C$11)^INT((A127-1)/Inputs!$C$12))</f>
        <v>1.55132821597852</v>
      </c>
      <c r="F127" s="28" t="n">
        <f aca="false">IF(AND(D127="Yes",Inputs!$C$10="Advance",MOD(A127-1,Inputs!$C$22)=0),Inputs!$C$8*E127,0)</f>
        <v>0</v>
      </c>
      <c r="G127" s="28" t="n">
        <f aca="false">IF(AND(D127="Yes",Inputs!$C$10="Arrears",MOD(A127,Inputs!$C$22)=0),Inputs!$C$8*IF(N(Inputs!$C$12)=0,1,(1+Inputs!$C$11)^INT((A127-Inputs!$C$22)/Inputs!$C$12)),0)</f>
        <v>0</v>
      </c>
      <c r="H127" s="29" t="n">
        <f aca="false">1/(1+Inputs!$C$23)^(A127-1)</f>
        <v>0.409664025394817</v>
      </c>
      <c r="I127" s="29" t="n">
        <f aca="false">1/(1+Inputs!$C$23)^A127</f>
        <v>0.406577478524817</v>
      </c>
      <c r="J127" s="30" t="n">
        <f aca="false">F127*H127+G127*I127</f>
        <v>0</v>
      </c>
      <c r="K127" s="30" t="n">
        <f aca="false">M126</f>
        <v>-2.31665708150703E-009</v>
      </c>
      <c r="L127" s="30" t="n">
        <f aca="false">IF(D127="Yes",(K127-F127)*Inputs!$C$23,0)</f>
        <v>0</v>
      </c>
      <c r="M127" s="30" t="n">
        <f aca="false">K127-F127+L127-G127</f>
        <v>-2.31665708150703E-009</v>
      </c>
      <c r="N127" s="30" t="n">
        <f aca="false">F127+G127</f>
        <v>0</v>
      </c>
      <c r="O127" s="30" t="n">
        <f aca="false">N127-L127</f>
        <v>0</v>
      </c>
      <c r="P127" s="30" t="n">
        <f aca="false">R126</f>
        <v>1.30967237055302E-009</v>
      </c>
      <c r="Q127" s="30" t="n">
        <f aca="false">IF(A127&lt;=Inputs!$C$24,Inputs!$C$29/Inputs!$C$24,0)</f>
        <v>0</v>
      </c>
      <c r="R127" s="30" t="n">
        <f aca="false">P127-Q127</f>
        <v>1.30967237055302E-009</v>
      </c>
      <c r="S127" s="10" t="str">
        <f aca="false">"FY "&amp;(YEAR(B127)-(MONTH(B127)&lt;4))&amp;"-"&amp;RIGHT(YEAR(B127)-(MONTH(B127)&lt;4)+1,2)</f>
        <v>FY 2035-36</v>
      </c>
    </row>
    <row r="128" customFormat="false" ht="15" hidden="false" customHeight="false" outlineLevel="0" collapsed="false">
      <c r="A128" s="22" t="n">
        <v>120</v>
      </c>
      <c r="B128" s="24" t="n">
        <f aca="false">EDATE(Inputs!$C$6,A128-1)</f>
        <v>49735</v>
      </c>
      <c r="C128" s="24" t="n">
        <f aca="false">EDATE(Inputs!$C$6,A128)-1</f>
        <v>49765</v>
      </c>
      <c r="D128" s="10" t="str">
        <f aca="false">IF(A128&lt;=Inputs!$C$7,"Yes","No")</f>
        <v>No</v>
      </c>
      <c r="E128" s="27" t="n">
        <f aca="false">IF(N(Inputs!$C$12)=0,1,(1+Inputs!$C$11)^INT((A128-1)/Inputs!$C$12))</f>
        <v>1.55132821597852</v>
      </c>
      <c r="F128" s="28" t="n">
        <f aca="false">IF(AND(D128="Yes",Inputs!$C$10="Advance",MOD(A128-1,Inputs!$C$22)=0),Inputs!$C$8*E128,0)</f>
        <v>0</v>
      </c>
      <c r="G128" s="28" t="n">
        <f aca="false">IF(AND(D128="Yes",Inputs!$C$10="Arrears",MOD(A128,Inputs!$C$22)=0),Inputs!$C$8*IF(N(Inputs!$C$12)=0,1,(1+Inputs!$C$11)^INT((A128-Inputs!$C$22)/Inputs!$C$12)),0)</f>
        <v>0</v>
      </c>
      <c r="H128" s="29" t="n">
        <f aca="false">1/(1+Inputs!$C$23)^(A128-1)</f>
        <v>0.406577478524817</v>
      </c>
      <c r="I128" s="29" t="n">
        <f aca="false">1/(1+Inputs!$C$23)^A128</f>
        <v>0.403514186739448</v>
      </c>
      <c r="J128" s="30" t="n">
        <f aca="false">F128*H128+G128*I128</f>
        <v>0</v>
      </c>
      <c r="K128" s="30" t="n">
        <f aca="false">M127</f>
        <v>-2.31665708150703E-009</v>
      </c>
      <c r="L128" s="30" t="n">
        <f aca="false">IF(D128="Yes",(K128-F128)*Inputs!$C$23,0)</f>
        <v>0</v>
      </c>
      <c r="M128" s="30" t="n">
        <f aca="false">K128-F128+L128-G128</f>
        <v>-2.31665708150703E-009</v>
      </c>
      <c r="N128" s="30" t="n">
        <f aca="false">F128+G128</f>
        <v>0</v>
      </c>
      <c r="O128" s="30" t="n">
        <f aca="false">N128-L128</f>
        <v>0</v>
      </c>
      <c r="P128" s="30" t="n">
        <f aca="false">R127</f>
        <v>1.30967237055302E-009</v>
      </c>
      <c r="Q128" s="30" t="n">
        <f aca="false">IF(A128&lt;=Inputs!$C$24,Inputs!$C$29/Inputs!$C$24,0)</f>
        <v>0</v>
      </c>
      <c r="R128" s="30" t="n">
        <f aca="false">P128-Q128</f>
        <v>1.30967237055302E-009</v>
      </c>
      <c r="S128" s="10" t="str">
        <f aca="false">"FY "&amp;(YEAR(B128)-(MONTH(B128)&lt;4))&amp;"-"&amp;RIGHT(YEAR(B128)-(MONTH(B128)&lt;4)+1,2)</f>
        <v>FY 2035-36</v>
      </c>
    </row>
    <row r="129" customFormat="false" ht="15" hidden="false" customHeight="false" outlineLevel="0" collapsed="false">
      <c r="A129" s="22" t="n">
        <v>121</v>
      </c>
      <c r="B129" s="24" t="n">
        <f aca="false">EDATE(Inputs!$C$6,A129-1)</f>
        <v>49766</v>
      </c>
      <c r="C129" s="24" t="n">
        <f aca="false">EDATE(Inputs!$C$6,A129)-1</f>
        <v>49795</v>
      </c>
      <c r="D129" s="10" t="str">
        <f aca="false">IF(A129&lt;=Inputs!$C$7,"Yes","No")</f>
        <v>No</v>
      </c>
      <c r="E129" s="27" t="n">
        <f aca="false">IF(N(Inputs!$C$12)=0,1,(1+Inputs!$C$11)^INT((A129-1)/Inputs!$C$12))</f>
        <v>1.62889462677744</v>
      </c>
      <c r="F129" s="28" t="n">
        <f aca="false">IF(AND(D129="Yes",Inputs!$C$10="Advance",MOD(A129-1,Inputs!$C$22)=0),Inputs!$C$8*E129,0)</f>
        <v>0</v>
      </c>
      <c r="G129" s="28" t="n">
        <f aca="false">IF(AND(D129="Yes",Inputs!$C$10="Arrears",MOD(A129,Inputs!$C$22)=0),Inputs!$C$8*IF(N(Inputs!$C$12)=0,1,(1+Inputs!$C$11)^INT((A129-Inputs!$C$22)/Inputs!$C$12)),0)</f>
        <v>0</v>
      </c>
      <c r="H129" s="29" t="n">
        <f aca="false">1/(1+Inputs!$C$23)^(A129-1)</f>
        <v>0.403514186739448</v>
      </c>
      <c r="I129" s="29" t="n">
        <f aca="false">1/(1+Inputs!$C$23)^A129</f>
        <v>0.400473974827063</v>
      </c>
      <c r="J129" s="30" t="n">
        <f aca="false">F129*H129+G129*I129</f>
        <v>0</v>
      </c>
      <c r="K129" s="30" t="n">
        <f aca="false">M128</f>
        <v>-2.31665708150703E-009</v>
      </c>
      <c r="L129" s="30" t="n">
        <f aca="false">IF(D129="Yes",(K129-F129)*Inputs!$C$23,0)</f>
        <v>0</v>
      </c>
      <c r="M129" s="30" t="n">
        <f aca="false">K129-F129+L129-G129</f>
        <v>-2.31665708150703E-009</v>
      </c>
      <c r="N129" s="30" t="n">
        <f aca="false">F129+G129</f>
        <v>0</v>
      </c>
      <c r="O129" s="30" t="n">
        <f aca="false">N129-L129</f>
        <v>0</v>
      </c>
      <c r="P129" s="30" t="n">
        <f aca="false">R128</f>
        <v>1.30967237055302E-009</v>
      </c>
      <c r="Q129" s="30" t="n">
        <f aca="false">IF(A129&lt;=Inputs!$C$24,Inputs!$C$29/Inputs!$C$24,0)</f>
        <v>0</v>
      </c>
      <c r="R129" s="30" t="n">
        <f aca="false">P129-Q129</f>
        <v>1.30967237055302E-009</v>
      </c>
      <c r="S129" s="10" t="str">
        <f aca="false">"FY "&amp;(YEAR(B129)-(MONTH(B129)&lt;4))&amp;"-"&amp;RIGHT(YEAR(B129)-(MONTH(B129)&lt;4)+1,2)</f>
        <v>FY 2036-37</v>
      </c>
    </row>
    <row r="130" customFormat="false" ht="15" hidden="false" customHeight="false" outlineLevel="0" collapsed="false">
      <c r="A130" s="22" t="n">
        <v>122</v>
      </c>
      <c r="B130" s="24" t="n">
        <f aca="false">EDATE(Inputs!$C$6,A130-1)</f>
        <v>49796</v>
      </c>
      <c r="C130" s="24" t="n">
        <f aca="false">EDATE(Inputs!$C$6,A130)-1</f>
        <v>49826</v>
      </c>
      <c r="D130" s="10" t="str">
        <f aca="false">IF(A130&lt;=Inputs!$C$7,"Yes","No")</f>
        <v>No</v>
      </c>
      <c r="E130" s="27" t="n">
        <f aca="false">IF(N(Inputs!$C$12)=0,1,(1+Inputs!$C$11)^INT((A130-1)/Inputs!$C$12))</f>
        <v>1.62889462677744</v>
      </c>
      <c r="F130" s="28" t="n">
        <f aca="false">IF(AND(D130="Yes",Inputs!$C$10="Advance",MOD(A130-1,Inputs!$C$22)=0),Inputs!$C$8*E130,0)</f>
        <v>0</v>
      </c>
      <c r="G130" s="28" t="n">
        <f aca="false">IF(AND(D130="Yes",Inputs!$C$10="Arrears",MOD(A130,Inputs!$C$22)=0),Inputs!$C$8*IF(N(Inputs!$C$12)=0,1,(1+Inputs!$C$11)^INT((A130-Inputs!$C$22)/Inputs!$C$12)),0)</f>
        <v>0</v>
      </c>
      <c r="H130" s="29" t="n">
        <f aca="false">1/(1+Inputs!$C$23)^(A130-1)</f>
        <v>0.400473974827063</v>
      </c>
      <c r="I130" s="29" t="n">
        <f aca="false">1/(1+Inputs!$C$23)^A130</f>
        <v>0.397456668896117</v>
      </c>
      <c r="J130" s="30" t="n">
        <f aca="false">F130*H130+G130*I130</f>
        <v>0</v>
      </c>
      <c r="K130" s="30" t="n">
        <f aca="false">M129</f>
        <v>-2.31665708150703E-009</v>
      </c>
      <c r="L130" s="30" t="n">
        <f aca="false">IF(D130="Yes",(K130-F130)*Inputs!$C$23,0)</f>
        <v>0</v>
      </c>
      <c r="M130" s="30" t="n">
        <f aca="false">K130-F130+L130-G130</f>
        <v>-2.31665708150703E-009</v>
      </c>
      <c r="N130" s="30" t="n">
        <f aca="false">F130+G130</f>
        <v>0</v>
      </c>
      <c r="O130" s="30" t="n">
        <f aca="false">N130-L130</f>
        <v>0</v>
      </c>
      <c r="P130" s="30" t="n">
        <f aca="false">R129</f>
        <v>1.30967237055302E-009</v>
      </c>
      <c r="Q130" s="30" t="n">
        <f aca="false">IF(A130&lt;=Inputs!$C$24,Inputs!$C$29/Inputs!$C$24,0)</f>
        <v>0</v>
      </c>
      <c r="R130" s="30" t="n">
        <f aca="false">P130-Q130</f>
        <v>1.30967237055302E-009</v>
      </c>
      <c r="S130" s="10" t="str">
        <f aca="false">"FY "&amp;(YEAR(B130)-(MONTH(B130)&lt;4))&amp;"-"&amp;RIGHT(YEAR(B130)-(MONTH(B130)&lt;4)+1,2)</f>
        <v>FY 2036-37</v>
      </c>
    </row>
    <row r="131" customFormat="false" ht="15" hidden="false" customHeight="false" outlineLevel="0" collapsed="false">
      <c r="A131" s="22" t="n">
        <v>123</v>
      </c>
      <c r="B131" s="24" t="n">
        <f aca="false">EDATE(Inputs!$C$6,A131-1)</f>
        <v>49827</v>
      </c>
      <c r="C131" s="24" t="n">
        <f aca="false">EDATE(Inputs!$C$6,A131)-1</f>
        <v>49856</v>
      </c>
      <c r="D131" s="10" t="str">
        <f aca="false">IF(A131&lt;=Inputs!$C$7,"Yes","No")</f>
        <v>No</v>
      </c>
      <c r="E131" s="27" t="n">
        <f aca="false">IF(N(Inputs!$C$12)=0,1,(1+Inputs!$C$11)^INT((A131-1)/Inputs!$C$12))</f>
        <v>1.62889462677744</v>
      </c>
      <c r="F131" s="28" t="n">
        <f aca="false">IF(AND(D131="Yes",Inputs!$C$10="Advance",MOD(A131-1,Inputs!$C$22)=0),Inputs!$C$8*E131,0)</f>
        <v>0</v>
      </c>
      <c r="G131" s="28" t="n">
        <f aca="false">IF(AND(D131="Yes",Inputs!$C$10="Arrears",MOD(A131,Inputs!$C$22)=0),Inputs!$C$8*IF(N(Inputs!$C$12)=0,1,(1+Inputs!$C$11)^INT((A131-Inputs!$C$22)/Inputs!$C$12)),0)</f>
        <v>0</v>
      </c>
      <c r="H131" s="29" t="n">
        <f aca="false">1/(1+Inputs!$C$23)^(A131-1)</f>
        <v>0.397456668896117</v>
      </c>
      <c r="I131" s="29" t="n">
        <f aca="false">1/(1+Inputs!$C$23)^A131</f>
        <v>0.394462096365225</v>
      </c>
      <c r="J131" s="30" t="n">
        <f aca="false">F131*H131+G131*I131</f>
        <v>0</v>
      </c>
      <c r="K131" s="30" t="n">
        <f aca="false">M130</f>
        <v>-2.31665708150703E-009</v>
      </c>
      <c r="L131" s="30" t="n">
        <f aca="false">IF(D131="Yes",(K131-F131)*Inputs!$C$23,0)</f>
        <v>0</v>
      </c>
      <c r="M131" s="30" t="n">
        <f aca="false">K131-F131+L131-G131</f>
        <v>-2.31665708150703E-009</v>
      </c>
      <c r="N131" s="30" t="n">
        <f aca="false">F131+G131</f>
        <v>0</v>
      </c>
      <c r="O131" s="30" t="n">
        <f aca="false">N131-L131</f>
        <v>0</v>
      </c>
      <c r="P131" s="30" t="n">
        <f aca="false">R130</f>
        <v>1.30967237055302E-009</v>
      </c>
      <c r="Q131" s="30" t="n">
        <f aca="false">IF(A131&lt;=Inputs!$C$24,Inputs!$C$29/Inputs!$C$24,0)</f>
        <v>0</v>
      </c>
      <c r="R131" s="30" t="n">
        <f aca="false">P131-Q131</f>
        <v>1.30967237055302E-009</v>
      </c>
      <c r="S131" s="10" t="str">
        <f aca="false">"FY "&amp;(YEAR(B131)-(MONTH(B131)&lt;4))&amp;"-"&amp;RIGHT(YEAR(B131)-(MONTH(B131)&lt;4)+1,2)</f>
        <v>FY 2036-37</v>
      </c>
    </row>
    <row r="132" customFormat="false" ht="15" hidden="false" customHeight="false" outlineLevel="0" collapsed="false">
      <c r="A132" s="22" t="n">
        <v>124</v>
      </c>
      <c r="B132" s="24" t="n">
        <f aca="false">EDATE(Inputs!$C$6,A132-1)</f>
        <v>49857</v>
      </c>
      <c r="C132" s="24" t="n">
        <f aca="false">EDATE(Inputs!$C$6,A132)-1</f>
        <v>49887</v>
      </c>
      <c r="D132" s="10" t="str">
        <f aca="false">IF(A132&lt;=Inputs!$C$7,"Yes","No")</f>
        <v>No</v>
      </c>
      <c r="E132" s="27" t="n">
        <f aca="false">IF(N(Inputs!$C$12)=0,1,(1+Inputs!$C$11)^INT((A132-1)/Inputs!$C$12))</f>
        <v>1.62889462677744</v>
      </c>
      <c r="F132" s="28" t="n">
        <f aca="false">IF(AND(D132="Yes",Inputs!$C$10="Advance",MOD(A132-1,Inputs!$C$22)=0),Inputs!$C$8*E132,0)</f>
        <v>0</v>
      </c>
      <c r="G132" s="28" t="n">
        <f aca="false">IF(AND(D132="Yes",Inputs!$C$10="Arrears",MOD(A132,Inputs!$C$22)=0),Inputs!$C$8*IF(N(Inputs!$C$12)=0,1,(1+Inputs!$C$11)^INT((A132-Inputs!$C$22)/Inputs!$C$12)),0)</f>
        <v>0</v>
      </c>
      <c r="H132" s="29" t="n">
        <f aca="false">1/(1+Inputs!$C$23)^(A132-1)</f>
        <v>0.394462096365225</v>
      </c>
      <c r="I132" s="29" t="n">
        <f aca="false">1/(1+Inputs!$C$23)^A132</f>
        <v>0.391490085953288</v>
      </c>
      <c r="J132" s="30" t="n">
        <f aca="false">F132*H132+G132*I132</f>
        <v>0</v>
      </c>
      <c r="K132" s="30" t="n">
        <f aca="false">M131</f>
        <v>-2.31665708150703E-009</v>
      </c>
      <c r="L132" s="30" t="n">
        <f aca="false">IF(D132="Yes",(K132-F132)*Inputs!$C$23,0)</f>
        <v>0</v>
      </c>
      <c r="M132" s="30" t="n">
        <f aca="false">K132-F132+L132-G132</f>
        <v>-2.31665708150703E-009</v>
      </c>
      <c r="N132" s="30" t="n">
        <f aca="false">F132+G132</f>
        <v>0</v>
      </c>
      <c r="O132" s="30" t="n">
        <f aca="false">N132-L132</f>
        <v>0</v>
      </c>
      <c r="P132" s="30" t="n">
        <f aca="false">R131</f>
        <v>1.30967237055302E-009</v>
      </c>
      <c r="Q132" s="30" t="n">
        <f aca="false">IF(A132&lt;=Inputs!$C$24,Inputs!$C$29/Inputs!$C$24,0)</f>
        <v>0</v>
      </c>
      <c r="R132" s="30" t="n">
        <f aca="false">P132-Q132</f>
        <v>1.30967237055302E-009</v>
      </c>
      <c r="S132" s="10" t="str">
        <f aca="false">"FY "&amp;(YEAR(B132)-(MONTH(B132)&lt;4))&amp;"-"&amp;RIGHT(YEAR(B132)-(MONTH(B132)&lt;4)+1,2)</f>
        <v>FY 2036-37</v>
      </c>
    </row>
    <row r="133" customFormat="false" ht="15" hidden="false" customHeight="false" outlineLevel="0" collapsed="false">
      <c r="A133" s="22" t="n">
        <v>125</v>
      </c>
      <c r="B133" s="24" t="n">
        <f aca="false">EDATE(Inputs!$C$6,A133-1)</f>
        <v>49888</v>
      </c>
      <c r="C133" s="24" t="n">
        <f aca="false">EDATE(Inputs!$C$6,A133)-1</f>
        <v>49918</v>
      </c>
      <c r="D133" s="10" t="str">
        <f aca="false">IF(A133&lt;=Inputs!$C$7,"Yes","No")</f>
        <v>No</v>
      </c>
      <c r="E133" s="27" t="n">
        <f aca="false">IF(N(Inputs!$C$12)=0,1,(1+Inputs!$C$11)^INT((A133-1)/Inputs!$C$12))</f>
        <v>1.62889462677744</v>
      </c>
      <c r="F133" s="28" t="n">
        <f aca="false">IF(AND(D133="Yes",Inputs!$C$10="Advance",MOD(A133-1,Inputs!$C$22)=0),Inputs!$C$8*E133,0)</f>
        <v>0</v>
      </c>
      <c r="G133" s="28" t="n">
        <f aca="false">IF(AND(D133="Yes",Inputs!$C$10="Arrears",MOD(A133,Inputs!$C$22)=0),Inputs!$C$8*IF(N(Inputs!$C$12)=0,1,(1+Inputs!$C$11)^INT((A133-Inputs!$C$22)/Inputs!$C$12)),0)</f>
        <v>0</v>
      </c>
      <c r="H133" s="29" t="n">
        <f aca="false">1/(1+Inputs!$C$23)^(A133-1)</f>
        <v>0.391490085953288</v>
      </c>
      <c r="I133" s="29" t="n">
        <f aca="false">1/(1+Inputs!$C$23)^A133</f>
        <v>0.388540467669694</v>
      </c>
      <c r="J133" s="30" t="n">
        <f aca="false">F133*H133+G133*I133</f>
        <v>0</v>
      </c>
      <c r="K133" s="30" t="n">
        <f aca="false">M132</f>
        <v>-2.31665708150703E-009</v>
      </c>
      <c r="L133" s="30" t="n">
        <f aca="false">IF(D133="Yes",(K133-F133)*Inputs!$C$23,0)</f>
        <v>0</v>
      </c>
      <c r="M133" s="30" t="n">
        <f aca="false">K133-F133+L133-G133</f>
        <v>-2.31665708150703E-009</v>
      </c>
      <c r="N133" s="30" t="n">
        <f aca="false">F133+G133</f>
        <v>0</v>
      </c>
      <c r="O133" s="30" t="n">
        <f aca="false">N133-L133</f>
        <v>0</v>
      </c>
      <c r="P133" s="30" t="n">
        <f aca="false">R132</f>
        <v>1.30967237055302E-009</v>
      </c>
      <c r="Q133" s="30" t="n">
        <f aca="false">IF(A133&lt;=Inputs!$C$24,Inputs!$C$29/Inputs!$C$24,0)</f>
        <v>0</v>
      </c>
      <c r="R133" s="30" t="n">
        <f aca="false">P133-Q133</f>
        <v>1.30967237055302E-009</v>
      </c>
      <c r="S133" s="10" t="str">
        <f aca="false">"FY "&amp;(YEAR(B133)-(MONTH(B133)&lt;4))&amp;"-"&amp;RIGHT(YEAR(B133)-(MONTH(B133)&lt;4)+1,2)</f>
        <v>FY 2036-37</v>
      </c>
    </row>
    <row r="134" customFormat="false" ht="15" hidden="false" customHeight="false" outlineLevel="0" collapsed="false">
      <c r="A134" s="22" t="n">
        <v>126</v>
      </c>
      <c r="B134" s="24" t="n">
        <f aca="false">EDATE(Inputs!$C$6,A134-1)</f>
        <v>49919</v>
      </c>
      <c r="C134" s="24" t="n">
        <f aca="false">EDATE(Inputs!$C$6,A134)-1</f>
        <v>49948</v>
      </c>
      <c r="D134" s="10" t="str">
        <f aca="false">IF(A134&lt;=Inputs!$C$7,"Yes","No")</f>
        <v>No</v>
      </c>
      <c r="E134" s="27" t="n">
        <f aca="false">IF(N(Inputs!$C$12)=0,1,(1+Inputs!$C$11)^INT((A134-1)/Inputs!$C$12))</f>
        <v>1.62889462677744</v>
      </c>
      <c r="F134" s="28" t="n">
        <f aca="false">IF(AND(D134="Yes",Inputs!$C$10="Advance",MOD(A134-1,Inputs!$C$22)=0),Inputs!$C$8*E134,0)</f>
        <v>0</v>
      </c>
      <c r="G134" s="28" t="n">
        <f aca="false">IF(AND(D134="Yes",Inputs!$C$10="Arrears",MOD(A134,Inputs!$C$22)=0),Inputs!$C$8*IF(N(Inputs!$C$12)=0,1,(1+Inputs!$C$11)^INT((A134-Inputs!$C$22)/Inputs!$C$12)),0)</f>
        <v>0</v>
      </c>
      <c r="H134" s="29" t="n">
        <f aca="false">1/(1+Inputs!$C$23)^(A134-1)</f>
        <v>0.388540467669694</v>
      </c>
      <c r="I134" s="29" t="n">
        <f aca="false">1/(1+Inputs!$C$23)^A134</f>
        <v>0.385613072804601</v>
      </c>
      <c r="J134" s="30" t="n">
        <f aca="false">F134*H134+G134*I134</f>
        <v>0</v>
      </c>
      <c r="K134" s="30" t="n">
        <f aca="false">M133</f>
        <v>-2.31665708150703E-009</v>
      </c>
      <c r="L134" s="30" t="n">
        <f aca="false">IF(D134="Yes",(K134-F134)*Inputs!$C$23,0)</f>
        <v>0</v>
      </c>
      <c r="M134" s="30" t="n">
        <f aca="false">K134-F134+L134-G134</f>
        <v>-2.31665708150703E-009</v>
      </c>
      <c r="N134" s="30" t="n">
        <f aca="false">F134+G134</f>
        <v>0</v>
      </c>
      <c r="O134" s="30" t="n">
        <f aca="false">N134-L134</f>
        <v>0</v>
      </c>
      <c r="P134" s="30" t="n">
        <f aca="false">R133</f>
        <v>1.30967237055302E-009</v>
      </c>
      <c r="Q134" s="30" t="n">
        <f aca="false">IF(A134&lt;=Inputs!$C$24,Inputs!$C$29/Inputs!$C$24,0)</f>
        <v>0</v>
      </c>
      <c r="R134" s="30" t="n">
        <f aca="false">P134-Q134</f>
        <v>1.30967237055302E-009</v>
      </c>
      <c r="S134" s="10" t="str">
        <f aca="false">"FY "&amp;(YEAR(B134)-(MONTH(B134)&lt;4))&amp;"-"&amp;RIGHT(YEAR(B134)-(MONTH(B134)&lt;4)+1,2)</f>
        <v>FY 2036-37</v>
      </c>
    </row>
    <row r="135" customFormat="false" ht="15" hidden="false" customHeight="false" outlineLevel="0" collapsed="false">
      <c r="A135" s="22" t="n">
        <v>127</v>
      </c>
      <c r="B135" s="24" t="n">
        <f aca="false">EDATE(Inputs!$C$6,A135-1)</f>
        <v>49949</v>
      </c>
      <c r="C135" s="24" t="n">
        <f aca="false">EDATE(Inputs!$C$6,A135)-1</f>
        <v>49979</v>
      </c>
      <c r="D135" s="10" t="str">
        <f aca="false">IF(A135&lt;=Inputs!$C$7,"Yes","No")</f>
        <v>No</v>
      </c>
      <c r="E135" s="27" t="n">
        <f aca="false">IF(N(Inputs!$C$12)=0,1,(1+Inputs!$C$11)^INT((A135-1)/Inputs!$C$12))</f>
        <v>1.62889462677744</v>
      </c>
      <c r="F135" s="28" t="n">
        <f aca="false">IF(AND(D135="Yes",Inputs!$C$10="Advance",MOD(A135-1,Inputs!$C$22)=0),Inputs!$C$8*E135,0)</f>
        <v>0</v>
      </c>
      <c r="G135" s="28" t="n">
        <f aca="false">IF(AND(D135="Yes",Inputs!$C$10="Arrears",MOD(A135,Inputs!$C$22)=0),Inputs!$C$8*IF(N(Inputs!$C$12)=0,1,(1+Inputs!$C$11)^INT((A135-Inputs!$C$22)/Inputs!$C$12)),0)</f>
        <v>0</v>
      </c>
      <c r="H135" s="29" t="n">
        <f aca="false">1/(1+Inputs!$C$23)^(A135-1)</f>
        <v>0.385613072804601</v>
      </c>
      <c r="I135" s="29" t="n">
        <f aca="false">1/(1+Inputs!$C$23)^A135</f>
        <v>0.382707733919282</v>
      </c>
      <c r="J135" s="30" t="n">
        <f aca="false">F135*H135+G135*I135</f>
        <v>0</v>
      </c>
      <c r="K135" s="30" t="n">
        <f aca="false">M134</f>
        <v>-2.31665708150703E-009</v>
      </c>
      <c r="L135" s="30" t="n">
        <f aca="false">IF(D135="Yes",(K135-F135)*Inputs!$C$23,0)</f>
        <v>0</v>
      </c>
      <c r="M135" s="30" t="n">
        <f aca="false">K135-F135+L135-G135</f>
        <v>-2.31665708150703E-009</v>
      </c>
      <c r="N135" s="30" t="n">
        <f aca="false">F135+G135</f>
        <v>0</v>
      </c>
      <c r="O135" s="30" t="n">
        <f aca="false">N135-L135</f>
        <v>0</v>
      </c>
      <c r="P135" s="30" t="n">
        <f aca="false">R134</f>
        <v>1.30967237055302E-009</v>
      </c>
      <c r="Q135" s="30" t="n">
        <f aca="false">IF(A135&lt;=Inputs!$C$24,Inputs!$C$29/Inputs!$C$24,0)</f>
        <v>0</v>
      </c>
      <c r="R135" s="30" t="n">
        <f aca="false">P135-Q135</f>
        <v>1.30967237055302E-009</v>
      </c>
      <c r="S135" s="10" t="str">
        <f aca="false">"FY "&amp;(YEAR(B135)-(MONTH(B135)&lt;4))&amp;"-"&amp;RIGHT(YEAR(B135)-(MONTH(B135)&lt;4)+1,2)</f>
        <v>FY 2036-37</v>
      </c>
    </row>
    <row r="136" customFormat="false" ht="15" hidden="false" customHeight="false" outlineLevel="0" collapsed="false">
      <c r="A136" s="22" t="n">
        <v>128</v>
      </c>
      <c r="B136" s="24" t="n">
        <f aca="false">EDATE(Inputs!$C$6,A136-1)</f>
        <v>49980</v>
      </c>
      <c r="C136" s="24" t="n">
        <f aca="false">EDATE(Inputs!$C$6,A136)-1</f>
        <v>50009</v>
      </c>
      <c r="D136" s="10" t="str">
        <f aca="false">IF(A136&lt;=Inputs!$C$7,"Yes","No")</f>
        <v>No</v>
      </c>
      <c r="E136" s="27" t="n">
        <f aca="false">IF(N(Inputs!$C$12)=0,1,(1+Inputs!$C$11)^INT((A136-1)/Inputs!$C$12))</f>
        <v>1.62889462677744</v>
      </c>
      <c r="F136" s="28" t="n">
        <f aca="false">IF(AND(D136="Yes",Inputs!$C$10="Advance",MOD(A136-1,Inputs!$C$22)=0),Inputs!$C$8*E136,0)</f>
        <v>0</v>
      </c>
      <c r="G136" s="28" t="n">
        <f aca="false">IF(AND(D136="Yes",Inputs!$C$10="Arrears",MOD(A136,Inputs!$C$22)=0),Inputs!$C$8*IF(N(Inputs!$C$12)=0,1,(1+Inputs!$C$11)^INT((A136-Inputs!$C$22)/Inputs!$C$12)),0)</f>
        <v>0</v>
      </c>
      <c r="H136" s="29" t="n">
        <f aca="false">1/(1+Inputs!$C$23)^(A136-1)</f>
        <v>0.382707733919282</v>
      </c>
      <c r="I136" s="29" t="n">
        <f aca="false">1/(1+Inputs!$C$23)^A136</f>
        <v>0.379824284836549</v>
      </c>
      <c r="J136" s="30" t="n">
        <f aca="false">F136*H136+G136*I136</f>
        <v>0</v>
      </c>
      <c r="K136" s="30" t="n">
        <f aca="false">M135</f>
        <v>-2.31665708150703E-009</v>
      </c>
      <c r="L136" s="30" t="n">
        <f aca="false">IF(D136="Yes",(K136-F136)*Inputs!$C$23,0)</f>
        <v>0</v>
      </c>
      <c r="M136" s="30" t="n">
        <f aca="false">K136-F136+L136-G136</f>
        <v>-2.31665708150703E-009</v>
      </c>
      <c r="N136" s="30" t="n">
        <f aca="false">F136+G136</f>
        <v>0</v>
      </c>
      <c r="O136" s="30" t="n">
        <f aca="false">N136-L136</f>
        <v>0</v>
      </c>
      <c r="P136" s="30" t="n">
        <f aca="false">R135</f>
        <v>1.30967237055302E-009</v>
      </c>
      <c r="Q136" s="30" t="n">
        <f aca="false">IF(A136&lt;=Inputs!$C$24,Inputs!$C$29/Inputs!$C$24,0)</f>
        <v>0</v>
      </c>
      <c r="R136" s="30" t="n">
        <f aca="false">P136-Q136</f>
        <v>1.30967237055302E-009</v>
      </c>
      <c r="S136" s="10" t="str">
        <f aca="false">"FY "&amp;(YEAR(B136)-(MONTH(B136)&lt;4))&amp;"-"&amp;RIGHT(YEAR(B136)-(MONTH(B136)&lt;4)+1,2)</f>
        <v>FY 2036-37</v>
      </c>
    </row>
    <row r="137" customFormat="false" ht="15" hidden="false" customHeight="false" outlineLevel="0" collapsed="false">
      <c r="A137" s="22" t="n">
        <v>129</v>
      </c>
      <c r="B137" s="24" t="n">
        <f aca="false">EDATE(Inputs!$C$6,A137-1)</f>
        <v>50010</v>
      </c>
      <c r="C137" s="24" t="n">
        <f aca="false">EDATE(Inputs!$C$6,A137)-1</f>
        <v>50040</v>
      </c>
      <c r="D137" s="10" t="str">
        <f aca="false">IF(A137&lt;=Inputs!$C$7,"Yes","No")</f>
        <v>No</v>
      </c>
      <c r="E137" s="27" t="n">
        <f aca="false">IF(N(Inputs!$C$12)=0,1,(1+Inputs!$C$11)^INT((A137-1)/Inputs!$C$12))</f>
        <v>1.62889462677744</v>
      </c>
      <c r="F137" s="28" t="n">
        <f aca="false">IF(AND(D137="Yes",Inputs!$C$10="Advance",MOD(A137-1,Inputs!$C$22)=0),Inputs!$C$8*E137,0)</f>
        <v>0</v>
      </c>
      <c r="G137" s="28" t="n">
        <f aca="false">IF(AND(D137="Yes",Inputs!$C$10="Arrears",MOD(A137,Inputs!$C$22)=0),Inputs!$C$8*IF(N(Inputs!$C$12)=0,1,(1+Inputs!$C$11)^INT((A137-Inputs!$C$22)/Inputs!$C$12)),0)</f>
        <v>0</v>
      </c>
      <c r="H137" s="29" t="n">
        <f aca="false">1/(1+Inputs!$C$23)^(A137-1)</f>
        <v>0.379824284836549</v>
      </c>
      <c r="I137" s="29" t="n">
        <f aca="false">1/(1+Inputs!$C$23)^A137</f>
        <v>0.376962560631251</v>
      </c>
      <c r="J137" s="30" t="n">
        <f aca="false">F137*H137+G137*I137</f>
        <v>0</v>
      </c>
      <c r="K137" s="30" t="n">
        <f aca="false">M136</f>
        <v>-2.31665708150703E-009</v>
      </c>
      <c r="L137" s="30" t="n">
        <f aca="false">IF(D137="Yes",(K137-F137)*Inputs!$C$23,0)</f>
        <v>0</v>
      </c>
      <c r="M137" s="30" t="n">
        <f aca="false">K137-F137+L137-G137</f>
        <v>-2.31665708150703E-009</v>
      </c>
      <c r="N137" s="30" t="n">
        <f aca="false">F137+G137</f>
        <v>0</v>
      </c>
      <c r="O137" s="30" t="n">
        <f aca="false">N137-L137</f>
        <v>0</v>
      </c>
      <c r="P137" s="30" t="n">
        <f aca="false">R136</f>
        <v>1.30967237055302E-009</v>
      </c>
      <c r="Q137" s="30" t="n">
        <f aca="false">IF(A137&lt;=Inputs!$C$24,Inputs!$C$29/Inputs!$C$24,0)</f>
        <v>0</v>
      </c>
      <c r="R137" s="30" t="n">
        <f aca="false">P137-Q137</f>
        <v>1.30967237055302E-009</v>
      </c>
      <c r="S137" s="10" t="str">
        <f aca="false">"FY "&amp;(YEAR(B137)-(MONTH(B137)&lt;4))&amp;"-"&amp;RIGHT(YEAR(B137)-(MONTH(B137)&lt;4)+1,2)</f>
        <v>FY 2036-37</v>
      </c>
    </row>
    <row r="138" customFormat="false" ht="15" hidden="false" customHeight="false" outlineLevel="0" collapsed="false">
      <c r="A138" s="22" t="n">
        <v>130</v>
      </c>
      <c r="B138" s="24" t="n">
        <f aca="false">EDATE(Inputs!$C$6,A138-1)</f>
        <v>50041</v>
      </c>
      <c r="C138" s="24" t="n">
        <f aca="false">EDATE(Inputs!$C$6,A138)-1</f>
        <v>50071</v>
      </c>
      <c r="D138" s="10" t="str">
        <f aca="false">IF(A138&lt;=Inputs!$C$7,"Yes","No")</f>
        <v>No</v>
      </c>
      <c r="E138" s="27" t="n">
        <f aca="false">IF(N(Inputs!$C$12)=0,1,(1+Inputs!$C$11)^INT((A138-1)/Inputs!$C$12))</f>
        <v>1.62889462677744</v>
      </c>
      <c r="F138" s="28" t="n">
        <f aca="false">IF(AND(D138="Yes",Inputs!$C$10="Advance",MOD(A138-1,Inputs!$C$22)=0),Inputs!$C$8*E138,0)</f>
        <v>0</v>
      </c>
      <c r="G138" s="28" t="n">
        <f aca="false">IF(AND(D138="Yes",Inputs!$C$10="Arrears",MOD(A138,Inputs!$C$22)=0),Inputs!$C$8*IF(N(Inputs!$C$12)=0,1,(1+Inputs!$C$11)^INT((A138-Inputs!$C$22)/Inputs!$C$12)),0)</f>
        <v>0</v>
      </c>
      <c r="H138" s="29" t="n">
        <f aca="false">1/(1+Inputs!$C$23)^(A138-1)</f>
        <v>0.376962560631251</v>
      </c>
      <c r="I138" s="29" t="n">
        <f aca="false">1/(1+Inputs!$C$23)^A138</f>
        <v>0.374122397620838</v>
      </c>
      <c r="J138" s="30" t="n">
        <f aca="false">F138*H138+G138*I138</f>
        <v>0</v>
      </c>
      <c r="K138" s="30" t="n">
        <f aca="false">M137</f>
        <v>-2.31665708150703E-009</v>
      </c>
      <c r="L138" s="30" t="n">
        <f aca="false">IF(D138="Yes",(K138-F138)*Inputs!$C$23,0)</f>
        <v>0</v>
      </c>
      <c r="M138" s="30" t="n">
        <f aca="false">K138-F138+L138-G138</f>
        <v>-2.31665708150703E-009</v>
      </c>
      <c r="N138" s="30" t="n">
        <f aca="false">F138+G138</f>
        <v>0</v>
      </c>
      <c r="O138" s="30" t="n">
        <f aca="false">N138-L138</f>
        <v>0</v>
      </c>
      <c r="P138" s="30" t="n">
        <f aca="false">R137</f>
        <v>1.30967237055302E-009</v>
      </c>
      <c r="Q138" s="30" t="n">
        <f aca="false">IF(A138&lt;=Inputs!$C$24,Inputs!$C$29/Inputs!$C$24,0)</f>
        <v>0</v>
      </c>
      <c r="R138" s="30" t="n">
        <f aca="false">P138-Q138</f>
        <v>1.30967237055302E-009</v>
      </c>
      <c r="S138" s="10" t="str">
        <f aca="false">"FY "&amp;(YEAR(B138)-(MONTH(B138)&lt;4))&amp;"-"&amp;RIGHT(YEAR(B138)-(MONTH(B138)&lt;4)+1,2)</f>
        <v>FY 2036-37</v>
      </c>
    </row>
    <row r="139" customFormat="false" ht="15" hidden="false" customHeight="false" outlineLevel="0" collapsed="false">
      <c r="A139" s="22" t="n">
        <v>131</v>
      </c>
      <c r="B139" s="24" t="n">
        <f aca="false">EDATE(Inputs!$C$6,A139-1)</f>
        <v>50072</v>
      </c>
      <c r="C139" s="24" t="n">
        <f aca="false">EDATE(Inputs!$C$6,A139)-1</f>
        <v>50099</v>
      </c>
      <c r="D139" s="10" t="str">
        <f aca="false">IF(A139&lt;=Inputs!$C$7,"Yes","No")</f>
        <v>No</v>
      </c>
      <c r="E139" s="27" t="n">
        <f aca="false">IF(N(Inputs!$C$12)=0,1,(1+Inputs!$C$11)^INT((A139-1)/Inputs!$C$12))</f>
        <v>1.62889462677744</v>
      </c>
      <c r="F139" s="28" t="n">
        <f aca="false">IF(AND(D139="Yes",Inputs!$C$10="Advance",MOD(A139-1,Inputs!$C$22)=0),Inputs!$C$8*E139,0)</f>
        <v>0</v>
      </c>
      <c r="G139" s="28" t="n">
        <f aca="false">IF(AND(D139="Yes",Inputs!$C$10="Arrears",MOD(A139,Inputs!$C$22)=0),Inputs!$C$8*IF(N(Inputs!$C$12)=0,1,(1+Inputs!$C$11)^INT((A139-Inputs!$C$22)/Inputs!$C$12)),0)</f>
        <v>0</v>
      </c>
      <c r="H139" s="29" t="n">
        <f aca="false">1/(1+Inputs!$C$23)^(A139-1)</f>
        <v>0.374122397620838</v>
      </c>
      <c r="I139" s="29" t="n">
        <f aca="false">1/(1+Inputs!$C$23)^A139</f>
        <v>0.371303633355998</v>
      </c>
      <c r="J139" s="30" t="n">
        <f aca="false">F139*H139+G139*I139</f>
        <v>0</v>
      </c>
      <c r="K139" s="30" t="n">
        <f aca="false">M138</f>
        <v>-2.31665708150703E-009</v>
      </c>
      <c r="L139" s="30" t="n">
        <f aca="false">IF(D139="Yes",(K139-F139)*Inputs!$C$23,0)</f>
        <v>0</v>
      </c>
      <c r="M139" s="30" t="n">
        <f aca="false">K139-F139+L139-G139</f>
        <v>-2.31665708150703E-009</v>
      </c>
      <c r="N139" s="30" t="n">
        <f aca="false">F139+G139</f>
        <v>0</v>
      </c>
      <c r="O139" s="30" t="n">
        <f aca="false">N139-L139</f>
        <v>0</v>
      </c>
      <c r="P139" s="30" t="n">
        <f aca="false">R138</f>
        <v>1.30967237055302E-009</v>
      </c>
      <c r="Q139" s="30" t="n">
        <f aca="false">IF(A139&lt;=Inputs!$C$24,Inputs!$C$29/Inputs!$C$24,0)</f>
        <v>0</v>
      </c>
      <c r="R139" s="30" t="n">
        <f aca="false">P139-Q139</f>
        <v>1.30967237055302E-009</v>
      </c>
      <c r="S139" s="10" t="str">
        <f aca="false">"FY "&amp;(YEAR(B139)-(MONTH(B139)&lt;4))&amp;"-"&amp;RIGHT(YEAR(B139)-(MONTH(B139)&lt;4)+1,2)</f>
        <v>FY 2036-37</v>
      </c>
    </row>
    <row r="140" customFormat="false" ht="15" hidden="false" customHeight="false" outlineLevel="0" collapsed="false">
      <c r="A140" s="22" t="n">
        <v>132</v>
      </c>
      <c r="B140" s="24" t="n">
        <f aca="false">EDATE(Inputs!$C$6,A140-1)</f>
        <v>50100</v>
      </c>
      <c r="C140" s="24" t="n">
        <f aca="false">EDATE(Inputs!$C$6,A140)-1</f>
        <v>50130</v>
      </c>
      <c r="D140" s="10" t="str">
        <f aca="false">IF(A140&lt;=Inputs!$C$7,"Yes","No")</f>
        <v>No</v>
      </c>
      <c r="E140" s="27" t="n">
        <f aca="false">IF(N(Inputs!$C$12)=0,1,(1+Inputs!$C$11)^INT((A140-1)/Inputs!$C$12))</f>
        <v>1.62889462677744</v>
      </c>
      <c r="F140" s="28" t="n">
        <f aca="false">IF(AND(D140="Yes",Inputs!$C$10="Advance",MOD(A140-1,Inputs!$C$22)=0),Inputs!$C$8*E140,0)</f>
        <v>0</v>
      </c>
      <c r="G140" s="28" t="n">
        <f aca="false">IF(AND(D140="Yes",Inputs!$C$10="Arrears",MOD(A140,Inputs!$C$22)=0),Inputs!$C$8*IF(N(Inputs!$C$12)=0,1,(1+Inputs!$C$11)^INT((A140-Inputs!$C$22)/Inputs!$C$12)),0)</f>
        <v>0</v>
      </c>
      <c r="H140" s="29" t="n">
        <f aca="false">1/(1+Inputs!$C$23)^(A140-1)</f>
        <v>0.371303633355998</v>
      </c>
      <c r="I140" s="29" t="n">
        <f aca="false">1/(1+Inputs!$C$23)^A140</f>
        <v>0.368506106611369</v>
      </c>
      <c r="J140" s="30" t="n">
        <f aca="false">F140*H140+G140*I140</f>
        <v>0</v>
      </c>
      <c r="K140" s="30" t="n">
        <f aca="false">M139</f>
        <v>-2.31665708150703E-009</v>
      </c>
      <c r="L140" s="30" t="n">
        <f aca="false">IF(D140="Yes",(K140-F140)*Inputs!$C$23,0)</f>
        <v>0</v>
      </c>
      <c r="M140" s="30" t="n">
        <f aca="false">K140-F140+L140-G140</f>
        <v>-2.31665708150703E-009</v>
      </c>
      <c r="N140" s="30" t="n">
        <f aca="false">F140+G140</f>
        <v>0</v>
      </c>
      <c r="O140" s="30" t="n">
        <f aca="false">N140-L140</f>
        <v>0</v>
      </c>
      <c r="P140" s="30" t="n">
        <f aca="false">R139</f>
        <v>1.30967237055302E-009</v>
      </c>
      <c r="Q140" s="30" t="n">
        <f aca="false">IF(A140&lt;=Inputs!$C$24,Inputs!$C$29/Inputs!$C$24,0)</f>
        <v>0</v>
      </c>
      <c r="R140" s="30" t="n">
        <f aca="false">P140-Q140</f>
        <v>1.30967237055302E-009</v>
      </c>
      <c r="S140" s="10" t="str">
        <f aca="false">"FY "&amp;(YEAR(B140)-(MONTH(B140)&lt;4))&amp;"-"&amp;RIGHT(YEAR(B140)-(MONTH(B140)&lt;4)+1,2)</f>
        <v>FY 2036-37</v>
      </c>
    </row>
    <row r="141" customFormat="false" ht="15" hidden="false" customHeight="false" outlineLevel="0" collapsed="false">
      <c r="A141" s="22" t="n">
        <v>133</v>
      </c>
      <c r="B141" s="24" t="n">
        <f aca="false">EDATE(Inputs!$C$6,A141-1)</f>
        <v>50131</v>
      </c>
      <c r="C141" s="24" t="n">
        <f aca="false">EDATE(Inputs!$C$6,A141)-1</f>
        <v>50160</v>
      </c>
      <c r="D141" s="10" t="str">
        <f aca="false">IF(A141&lt;=Inputs!$C$7,"Yes","No")</f>
        <v>No</v>
      </c>
      <c r="E141" s="27" t="n">
        <f aca="false">IF(N(Inputs!$C$12)=0,1,(1+Inputs!$C$11)^INT((A141-1)/Inputs!$C$12))</f>
        <v>1.71033935811631</v>
      </c>
      <c r="F141" s="28" t="n">
        <f aca="false">IF(AND(D141="Yes",Inputs!$C$10="Advance",MOD(A141-1,Inputs!$C$22)=0),Inputs!$C$8*E141,0)</f>
        <v>0</v>
      </c>
      <c r="G141" s="28" t="n">
        <f aca="false">IF(AND(D141="Yes",Inputs!$C$10="Arrears",MOD(A141,Inputs!$C$22)=0),Inputs!$C$8*IF(N(Inputs!$C$12)=0,1,(1+Inputs!$C$11)^INT((A141-Inputs!$C$22)/Inputs!$C$12)),0)</f>
        <v>0</v>
      </c>
      <c r="H141" s="29" t="n">
        <f aca="false">1/(1+Inputs!$C$23)^(A141-1)</f>
        <v>0.368506106611369</v>
      </c>
      <c r="I141" s="29" t="n">
        <f aca="false">1/(1+Inputs!$C$23)^A141</f>
        <v>0.365729657376313</v>
      </c>
      <c r="J141" s="30" t="n">
        <f aca="false">F141*H141+G141*I141</f>
        <v>0</v>
      </c>
      <c r="K141" s="30" t="n">
        <f aca="false">M140</f>
        <v>-2.31665708150703E-009</v>
      </c>
      <c r="L141" s="30" t="n">
        <f aca="false">IF(D141="Yes",(K141-F141)*Inputs!$C$23,0)</f>
        <v>0</v>
      </c>
      <c r="M141" s="30" t="n">
        <f aca="false">K141-F141+L141-G141</f>
        <v>-2.31665708150703E-009</v>
      </c>
      <c r="N141" s="30" t="n">
        <f aca="false">F141+G141</f>
        <v>0</v>
      </c>
      <c r="O141" s="30" t="n">
        <f aca="false">N141-L141</f>
        <v>0</v>
      </c>
      <c r="P141" s="30" t="n">
        <f aca="false">R140</f>
        <v>1.30967237055302E-009</v>
      </c>
      <c r="Q141" s="30" t="n">
        <f aca="false">IF(A141&lt;=Inputs!$C$24,Inputs!$C$29/Inputs!$C$24,0)</f>
        <v>0</v>
      </c>
      <c r="R141" s="30" t="n">
        <f aca="false">P141-Q141</f>
        <v>1.30967237055302E-009</v>
      </c>
      <c r="S141" s="10" t="str">
        <f aca="false">"FY "&amp;(YEAR(B141)-(MONTH(B141)&lt;4))&amp;"-"&amp;RIGHT(YEAR(B141)-(MONTH(B141)&lt;4)+1,2)</f>
        <v>FY 2037-38</v>
      </c>
    </row>
    <row r="142" customFormat="false" ht="15" hidden="false" customHeight="false" outlineLevel="0" collapsed="false">
      <c r="A142" s="22" t="n">
        <v>134</v>
      </c>
      <c r="B142" s="24" t="n">
        <f aca="false">EDATE(Inputs!$C$6,A142-1)</f>
        <v>50161</v>
      </c>
      <c r="C142" s="24" t="n">
        <f aca="false">EDATE(Inputs!$C$6,A142)-1</f>
        <v>50191</v>
      </c>
      <c r="D142" s="10" t="str">
        <f aca="false">IF(A142&lt;=Inputs!$C$7,"Yes","No")</f>
        <v>No</v>
      </c>
      <c r="E142" s="27" t="n">
        <f aca="false">IF(N(Inputs!$C$12)=0,1,(1+Inputs!$C$11)^INT((A142-1)/Inputs!$C$12))</f>
        <v>1.71033935811631</v>
      </c>
      <c r="F142" s="28" t="n">
        <f aca="false">IF(AND(D142="Yes",Inputs!$C$10="Advance",MOD(A142-1,Inputs!$C$22)=0),Inputs!$C$8*E142,0)</f>
        <v>0</v>
      </c>
      <c r="G142" s="28" t="n">
        <f aca="false">IF(AND(D142="Yes",Inputs!$C$10="Arrears",MOD(A142,Inputs!$C$22)=0),Inputs!$C$8*IF(N(Inputs!$C$12)=0,1,(1+Inputs!$C$11)^INT((A142-Inputs!$C$22)/Inputs!$C$12)),0)</f>
        <v>0</v>
      </c>
      <c r="H142" s="29" t="n">
        <f aca="false">1/(1+Inputs!$C$23)^(A142-1)</f>
        <v>0.365729657376313</v>
      </c>
      <c r="I142" s="29" t="n">
        <f aca="false">1/(1+Inputs!$C$23)^A142</f>
        <v>0.362974126845769</v>
      </c>
      <c r="J142" s="30" t="n">
        <f aca="false">F142*H142+G142*I142</f>
        <v>0</v>
      </c>
      <c r="K142" s="30" t="n">
        <f aca="false">M141</f>
        <v>-2.31665708150703E-009</v>
      </c>
      <c r="L142" s="30" t="n">
        <f aca="false">IF(D142="Yes",(K142-F142)*Inputs!$C$23,0)</f>
        <v>0</v>
      </c>
      <c r="M142" s="30" t="n">
        <f aca="false">K142-F142+L142-G142</f>
        <v>-2.31665708150703E-009</v>
      </c>
      <c r="N142" s="30" t="n">
        <f aca="false">F142+G142</f>
        <v>0</v>
      </c>
      <c r="O142" s="30" t="n">
        <f aca="false">N142-L142</f>
        <v>0</v>
      </c>
      <c r="P142" s="30" t="n">
        <f aca="false">R141</f>
        <v>1.30967237055302E-009</v>
      </c>
      <c r="Q142" s="30" t="n">
        <f aca="false">IF(A142&lt;=Inputs!$C$24,Inputs!$C$29/Inputs!$C$24,0)</f>
        <v>0</v>
      </c>
      <c r="R142" s="30" t="n">
        <f aca="false">P142-Q142</f>
        <v>1.30967237055302E-009</v>
      </c>
      <c r="S142" s="10" t="str">
        <f aca="false">"FY "&amp;(YEAR(B142)-(MONTH(B142)&lt;4))&amp;"-"&amp;RIGHT(YEAR(B142)-(MONTH(B142)&lt;4)+1,2)</f>
        <v>FY 2037-38</v>
      </c>
    </row>
    <row r="143" customFormat="false" ht="15" hidden="false" customHeight="false" outlineLevel="0" collapsed="false">
      <c r="A143" s="22" t="n">
        <v>135</v>
      </c>
      <c r="B143" s="24" t="n">
        <f aca="false">EDATE(Inputs!$C$6,A143-1)</f>
        <v>50192</v>
      </c>
      <c r="C143" s="24" t="n">
        <f aca="false">EDATE(Inputs!$C$6,A143)-1</f>
        <v>50221</v>
      </c>
      <c r="D143" s="10" t="str">
        <f aca="false">IF(A143&lt;=Inputs!$C$7,"Yes","No")</f>
        <v>No</v>
      </c>
      <c r="E143" s="27" t="n">
        <f aca="false">IF(N(Inputs!$C$12)=0,1,(1+Inputs!$C$11)^INT((A143-1)/Inputs!$C$12))</f>
        <v>1.71033935811631</v>
      </c>
      <c r="F143" s="28" t="n">
        <f aca="false">IF(AND(D143="Yes",Inputs!$C$10="Advance",MOD(A143-1,Inputs!$C$22)=0),Inputs!$C$8*E143,0)</f>
        <v>0</v>
      </c>
      <c r="G143" s="28" t="n">
        <f aca="false">IF(AND(D143="Yes",Inputs!$C$10="Arrears",MOD(A143,Inputs!$C$22)=0),Inputs!$C$8*IF(N(Inputs!$C$12)=0,1,(1+Inputs!$C$11)^INT((A143-Inputs!$C$22)/Inputs!$C$12)),0)</f>
        <v>0</v>
      </c>
      <c r="H143" s="29" t="n">
        <f aca="false">1/(1+Inputs!$C$23)^(A143-1)</f>
        <v>0.362974126845769</v>
      </c>
      <c r="I143" s="29" t="n">
        <f aca="false">1/(1+Inputs!$C$23)^A143</f>
        <v>0.360239357411165</v>
      </c>
      <c r="J143" s="30" t="n">
        <f aca="false">F143*H143+G143*I143</f>
        <v>0</v>
      </c>
      <c r="K143" s="30" t="n">
        <f aca="false">M142</f>
        <v>-2.31665708150703E-009</v>
      </c>
      <c r="L143" s="30" t="n">
        <f aca="false">IF(D143="Yes",(K143-F143)*Inputs!$C$23,0)</f>
        <v>0</v>
      </c>
      <c r="M143" s="30" t="n">
        <f aca="false">K143-F143+L143-G143</f>
        <v>-2.31665708150703E-009</v>
      </c>
      <c r="N143" s="30" t="n">
        <f aca="false">F143+G143</f>
        <v>0</v>
      </c>
      <c r="O143" s="30" t="n">
        <f aca="false">N143-L143</f>
        <v>0</v>
      </c>
      <c r="P143" s="30" t="n">
        <f aca="false">R142</f>
        <v>1.30967237055302E-009</v>
      </c>
      <c r="Q143" s="30" t="n">
        <f aca="false">IF(A143&lt;=Inputs!$C$24,Inputs!$C$29/Inputs!$C$24,0)</f>
        <v>0</v>
      </c>
      <c r="R143" s="30" t="n">
        <f aca="false">P143-Q143</f>
        <v>1.30967237055302E-009</v>
      </c>
      <c r="S143" s="10" t="str">
        <f aca="false">"FY "&amp;(YEAR(B143)-(MONTH(B143)&lt;4))&amp;"-"&amp;RIGHT(YEAR(B143)-(MONTH(B143)&lt;4)+1,2)</f>
        <v>FY 2037-38</v>
      </c>
    </row>
    <row r="144" customFormat="false" ht="15" hidden="false" customHeight="false" outlineLevel="0" collapsed="false">
      <c r="A144" s="22" t="n">
        <v>136</v>
      </c>
      <c r="B144" s="24" t="n">
        <f aca="false">EDATE(Inputs!$C$6,A144-1)</f>
        <v>50222</v>
      </c>
      <c r="C144" s="24" t="n">
        <f aca="false">EDATE(Inputs!$C$6,A144)-1</f>
        <v>50252</v>
      </c>
      <c r="D144" s="10" t="str">
        <f aca="false">IF(A144&lt;=Inputs!$C$7,"Yes","No")</f>
        <v>No</v>
      </c>
      <c r="E144" s="27" t="n">
        <f aca="false">IF(N(Inputs!$C$12)=0,1,(1+Inputs!$C$11)^INT((A144-1)/Inputs!$C$12))</f>
        <v>1.71033935811631</v>
      </c>
      <c r="F144" s="28" t="n">
        <f aca="false">IF(AND(D144="Yes",Inputs!$C$10="Advance",MOD(A144-1,Inputs!$C$22)=0),Inputs!$C$8*E144,0)</f>
        <v>0</v>
      </c>
      <c r="G144" s="28" t="n">
        <f aca="false">IF(AND(D144="Yes",Inputs!$C$10="Arrears",MOD(A144,Inputs!$C$22)=0),Inputs!$C$8*IF(N(Inputs!$C$12)=0,1,(1+Inputs!$C$11)^INT((A144-Inputs!$C$22)/Inputs!$C$12)),0)</f>
        <v>0</v>
      </c>
      <c r="H144" s="29" t="n">
        <f aca="false">1/(1+Inputs!$C$23)^(A144-1)</f>
        <v>0.360239357411165</v>
      </c>
      <c r="I144" s="29" t="n">
        <f aca="false">1/(1+Inputs!$C$23)^A144</f>
        <v>0.357525192651405</v>
      </c>
      <c r="J144" s="30" t="n">
        <f aca="false">F144*H144+G144*I144</f>
        <v>0</v>
      </c>
      <c r="K144" s="30" t="n">
        <f aca="false">M143</f>
        <v>-2.31665708150703E-009</v>
      </c>
      <c r="L144" s="30" t="n">
        <f aca="false">IF(D144="Yes",(K144-F144)*Inputs!$C$23,0)</f>
        <v>0</v>
      </c>
      <c r="M144" s="30" t="n">
        <f aca="false">K144-F144+L144-G144</f>
        <v>-2.31665708150703E-009</v>
      </c>
      <c r="N144" s="30" t="n">
        <f aca="false">F144+G144</f>
        <v>0</v>
      </c>
      <c r="O144" s="30" t="n">
        <f aca="false">N144-L144</f>
        <v>0</v>
      </c>
      <c r="P144" s="30" t="n">
        <f aca="false">R143</f>
        <v>1.30967237055302E-009</v>
      </c>
      <c r="Q144" s="30" t="n">
        <f aca="false">IF(A144&lt;=Inputs!$C$24,Inputs!$C$29/Inputs!$C$24,0)</f>
        <v>0</v>
      </c>
      <c r="R144" s="30" t="n">
        <f aca="false">P144-Q144</f>
        <v>1.30967237055302E-009</v>
      </c>
      <c r="S144" s="10" t="str">
        <f aca="false">"FY "&amp;(YEAR(B144)-(MONTH(B144)&lt;4))&amp;"-"&amp;RIGHT(YEAR(B144)-(MONTH(B144)&lt;4)+1,2)</f>
        <v>FY 2037-38</v>
      </c>
    </row>
    <row r="145" customFormat="false" ht="15" hidden="false" customHeight="false" outlineLevel="0" collapsed="false">
      <c r="A145" s="22" t="n">
        <v>137</v>
      </c>
      <c r="B145" s="24" t="n">
        <f aca="false">EDATE(Inputs!$C$6,A145-1)</f>
        <v>50253</v>
      </c>
      <c r="C145" s="24" t="n">
        <f aca="false">EDATE(Inputs!$C$6,A145)-1</f>
        <v>50283</v>
      </c>
      <c r="D145" s="10" t="str">
        <f aca="false">IF(A145&lt;=Inputs!$C$7,"Yes","No")</f>
        <v>No</v>
      </c>
      <c r="E145" s="27" t="n">
        <f aca="false">IF(N(Inputs!$C$12)=0,1,(1+Inputs!$C$11)^INT((A145-1)/Inputs!$C$12))</f>
        <v>1.71033935811631</v>
      </c>
      <c r="F145" s="28" t="n">
        <f aca="false">IF(AND(D145="Yes",Inputs!$C$10="Advance",MOD(A145-1,Inputs!$C$22)=0),Inputs!$C$8*E145,0)</f>
        <v>0</v>
      </c>
      <c r="G145" s="28" t="n">
        <f aca="false">IF(AND(D145="Yes",Inputs!$C$10="Arrears",MOD(A145,Inputs!$C$22)=0),Inputs!$C$8*IF(N(Inputs!$C$12)=0,1,(1+Inputs!$C$11)^INT((A145-Inputs!$C$22)/Inputs!$C$12)),0)</f>
        <v>0</v>
      </c>
      <c r="H145" s="29" t="n">
        <f aca="false">1/(1+Inputs!$C$23)^(A145-1)</f>
        <v>0.357525192651405</v>
      </c>
      <c r="I145" s="29" t="n">
        <f aca="false">1/(1+Inputs!$C$23)^A145</f>
        <v>0.354831477323922</v>
      </c>
      <c r="J145" s="30" t="n">
        <f aca="false">F145*H145+G145*I145</f>
        <v>0</v>
      </c>
      <c r="K145" s="30" t="n">
        <f aca="false">M144</f>
        <v>-2.31665708150703E-009</v>
      </c>
      <c r="L145" s="30" t="n">
        <f aca="false">IF(D145="Yes",(K145-F145)*Inputs!$C$23,0)</f>
        <v>0</v>
      </c>
      <c r="M145" s="30" t="n">
        <f aca="false">K145-F145+L145-G145</f>
        <v>-2.31665708150703E-009</v>
      </c>
      <c r="N145" s="30" t="n">
        <f aca="false">F145+G145</f>
        <v>0</v>
      </c>
      <c r="O145" s="30" t="n">
        <f aca="false">N145-L145</f>
        <v>0</v>
      </c>
      <c r="P145" s="30" t="n">
        <f aca="false">R144</f>
        <v>1.30967237055302E-009</v>
      </c>
      <c r="Q145" s="30" t="n">
        <f aca="false">IF(A145&lt;=Inputs!$C$24,Inputs!$C$29/Inputs!$C$24,0)</f>
        <v>0</v>
      </c>
      <c r="R145" s="30" t="n">
        <f aca="false">P145-Q145</f>
        <v>1.30967237055302E-009</v>
      </c>
      <c r="S145" s="10" t="str">
        <f aca="false">"FY "&amp;(YEAR(B145)-(MONTH(B145)&lt;4))&amp;"-"&amp;RIGHT(YEAR(B145)-(MONTH(B145)&lt;4)+1,2)</f>
        <v>FY 2037-38</v>
      </c>
    </row>
    <row r="146" customFormat="false" ht="15" hidden="false" customHeight="false" outlineLevel="0" collapsed="false">
      <c r="A146" s="22" t="n">
        <v>138</v>
      </c>
      <c r="B146" s="24" t="n">
        <f aca="false">EDATE(Inputs!$C$6,A146-1)</f>
        <v>50284</v>
      </c>
      <c r="C146" s="24" t="n">
        <f aca="false">EDATE(Inputs!$C$6,A146)-1</f>
        <v>50313</v>
      </c>
      <c r="D146" s="10" t="str">
        <f aca="false">IF(A146&lt;=Inputs!$C$7,"Yes","No")</f>
        <v>No</v>
      </c>
      <c r="E146" s="27" t="n">
        <f aca="false">IF(N(Inputs!$C$12)=0,1,(1+Inputs!$C$11)^INT((A146-1)/Inputs!$C$12))</f>
        <v>1.71033935811631</v>
      </c>
      <c r="F146" s="28" t="n">
        <f aca="false">IF(AND(D146="Yes",Inputs!$C$10="Advance",MOD(A146-1,Inputs!$C$22)=0),Inputs!$C$8*E146,0)</f>
        <v>0</v>
      </c>
      <c r="G146" s="28" t="n">
        <f aca="false">IF(AND(D146="Yes",Inputs!$C$10="Arrears",MOD(A146,Inputs!$C$22)=0),Inputs!$C$8*IF(N(Inputs!$C$12)=0,1,(1+Inputs!$C$11)^INT((A146-Inputs!$C$22)/Inputs!$C$12)),0)</f>
        <v>0</v>
      </c>
      <c r="H146" s="29" t="n">
        <f aca="false">1/(1+Inputs!$C$23)^(A146-1)</f>
        <v>0.354831477323922</v>
      </c>
      <c r="I146" s="29" t="n">
        <f aca="false">1/(1+Inputs!$C$23)^A146</f>
        <v>0.352158057355801</v>
      </c>
      <c r="J146" s="30" t="n">
        <f aca="false">F146*H146+G146*I146</f>
        <v>0</v>
      </c>
      <c r="K146" s="30" t="n">
        <f aca="false">M145</f>
        <v>-2.31665708150703E-009</v>
      </c>
      <c r="L146" s="30" t="n">
        <f aca="false">IF(D146="Yes",(K146-F146)*Inputs!$C$23,0)</f>
        <v>0</v>
      </c>
      <c r="M146" s="30" t="n">
        <f aca="false">K146-F146+L146-G146</f>
        <v>-2.31665708150703E-009</v>
      </c>
      <c r="N146" s="30" t="n">
        <f aca="false">F146+G146</f>
        <v>0</v>
      </c>
      <c r="O146" s="30" t="n">
        <f aca="false">N146-L146</f>
        <v>0</v>
      </c>
      <c r="P146" s="30" t="n">
        <f aca="false">R145</f>
        <v>1.30967237055302E-009</v>
      </c>
      <c r="Q146" s="30" t="n">
        <f aca="false">IF(A146&lt;=Inputs!$C$24,Inputs!$C$29/Inputs!$C$24,0)</f>
        <v>0</v>
      </c>
      <c r="R146" s="30" t="n">
        <f aca="false">P146-Q146</f>
        <v>1.30967237055302E-009</v>
      </c>
      <c r="S146" s="10" t="str">
        <f aca="false">"FY "&amp;(YEAR(B146)-(MONTH(B146)&lt;4))&amp;"-"&amp;RIGHT(YEAR(B146)-(MONTH(B146)&lt;4)+1,2)</f>
        <v>FY 2037-38</v>
      </c>
    </row>
    <row r="147" customFormat="false" ht="15" hidden="false" customHeight="false" outlineLevel="0" collapsed="false">
      <c r="A147" s="22" t="n">
        <v>139</v>
      </c>
      <c r="B147" s="24" t="n">
        <f aca="false">EDATE(Inputs!$C$6,A147-1)</f>
        <v>50314</v>
      </c>
      <c r="C147" s="24" t="n">
        <f aca="false">EDATE(Inputs!$C$6,A147)-1</f>
        <v>50344</v>
      </c>
      <c r="D147" s="10" t="str">
        <f aca="false">IF(A147&lt;=Inputs!$C$7,"Yes","No")</f>
        <v>No</v>
      </c>
      <c r="E147" s="27" t="n">
        <f aca="false">IF(N(Inputs!$C$12)=0,1,(1+Inputs!$C$11)^INT((A147-1)/Inputs!$C$12))</f>
        <v>1.71033935811631</v>
      </c>
      <c r="F147" s="28" t="n">
        <f aca="false">IF(AND(D147="Yes",Inputs!$C$10="Advance",MOD(A147-1,Inputs!$C$22)=0),Inputs!$C$8*E147,0)</f>
        <v>0</v>
      </c>
      <c r="G147" s="28" t="n">
        <f aca="false">IF(AND(D147="Yes",Inputs!$C$10="Arrears",MOD(A147,Inputs!$C$22)=0),Inputs!$C$8*IF(N(Inputs!$C$12)=0,1,(1+Inputs!$C$11)^INT((A147-Inputs!$C$22)/Inputs!$C$12)),0)</f>
        <v>0</v>
      </c>
      <c r="H147" s="29" t="n">
        <f aca="false">1/(1+Inputs!$C$23)^(A147-1)</f>
        <v>0.352158057355801</v>
      </c>
      <c r="I147" s="29" t="n">
        <f aca="false">1/(1+Inputs!$C$23)^A147</f>
        <v>0.349504779834961</v>
      </c>
      <c r="J147" s="30" t="n">
        <f aca="false">F147*H147+G147*I147</f>
        <v>0</v>
      </c>
      <c r="K147" s="30" t="n">
        <f aca="false">M146</f>
        <v>-2.31665708150703E-009</v>
      </c>
      <c r="L147" s="30" t="n">
        <f aca="false">IF(D147="Yes",(K147-F147)*Inputs!$C$23,0)</f>
        <v>0</v>
      </c>
      <c r="M147" s="30" t="n">
        <f aca="false">K147-F147+L147-G147</f>
        <v>-2.31665708150703E-009</v>
      </c>
      <c r="N147" s="30" t="n">
        <f aca="false">F147+G147</f>
        <v>0</v>
      </c>
      <c r="O147" s="30" t="n">
        <f aca="false">N147-L147</f>
        <v>0</v>
      </c>
      <c r="P147" s="30" t="n">
        <f aca="false">R146</f>
        <v>1.30967237055302E-009</v>
      </c>
      <c r="Q147" s="30" t="n">
        <f aca="false">IF(A147&lt;=Inputs!$C$24,Inputs!$C$29/Inputs!$C$24,0)</f>
        <v>0</v>
      </c>
      <c r="R147" s="30" t="n">
        <f aca="false">P147-Q147</f>
        <v>1.30967237055302E-009</v>
      </c>
      <c r="S147" s="10" t="str">
        <f aca="false">"FY "&amp;(YEAR(B147)-(MONTH(B147)&lt;4))&amp;"-"&amp;RIGHT(YEAR(B147)-(MONTH(B147)&lt;4)+1,2)</f>
        <v>FY 2037-38</v>
      </c>
    </row>
    <row r="148" customFormat="false" ht="15" hidden="false" customHeight="false" outlineLevel="0" collapsed="false">
      <c r="A148" s="22" t="n">
        <v>140</v>
      </c>
      <c r="B148" s="24" t="n">
        <f aca="false">EDATE(Inputs!$C$6,A148-1)</f>
        <v>50345</v>
      </c>
      <c r="C148" s="24" t="n">
        <f aca="false">EDATE(Inputs!$C$6,A148)-1</f>
        <v>50374</v>
      </c>
      <c r="D148" s="10" t="str">
        <f aca="false">IF(A148&lt;=Inputs!$C$7,"Yes","No")</f>
        <v>No</v>
      </c>
      <c r="E148" s="27" t="n">
        <f aca="false">IF(N(Inputs!$C$12)=0,1,(1+Inputs!$C$11)^INT((A148-1)/Inputs!$C$12))</f>
        <v>1.71033935811631</v>
      </c>
      <c r="F148" s="28" t="n">
        <f aca="false">IF(AND(D148="Yes",Inputs!$C$10="Advance",MOD(A148-1,Inputs!$C$22)=0),Inputs!$C$8*E148,0)</f>
        <v>0</v>
      </c>
      <c r="G148" s="28" t="n">
        <f aca="false">IF(AND(D148="Yes",Inputs!$C$10="Arrears",MOD(A148,Inputs!$C$22)=0),Inputs!$C$8*IF(N(Inputs!$C$12)=0,1,(1+Inputs!$C$11)^INT((A148-Inputs!$C$22)/Inputs!$C$12)),0)</f>
        <v>0</v>
      </c>
      <c r="H148" s="29" t="n">
        <f aca="false">1/(1+Inputs!$C$23)^(A148-1)</f>
        <v>0.349504779834961</v>
      </c>
      <c r="I148" s="29" t="n">
        <f aca="false">1/(1+Inputs!$C$23)^A148</f>
        <v>0.346871493001415</v>
      </c>
      <c r="J148" s="30" t="n">
        <f aca="false">F148*H148+G148*I148</f>
        <v>0</v>
      </c>
      <c r="K148" s="30" t="n">
        <f aca="false">M147</f>
        <v>-2.31665708150703E-009</v>
      </c>
      <c r="L148" s="30" t="n">
        <f aca="false">IF(D148="Yes",(K148-F148)*Inputs!$C$23,0)</f>
        <v>0</v>
      </c>
      <c r="M148" s="30" t="n">
        <f aca="false">K148-F148+L148-G148</f>
        <v>-2.31665708150703E-009</v>
      </c>
      <c r="N148" s="30" t="n">
        <f aca="false">F148+G148</f>
        <v>0</v>
      </c>
      <c r="O148" s="30" t="n">
        <f aca="false">N148-L148</f>
        <v>0</v>
      </c>
      <c r="P148" s="30" t="n">
        <f aca="false">R147</f>
        <v>1.30967237055302E-009</v>
      </c>
      <c r="Q148" s="30" t="n">
        <f aca="false">IF(A148&lt;=Inputs!$C$24,Inputs!$C$29/Inputs!$C$24,0)</f>
        <v>0</v>
      </c>
      <c r="R148" s="30" t="n">
        <f aca="false">P148-Q148</f>
        <v>1.30967237055302E-009</v>
      </c>
      <c r="S148" s="10" t="str">
        <f aca="false">"FY "&amp;(YEAR(B148)-(MONTH(B148)&lt;4))&amp;"-"&amp;RIGHT(YEAR(B148)-(MONTH(B148)&lt;4)+1,2)</f>
        <v>FY 2037-38</v>
      </c>
    </row>
    <row r="149" customFormat="false" ht="15" hidden="false" customHeight="false" outlineLevel="0" collapsed="false">
      <c r="A149" s="22" t="n">
        <v>141</v>
      </c>
      <c r="B149" s="24" t="n">
        <f aca="false">EDATE(Inputs!$C$6,A149-1)</f>
        <v>50375</v>
      </c>
      <c r="C149" s="24" t="n">
        <f aca="false">EDATE(Inputs!$C$6,A149)-1</f>
        <v>50405</v>
      </c>
      <c r="D149" s="10" t="str">
        <f aca="false">IF(A149&lt;=Inputs!$C$7,"Yes","No")</f>
        <v>No</v>
      </c>
      <c r="E149" s="27" t="n">
        <f aca="false">IF(N(Inputs!$C$12)=0,1,(1+Inputs!$C$11)^INT((A149-1)/Inputs!$C$12))</f>
        <v>1.71033935811631</v>
      </c>
      <c r="F149" s="28" t="n">
        <f aca="false">IF(AND(D149="Yes",Inputs!$C$10="Advance",MOD(A149-1,Inputs!$C$22)=0),Inputs!$C$8*E149,0)</f>
        <v>0</v>
      </c>
      <c r="G149" s="28" t="n">
        <f aca="false">IF(AND(D149="Yes",Inputs!$C$10="Arrears",MOD(A149,Inputs!$C$22)=0),Inputs!$C$8*IF(N(Inputs!$C$12)=0,1,(1+Inputs!$C$11)^INT((A149-Inputs!$C$22)/Inputs!$C$12)),0)</f>
        <v>0</v>
      </c>
      <c r="H149" s="29" t="n">
        <f aca="false">1/(1+Inputs!$C$23)^(A149-1)</f>
        <v>0.346871493001415</v>
      </c>
      <c r="I149" s="29" t="n">
        <f aca="false">1/(1+Inputs!$C$23)^A149</f>
        <v>0.344258046238586</v>
      </c>
      <c r="J149" s="30" t="n">
        <f aca="false">F149*H149+G149*I149</f>
        <v>0</v>
      </c>
      <c r="K149" s="30" t="n">
        <f aca="false">M148</f>
        <v>-2.31665708150703E-009</v>
      </c>
      <c r="L149" s="30" t="n">
        <f aca="false">IF(D149="Yes",(K149-F149)*Inputs!$C$23,0)</f>
        <v>0</v>
      </c>
      <c r="M149" s="30" t="n">
        <f aca="false">K149-F149+L149-G149</f>
        <v>-2.31665708150703E-009</v>
      </c>
      <c r="N149" s="30" t="n">
        <f aca="false">F149+G149</f>
        <v>0</v>
      </c>
      <c r="O149" s="30" t="n">
        <f aca="false">N149-L149</f>
        <v>0</v>
      </c>
      <c r="P149" s="30" t="n">
        <f aca="false">R148</f>
        <v>1.30967237055302E-009</v>
      </c>
      <c r="Q149" s="30" t="n">
        <f aca="false">IF(A149&lt;=Inputs!$C$24,Inputs!$C$29/Inputs!$C$24,0)</f>
        <v>0</v>
      </c>
      <c r="R149" s="30" t="n">
        <f aca="false">P149-Q149</f>
        <v>1.30967237055302E-009</v>
      </c>
      <c r="S149" s="10" t="str">
        <f aca="false">"FY "&amp;(YEAR(B149)-(MONTH(B149)&lt;4))&amp;"-"&amp;RIGHT(YEAR(B149)-(MONTH(B149)&lt;4)+1,2)</f>
        <v>FY 2037-38</v>
      </c>
    </row>
    <row r="150" customFormat="false" ht="15" hidden="false" customHeight="false" outlineLevel="0" collapsed="false">
      <c r="A150" s="22" t="n">
        <v>142</v>
      </c>
      <c r="B150" s="24" t="n">
        <f aca="false">EDATE(Inputs!$C$6,A150-1)</f>
        <v>50406</v>
      </c>
      <c r="C150" s="24" t="n">
        <f aca="false">EDATE(Inputs!$C$6,A150)-1</f>
        <v>50436</v>
      </c>
      <c r="D150" s="10" t="str">
        <f aca="false">IF(A150&lt;=Inputs!$C$7,"Yes","No")</f>
        <v>No</v>
      </c>
      <c r="E150" s="27" t="n">
        <f aca="false">IF(N(Inputs!$C$12)=0,1,(1+Inputs!$C$11)^INT((A150-1)/Inputs!$C$12))</f>
        <v>1.71033935811631</v>
      </c>
      <c r="F150" s="28" t="n">
        <f aca="false">IF(AND(D150="Yes",Inputs!$C$10="Advance",MOD(A150-1,Inputs!$C$22)=0),Inputs!$C$8*E150,0)</f>
        <v>0</v>
      </c>
      <c r="G150" s="28" t="n">
        <f aca="false">IF(AND(D150="Yes",Inputs!$C$10="Arrears",MOD(A150,Inputs!$C$22)=0),Inputs!$C$8*IF(N(Inputs!$C$12)=0,1,(1+Inputs!$C$11)^INT((A150-Inputs!$C$22)/Inputs!$C$12)),0)</f>
        <v>0</v>
      </c>
      <c r="H150" s="29" t="n">
        <f aca="false">1/(1+Inputs!$C$23)^(A150-1)</f>
        <v>0.344258046238586</v>
      </c>
      <c r="I150" s="29" t="n">
        <f aca="false">1/(1+Inputs!$C$23)^A150</f>
        <v>0.341664290064692</v>
      </c>
      <c r="J150" s="30" t="n">
        <f aca="false">F150*H150+G150*I150</f>
        <v>0</v>
      </c>
      <c r="K150" s="30" t="n">
        <f aca="false">M149</f>
        <v>-2.31665708150703E-009</v>
      </c>
      <c r="L150" s="30" t="n">
        <f aca="false">IF(D150="Yes",(K150-F150)*Inputs!$C$23,0)</f>
        <v>0</v>
      </c>
      <c r="M150" s="30" t="n">
        <f aca="false">K150-F150+L150-G150</f>
        <v>-2.31665708150703E-009</v>
      </c>
      <c r="N150" s="30" t="n">
        <f aca="false">F150+G150</f>
        <v>0</v>
      </c>
      <c r="O150" s="30" t="n">
        <f aca="false">N150-L150</f>
        <v>0</v>
      </c>
      <c r="P150" s="30" t="n">
        <f aca="false">R149</f>
        <v>1.30967237055302E-009</v>
      </c>
      <c r="Q150" s="30" t="n">
        <f aca="false">IF(A150&lt;=Inputs!$C$24,Inputs!$C$29/Inputs!$C$24,0)</f>
        <v>0</v>
      </c>
      <c r="R150" s="30" t="n">
        <f aca="false">P150-Q150</f>
        <v>1.30967237055302E-009</v>
      </c>
      <c r="S150" s="10" t="str">
        <f aca="false">"FY "&amp;(YEAR(B150)-(MONTH(B150)&lt;4))&amp;"-"&amp;RIGHT(YEAR(B150)-(MONTH(B150)&lt;4)+1,2)</f>
        <v>FY 2037-38</v>
      </c>
    </row>
    <row r="151" customFormat="false" ht="15" hidden="false" customHeight="false" outlineLevel="0" collapsed="false">
      <c r="A151" s="22" t="n">
        <v>143</v>
      </c>
      <c r="B151" s="24" t="n">
        <f aca="false">EDATE(Inputs!$C$6,A151-1)</f>
        <v>50437</v>
      </c>
      <c r="C151" s="24" t="n">
        <f aca="false">EDATE(Inputs!$C$6,A151)-1</f>
        <v>50464</v>
      </c>
      <c r="D151" s="10" t="str">
        <f aca="false">IF(A151&lt;=Inputs!$C$7,"Yes","No")</f>
        <v>No</v>
      </c>
      <c r="E151" s="27" t="n">
        <f aca="false">IF(N(Inputs!$C$12)=0,1,(1+Inputs!$C$11)^INT((A151-1)/Inputs!$C$12))</f>
        <v>1.71033935811631</v>
      </c>
      <c r="F151" s="28" t="n">
        <f aca="false">IF(AND(D151="Yes",Inputs!$C$10="Advance",MOD(A151-1,Inputs!$C$22)=0),Inputs!$C$8*E151,0)</f>
        <v>0</v>
      </c>
      <c r="G151" s="28" t="n">
        <f aca="false">IF(AND(D151="Yes",Inputs!$C$10="Arrears",MOD(A151,Inputs!$C$22)=0),Inputs!$C$8*IF(N(Inputs!$C$12)=0,1,(1+Inputs!$C$11)^INT((A151-Inputs!$C$22)/Inputs!$C$12)),0)</f>
        <v>0</v>
      </c>
      <c r="H151" s="29" t="n">
        <f aca="false">1/(1+Inputs!$C$23)^(A151-1)</f>
        <v>0.341664290064692</v>
      </c>
      <c r="I151" s="29" t="n">
        <f aca="false">1/(1+Inputs!$C$23)^A151</f>
        <v>0.339090076124199</v>
      </c>
      <c r="J151" s="30" t="n">
        <f aca="false">F151*H151+G151*I151</f>
        <v>0</v>
      </c>
      <c r="K151" s="30" t="n">
        <f aca="false">M150</f>
        <v>-2.31665708150703E-009</v>
      </c>
      <c r="L151" s="30" t="n">
        <f aca="false">IF(D151="Yes",(K151-F151)*Inputs!$C$23,0)</f>
        <v>0</v>
      </c>
      <c r="M151" s="30" t="n">
        <f aca="false">K151-F151+L151-G151</f>
        <v>-2.31665708150703E-009</v>
      </c>
      <c r="N151" s="30" t="n">
        <f aca="false">F151+G151</f>
        <v>0</v>
      </c>
      <c r="O151" s="30" t="n">
        <f aca="false">N151-L151</f>
        <v>0</v>
      </c>
      <c r="P151" s="30" t="n">
        <f aca="false">R150</f>
        <v>1.30967237055302E-009</v>
      </c>
      <c r="Q151" s="30" t="n">
        <f aca="false">IF(A151&lt;=Inputs!$C$24,Inputs!$C$29/Inputs!$C$24,0)</f>
        <v>0</v>
      </c>
      <c r="R151" s="30" t="n">
        <f aca="false">P151-Q151</f>
        <v>1.30967237055302E-009</v>
      </c>
      <c r="S151" s="10" t="str">
        <f aca="false">"FY "&amp;(YEAR(B151)-(MONTH(B151)&lt;4))&amp;"-"&amp;RIGHT(YEAR(B151)-(MONTH(B151)&lt;4)+1,2)</f>
        <v>FY 2037-38</v>
      </c>
    </row>
    <row r="152" customFormat="false" ht="15" hidden="false" customHeight="false" outlineLevel="0" collapsed="false">
      <c r="A152" s="22" t="n">
        <v>144</v>
      </c>
      <c r="B152" s="24" t="n">
        <f aca="false">EDATE(Inputs!$C$6,A152-1)</f>
        <v>50465</v>
      </c>
      <c r="C152" s="24" t="n">
        <f aca="false">EDATE(Inputs!$C$6,A152)-1</f>
        <v>50495</v>
      </c>
      <c r="D152" s="10" t="str">
        <f aca="false">IF(A152&lt;=Inputs!$C$7,"Yes","No")</f>
        <v>No</v>
      </c>
      <c r="E152" s="27" t="n">
        <f aca="false">IF(N(Inputs!$C$12)=0,1,(1+Inputs!$C$11)^INT((A152-1)/Inputs!$C$12))</f>
        <v>1.71033935811631</v>
      </c>
      <c r="F152" s="28" t="n">
        <f aca="false">IF(AND(D152="Yes",Inputs!$C$10="Advance",MOD(A152-1,Inputs!$C$22)=0),Inputs!$C$8*E152,0)</f>
        <v>0</v>
      </c>
      <c r="G152" s="28" t="n">
        <f aca="false">IF(AND(D152="Yes",Inputs!$C$10="Arrears",MOD(A152,Inputs!$C$22)=0),Inputs!$C$8*IF(N(Inputs!$C$12)=0,1,(1+Inputs!$C$11)^INT((A152-Inputs!$C$22)/Inputs!$C$12)),0)</f>
        <v>0</v>
      </c>
      <c r="H152" s="29" t="n">
        <f aca="false">1/(1+Inputs!$C$23)^(A152-1)</f>
        <v>0.339090076124199</v>
      </c>
      <c r="I152" s="29" t="n">
        <f aca="false">1/(1+Inputs!$C$23)^A152</f>
        <v>0.336535257179332</v>
      </c>
      <c r="J152" s="30" t="n">
        <f aca="false">F152*H152+G152*I152</f>
        <v>0</v>
      </c>
      <c r="K152" s="30" t="n">
        <f aca="false">M151</f>
        <v>-2.31665708150703E-009</v>
      </c>
      <c r="L152" s="30" t="n">
        <f aca="false">IF(D152="Yes",(K152-F152)*Inputs!$C$23,0)</f>
        <v>0</v>
      </c>
      <c r="M152" s="30" t="n">
        <f aca="false">K152-F152+L152-G152</f>
        <v>-2.31665708150703E-009</v>
      </c>
      <c r="N152" s="30" t="n">
        <f aca="false">F152+G152</f>
        <v>0</v>
      </c>
      <c r="O152" s="30" t="n">
        <f aca="false">N152-L152</f>
        <v>0</v>
      </c>
      <c r="P152" s="30" t="n">
        <f aca="false">R151</f>
        <v>1.30967237055302E-009</v>
      </c>
      <c r="Q152" s="30" t="n">
        <f aca="false">IF(A152&lt;=Inputs!$C$24,Inputs!$C$29/Inputs!$C$24,0)</f>
        <v>0</v>
      </c>
      <c r="R152" s="30" t="n">
        <f aca="false">P152-Q152</f>
        <v>1.30967237055302E-009</v>
      </c>
      <c r="S152" s="10" t="str">
        <f aca="false">"FY "&amp;(YEAR(B152)-(MONTH(B152)&lt;4))&amp;"-"&amp;RIGHT(YEAR(B152)-(MONTH(B152)&lt;4)+1,2)</f>
        <v>FY 2037-38</v>
      </c>
    </row>
    <row r="153" customFormat="false" ht="15" hidden="false" customHeight="false" outlineLevel="0" collapsed="false">
      <c r="A153" s="22" t="n">
        <v>145</v>
      </c>
      <c r="B153" s="24" t="n">
        <f aca="false">EDATE(Inputs!$C$6,A153-1)</f>
        <v>50496</v>
      </c>
      <c r="C153" s="24" t="n">
        <f aca="false">EDATE(Inputs!$C$6,A153)-1</f>
        <v>50525</v>
      </c>
      <c r="D153" s="10" t="str">
        <f aca="false">IF(A153&lt;=Inputs!$C$7,"Yes","No")</f>
        <v>No</v>
      </c>
      <c r="E153" s="27" t="n">
        <f aca="false">IF(N(Inputs!$C$12)=0,1,(1+Inputs!$C$11)^INT((A153-1)/Inputs!$C$12))</f>
        <v>1.79585632602213</v>
      </c>
      <c r="F153" s="28" t="n">
        <f aca="false">IF(AND(D153="Yes",Inputs!$C$10="Advance",MOD(A153-1,Inputs!$C$22)=0),Inputs!$C$8*E153,0)</f>
        <v>0</v>
      </c>
      <c r="G153" s="28" t="n">
        <f aca="false">IF(AND(D153="Yes",Inputs!$C$10="Arrears",MOD(A153,Inputs!$C$22)=0),Inputs!$C$8*IF(N(Inputs!$C$12)=0,1,(1+Inputs!$C$11)^INT((A153-Inputs!$C$22)/Inputs!$C$12)),0)</f>
        <v>0</v>
      </c>
      <c r="H153" s="29" t="n">
        <f aca="false">1/(1+Inputs!$C$23)^(A153-1)</f>
        <v>0.336535257179332</v>
      </c>
      <c r="I153" s="29" t="n">
        <f aca="false">1/(1+Inputs!$C$23)^A153</f>
        <v>0.333999687101656</v>
      </c>
      <c r="J153" s="30" t="n">
        <f aca="false">F153*H153+G153*I153</f>
        <v>0</v>
      </c>
      <c r="K153" s="30" t="n">
        <f aca="false">M152</f>
        <v>-2.31665708150703E-009</v>
      </c>
      <c r="L153" s="30" t="n">
        <f aca="false">IF(D153="Yes",(K153-F153)*Inputs!$C$23,0)</f>
        <v>0</v>
      </c>
      <c r="M153" s="30" t="n">
        <f aca="false">K153-F153+L153-G153</f>
        <v>-2.31665708150703E-009</v>
      </c>
      <c r="N153" s="30" t="n">
        <f aca="false">F153+G153</f>
        <v>0</v>
      </c>
      <c r="O153" s="30" t="n">
        <f aca="false">N153-L153</f>
        <v>0</v>
      </c>
      <c r="P153" s="30" t="n">
        <f aca="false">R152</f>
        <v>1.30967237055302E-009</v>
      </c>
      <c r="Q153" s="30" t="n">
        <f aca="false">IF(A153&lt;=Inputs!$C$24,Inputs!$C$29/Inputs!$C$24,0)</f>
        <v>0</v>
      </c>
      <c r="R153" s="30" t="n">
        <f aca="false">P153-Q153</f>
        <v>1.30967237055302E-009</v>
      </c>
      <c r="S153" s="10" t="str">
        <f aca="false">"FY "&amp;(YEAR(B153)-(MONTH(B153)&lt;4))&amp;"-"&amp;RIGHT(YEAR(B153)-(MONTH(B153)&lt;4)+1,2)</f>
        <v>FY 2038-39</v>
      </c>
    </row>
    <row r="154" customFormat="false" ht="15" hidden="false" customHeight="false" outlineLevel="0" collapsed="false">
      <c r="A154" s="22" t="n">
        <v>146</v>
      </c>
      <c r="B154" s="24" t="n">
        <f aca="false">EDATE(Inputs!$C$6,A154-1)</f>
        <v>50526</v>
      </c>
      <c r="C154" s="24" t="n">
        <f aca="false">EDATE(Inputs!$C$6,A154)-1</f>
        <v>50556</v>
      </c>
      <c r="D154" s="10" t="str">
        <f aca="false">IF(A154&lt;=Inputs!$C$7,"Yes","No")</f>
        <v>No</v>
      </c>
      <c r="E154" s="27" t="n">
        <f aca="false">IF(N(Inputs!$C$12)=0,1,(1+Inputs!$C$11)^INT((A154-1)/Inputs!$C$12))</f>
        <v>1.79585632602213</v>
      </c>
      <c r="F154" s="28" t="n">
        <f aca="false">IF(AND(D154="Yes",Inputs!$C$10="Advance",MOD(A154-1,Inputs!$C$22)=0),Inputs!$C$8*E154,0)</f>
        <v>0</v>
      </c>
      <c r="G154" s="28" t="n">
        <f aca="false">IF(AND(D154="Yes",Inputs!$C$10="Arrears",MOD(A154,Inputs!$C$22)=0),Inputs!$C$8*IF(N(Inputs!$C$12)=0,1,(1+Inputs!$C$11)^INT((A154-Inputs!$C$22)/Inputs!$C$12)),0)</f>
        <v>0</v>
      </c>
      <c r="H154" s="29" t="n">
        <f aca="false">1/(1+Inputs!$C$23)^(A154-1)</f>
        <v>0.333999687101656</v>
      </c>
      <c r="I154" s="29" t="n">
        <f aca="false">1/(1+Inputs!$C$23)^A154</f>
        <v>0.331483220863717</v>
      </c>
      <c r="J154" s="30" t="n">
        <f aca="false">F154*H154+G154*I154</f>
        <v>0</v>
      </c>
      <c r="K154" s="30" t="n">
        <f aca="false">M153</f>
        <v>-2.31665708150703E-009</v>
      </c>
      <c r="L154" s="30" t="n">
        <f aca="false">IF(D154="Yes",(K154-F154)*Inputs!$C$23,0)</f>
        <v>0</v>
      </c>
      <c r="M154" s="30" t="n">
        <f aca="false">K154-F154+L154-G154</f>
        <v>-2.31665708150703E-009</v>
      </c>
      <c r="N154" s="30" t="n">
        <f aca="false">F154+G154</f>
        <v>0</v>
      </c>
      <c r="O154" s="30" t="n">
        <f aca="false">N154-L154</f>
        <v>0</v>
      </c>
      <c r="P154" s="30" t="n">
        <f aca="false">R153</f>
        <v>1.30967237055302E-009</v>
      </c>
      <c r="Q154" s="30" t="n">
        <f aca="false">IF(A154&lt;=Inputs!$C$24,Inputs!$C$29/Inputs!$C$24,0)</f>
        <v>0</v>
      </c>
      <c r="R154" s="30" t="n">
        <f aca="false">P154-Q154</f>
        <v>1.30967237055302E-009</v>
      </c>
      <c r="S154" s="10" t="str">
        <f aca="false">"FY "&amp;(YEAR(B154)-(MONTH(B154)&lt;4))&amp;"-"&amp;RIGHT(YEAR(B154)-(MONTH(B154)&lt;4)+1,2)</f>
        <v>FY 2038-39</v>
      </c>
    </row>
    <row r="155" customFormat="false" ht="15" hidden="false" customHeight="false" outlineLevel="0" collapsed="false">
      <c r="A155" s="22" t="n">
        <v>147</v>
      </c>
      <c r="B155" s="24" t="n">
        <f aca="false">EDATE(Inputs!$C$6,A155-1)</f>
        <v>50557</v>
      </c>
      <c r="C155" s="24" t="n">
        <f aca="false">EDATE(Inputs!$C$6,A155)-1</f>
        <v>50586</v>
      </c>
      <c r="D155" s="10" t="str">
        <f aca="false">IF(A155&lt;=Inputs!$C$7,"Yes","No")</f>
        <v>No</v>
      </c>
      <c r="E155" s="27" t="n">
        <f aca="false">IF(N(Inputs!$C$12)=0,1,(1+Inputs!$C$11)^INT((A155-1)/Inputs!$C$12))</f>
        <v>1.79585632602213</v>
      </c>
      <c r="F155" s="28" t="n">
        <f aca="false">IF(AND(D155="Yes",Inputs!$C$10="Advance",MOD(A155-1,Inputs!$C$22)=0),Inputs!$C$8*E155,0)</f>
        <v>0</v>
      </c>
      <c r="G155" s="28" t="n">
        <f aca="false">IF(AND(D155="Yes",Inputs!$C$10="Arrears",MOD(A155,Inputs!$C$22)=0),Inputs!$C$8*IF(N(Inputs!$C$12)=0,1,(1+Inputs!$C$11)^INT((A155-Inputs!$C$22)/Inputs!$C$12)),0)</f>
        <v>0</v>
      </c>
      <c r="H155" s="29" t="n">
        <f aca="false">1/(1+Inputs!$C$23)^(A155-1)</f>
        <v>0.331483220863717</v>
      </c>
      <c r="I155" s="29" t="n">
        <f aca="false">1/(1+Inputs!$C$23)^A155</f>
        <v>0.328985714530745</v>
      </c>
      <c r="J155" s="30" t="n">
        <f aca="false">F155*H155+G155*I155</f>
        <v>0</v>
      </c>
      <c r="K155" s="30" t="n">
        <f aca="false">M154</f>
        <v>-2.31665708150703E-009</v>
      </c>
      <c r="L155" s="30" t="n">
        <f aca="false">IF(D155="Yes",(K155-F155)*Inputs!$C$23,0)</f>
        <v>0</v>
      </c>
      <c r="M155" s="30" t="n">
        <f aca="false">K155-F155+L155-G155</f>
        <v>-2.31665708150703E-009</v>
      </c>
      <c r="N155" s="30" t="n">
        <f aca="false">F155+G155</f>
        <v>0</v>
      </c>
      <c r="O155" s="30" t="n">
        <f aca="false">N155-L155</f>
        <v>0</v>
      </c>
      <c r="P155" s="30" t="n">
        <f aca="false">R154</f>
        <v>1.30967237055302E-009</v>
      </c>
      <c r="Q155" s="30" t="n">
        <f aca="false">IF(A155&lt;=Inputs!$C$24,Inputs!$C$29/Inputs!$C$24,0)</f>
        <v>0</v>
      </c>
      <c r="R155" s="30" t="n">
        <f aca="false">P155-Q155</f>
        <v>1.30967237055302E-009</v>
      </c>
      <c r="S155" s="10" t="str">
        <f aca="false">"FY "&amp;(YEAR(B155)-(MONTH(B155)&lt;4))&amp;"-"&amp;RIGHT(YEAR(B155)-(MONTH(B155)&lt;4)+1,2)</f>
        <v>FY 2038-39</v>
      </c>
    </row>
    <row r="156" customFormat="false" ht="15" hidden="false" customHeight="false" outlineLevel="0" collapsed="false">
      <c r="A156" s="22" t="n">
        <v>148</v>
      </c>
      <c r="B156" s="24" t="n">
        <f aca="false">EDATE(Inputs!$C$6,A156-1)</f>
        <v>50587</v>
      </c>
      <c r="C156" s="24" t="n">
        <f aca="false">EDATE(Inputs!$C$6,A156)-1</f>
        <v>50617</v>
      </c>
      <c r="D156" s="10" t="str">
        <f aca="false">IF(A156&lt;=Inputs!$C$7,"Yes","No")</f>
        <v>No</v>
      </c>
      <c r="E156" s="27" t="n">
        <f aca="false">IF(N(Inputs!$C$12)=0,1,(1+Inputs!$C$11)^INT((A156-1)/Inputs!$C$12))</f>
        <v>1.79585632602213</v>
      </c>
      <c r="F156" s="28" t="n">
        <f aca="false">IF(AND(D156="Yes",Inputs!$C$10="Advance",MOD(A156-1,Inputs!$C$22)=0),Inputs!$C$8*E156,0)</f>
        <v>0</v>
      </c>
      <c r="G156" s="28" t="n">
        <f aca="false">IF(AND(D156="Yes",Inputs!$C$10="Arrears",MOD(A156,Inputs!$C$22)=0),Inputs!$C$8*IF(N(Inputs!$C$12)=0,1,(1+Inputs!$C$11)^INT((A156-Inputs!$C$22)/Inputs!$C$12)),0)</f>
        <v>0</v>
      </c>
      <c r="H156" s="29" t="n">
        <f aca="false">1/(1+Inputs!$C$23)^(A156-1)</f>
        <v>0.328985714530745</v>
      </c>
      <c r="I156" s="29" t="n">
        <f aca="false">1/(1+Inputs!$C$23)^A156</f>
        <v>0.326507025252425</v>
      </c>
      <c r="J156" s="30" t="n">
        <f aca="false">F156*H156+G156*I156</f>
        <v>0</v>
      </c>
      <c r="K156" s="30" t="n">
        <f aca="false">M155</f>
        <v>-2.31665708150703E-009</v>
      </c>
      <c r="L156" s="30" t="n">
        <f aca="false">IF(D156="Yes",(K156-F156)*Inputs!$C$23,0)</f>
        <v>0</v>
      </c>
      <c r="M156" s="30" t="n">
        <f aca="false">K156-F156+L156-G156</f>
        <v>-2.31665708150703E-009</v>
      </c>
      <c r="N156" s="30" t="n">
        <f aca="false">F156+G156</f>
        <v>0</v>
      </c>
      <c r="O156" s="30" t="n">
        <f aca="false">N156-L156</f>
        <v>0</v>
      </c>
      <c r="P156" s="30" t="n">
        <f aca="false">R155</f>
        <v>1.30967237055302E-009</v>
      </c>
      <c r="Q156" s="30" t="n">
        <f aca="false">IF(A156&lt;=Inputs!$C$24,Inputs!$C$29/Inputs!$C$24,0)</f>
        <v>0</v>
      </c>
      <c r="R156" s="30" t="n">
        <f aca="false">P156-Q156</f>
        <v>1.30967237055302E-009</v>
      </c>
      <c r="S156" s="10" t="str">
        <f aca="false">"FY "&amp;(YEAR(B156)-(MONTH(B156)&lt;4))&amp;"-"&amp;RIGHT(YEAR(B156)-(MONTH(B156)&lt;4)+1,2)</f>
        <v>FY 2038-39</v>
      </c>
    </row>
    <row r="157" customFormat="false" ht="15" hidden="false" customHeight="false" outlineLevel="0" collapsed="false">
      <c r="A157" s="22" t="n">
        <v>149</v>
      </c>
      <c r="B157" s="24" t="n">
        <f aca="false">EDATE(Inputs!$C$6,A157-1)</f>
        <v>50618</v>
      </c>
      <c r="C157" s="24" t="n">
        <f aca="false">EDATE(Inputs!$C$6,A157)-1</f>
        <v>50648</v>
      </c>
      <c r="D157" s="10" t="str">
        <f aca="false">IF(A157&lt;=Inputs!$C$7,"Yes","No")</f>
        <v>No</v>
      </c>
      <c r="E157" s="27" t="n">
        <f aca="false">IF(N(Inputs!$C$12)=0,1,(1+Inputs!$C$11)^INT((A157-1)/Inputs!$C$12))</f>
        <v>1.79585632602213</v>
      </c>
      <c r="F157" s="28" t="n">
        <f aca="false">IF(AND(D157="Yes",Inputs!$C$10="Advance",MOD(A157-1,Inputs!$C$22)=0),Inputs!$C$8*E157,0)</f>
        <v>0</v>
      </c>
      <c r="G157" s="28" t="n">
        <f aca="false">IF(AND(D157="Yes",Inputs!$C$10="Arrears",MOD(A157,Inputs!$C$22)=0),Inputs!$C$8*IF(N(Inputs!$C$12)=0,1,(1+Inputs!$C$11)^INT((A157-Inputs!$C$22)/Inputs!$C$12)),0)</f>
        <v>0</v>
      </c>
      <c r="H157" s="29" t="n">
        <f aca="false">1/(1+Inputs!$C$23)^(A157-1)</f>
        <v>0.326507025252425</v>
      </c>
      <c r="I157" s="29" t="n">
        <f aca="false">1/(1+Inputs!$C$23)^A157</f>
        <v>0.324047011254724</v>
      </c>
      <c r="J157" s="30" t="n">
        <f aca="false">F157*H157+G157*I157</f>
        <v>0</v>
      </c>
      <c r="K157" s="30" t="n">
        <f aca="false">M156</f>
        <v>-2.31665708150703E-009</v>
      </c>
      <c r="L157" s="30" t="n">
        <f aca="false">IF(D157="Yes",(K157-F157)*Inputs!$C$23,0)</f>
        <v>0</v>
      </c>
      <c r="M157" s="30" t="n">
        <f aca="false">K157-F157+L157-G157</f>
        <v>-2.31665708150703E-009</v>
      </c>
      <c r="N157" s="30" t="n">
        <f aca="false">F157+G157</f>
        <v>0</v>
      </c>
      <c r="O157" s="30" t="n">
        <f aca="false">N157-L157</f>
        <v>0</v>
      </c>
      <c r="P157" s="30" t="n">
        <f aca="false">R156</f>
        <v>1.30967237055302E-009</v>
      </c>
      <c r="Q157" s="30" t="n">
        <f aca="false">IF(A157&lt;=Inputs!$C$24,Inputs!$C$29/Inputs!$C$24,0)</f>
        <v>0</v>
      </c>
      <c r="R157" s="30" t="n">
        <f aca="false">P157-Q157</f>
        <v>1.30967237055302E-009</v>
      </c>
      <c r="S157" s="10" t="str">
        <f aca="false">"FY "&amp;(YEAR(B157)-(MONTH(B157)&lt;4))&amp;"-"&amp;RIGHT(YEAR(B157)-(MONTH(B157)&lt;4)+1,2)</f>
        <v>FY 2038-39</v>
      </c>
    </row>
    <row r="158" customFormat="false" ht="15" hidden="false" customHeight="false" outlineLevel="0" collapsed="false">
      <c r="A158" s="22" t="n">
        <v>150</v>
      </c>
      <c r="B158" s="24" t="n">
        <f aca="false">EDATE(Inputs!$C$6,A158-1)</f>
        <v>50649</v>
      </c>
      <c r="C158" s="24" t="n">
        <f aca="false">EDATE(Inputs!$C$6,A158)-1</f>
        <v>50678</v>
      </c>
      <c r="D158" s="10" t="str">
        <f aca="false">IF(A158&lt;=Inputs!$C$7,"Yes","No")</f>
        <v>No</v>
      </c>
      <c r="E158" s="27" t="n">
        <f aca="false">IF(N(Inputs!$C$12)=0,1,(1+Inputs!$C$11)^INT((A158-1)/Inputs!$C$12))</f>
        <v>1.79585632602213</v>
      </c>
      <c r="F158" s="28" t="n">
        <f aca="false">IF(AND(D158="Yes",Inputs!$C$10="Advance",MOD(A158-1,Inputs!$C$22)=0),Inputs!$C$8*E158,0)</f>
        <v>0</v>
      </c>
      <c r="G158" s="28" t="n">
        <f aca="false">IF(AND(D158="Yes",Inputs!$C$10="Arrears",MOD(A158,Inputs!$C$22)=0),Inputs!$C$8*IF(N(Inputs!$C$12)=0,1,(1+Inputs!$C$11)^INT((A158-Inputs!$C$22)/Inputs!$C$12)),0)</f>
        <v>0</v>
      </c>
      <c r="H158" s="29" t="n">
        <f aca="false">1/(1+Inputs!$C$23)^(A158-1)</f>
        <v>0.324047011254724</v>
      </c>
      <c r="I158" s="29" t="n">
        <f aca="false">1/(1+Inputs!$C$23)^A158</f>
        <v>0.321605531831782</v>
      </c>
      <c r="J158" s="30" t="n">
        <f aca="false">F158*H158+G158*I158</f>
        <v>0</v>
      </c>
      <c r="K158" s="30" t="n">
        <f aca="false">M157</f>
        <v>-2.31665708150703E-009</v>
      </c>
      <c r="L158" s="30" t="n">
        <f aca="false">IF(D158="Yes",(K158-F158)*Inputs!$C$23,0)</f>
        <v>0</v>
      </c>
      <c r="M158" s="30" t="n">
        <f aca="false">K158-F158+L158-G158</f>
        <v>-2.31665708150703E-009</v>
      </c>
      <c r="N158" s="30" t="n">
        <f aca="false">F158+G158</f>
        <v>0</v>
      </c>
      <c r="O158" s="30" t="n">
        <f aca="false">N158-L158</f>
        <v>0</v>
      </c>
      <c r="P158" s="30" t="n">
        <f aca="false">R157</f>
        <v>1.30967237055302E-009</v>
      </c>
      <c r="Q158" s="30" t="n">
        <f aca="false">IF(A158&lt;=Inputs!$C$24,Inputs!$C$29/Inputs!$C$24,0)</f>
        <v>0</v>
      </c>
      <c r="R158" s="30" t="n">
        <f aca="false">P158-Q158</f>
        <v>1.30967237055302E-009</v>
      </c>
      <c r="S158" s="10" t="str">
        <f aca="false">"FY "&amp;(YEAR(B158)-(MONTH(B158)&lt;4))&amp;"-"&amp;RIGHT(YEAR(B158)-(MONTH(B158)&lt;4)+1,2)</f>
        <v>FY 2038-39</v>
      </c>
    </row>
    <row r="159" customFormat="false" ht="15" hidden="false" customHeight="false" outlineLevel="0" collapsed="false">
      <c r="A159" s="22" t="n">
        <v>151</v>
      </c>
      <c r="B159" s="24" t="n">
        <f aca="false">EDATE(Inputs!$C$6,A159-1)</f>
        <v>50679</v>
      </c>
      <c r="C159" s="24" t="n">
        <f aca="false">EDATE(Inputs!$C$6,A159)-1</f>
        <v>50709</v>
      </c>
      <c r="D159" s="10" t="str">
        <f aca="false">IF(A159&lt;=Inputs!$C$7,"Yes","No")</f>
        <v>No</v>
      </c>
      <c r="E159" s="27" t="n">
        <f aca="false">IF(N(Inputs!$C$12)=0,1,(1+Inputs!$C$11)^INT((A159-1)/Inputs!$C$12))</f>
        <v>1.79585632602213</v>
      </c>
      <c r="F159" s="28" t="n">
        <f aca="false">IF(AND(D159="Yes",Inputs!$C$10="Advance",MOD(A159-1,Inputs!$C$22)=0),Inputs!$C$8*E159,0)</f>
        <v>0</v>
      </c>
      <c r="G159" s="28" t="n">
        <f aca="false">IF(AND(D159="Yes",Inputs!$C$10="Arrears",MOD(A159,Inputs!$C$22)=0),Inputs!$C$8*IF(N(Inputs!$C$12)=0,1,(1+Inputs!$C$11)^INT((A159-Inputs!$C$22)/Inputs!$C$12)),0)</f>
        <v>0</v>
      </c>
      <c r="H159" s="29" t="n">
        <f aca="false">1/(1+Inputs!$C$23)^(A159-1)</f>
        <v>0.321605531831782</v>
      </c>
      <c r="I159" s="29" t="n">
        <f aca="false">1/(1+Inputs!$C$23)^A159</f>
        <v>0.319182447337864</v>
      </c>
      <c r="J159" s="30" t="n">
        <f aca="false">F159*H159+G159*I159</f>
        <v>0</v>
      </c>
      <c r="K159" s="30" t="n">
        <f aca="false">M158</f>
        <v>-2.31665708150703E-009</v>
      </c>
      <c r="L159" s="30" t="n">
        <f aca="false">IF(D159="Yes",(K159-F159)*Inputs!$C$23,0)</f>
        <v>0</v>
      </c>
      <c r="M159" s="30" t="n">
        <f aca="false">K159-F159+L159-G159</f>
        <v>-2.31665708150703E-009</v>
      </c>
      <c r="N159" s="30" t="n">
        <f aca="false">F159+G159</f>
        <v>0</v>
      </c>
      <c r="O159" s="30" t="n">
        <f aca="false">N159-L159</f>
        <v>0</v>
      </c>
      <c r="P159" s="30" t="n">
        <f aca="false">R158</f>
        <v>1.30967237055302E-009</v>
      </c>
      <c r="Q159" s="30" t="n">
        <f aca="false">IF(A159&lt;=Inputs!$C$24,Inputs!$C$29/Inputs!$C$24,0)</f>
        <v>0</v>
      </c>
      <c r="R159" s="30" t="n">
        <f aca="false">P159-Q159</f>
        <v>1.30967237055302E-009</v>
      </c>
      <c r="S159" s="10" t="str">
        <f aca="false">"FY "&amp;(YEAR(B159)-(MONTH(B159)&lt;4))&amp;"-"&amp;RIGHT(YEAR(B159)-(MONTH(B159)&lt;4)+1,2)</f>
        <v>FY 2038-39</v>
      </c>
    </row>
    <row r="160" customFormat="false" ht="15" hidden="false" customHeight="false" outlineLevel="0" collapsed="false">
      <c r="A160" s="22" t="n">
        <v>152</v>
      </c>
      <c r="B160" s="24" t="n">
        <f aca="false">EDATE(Inputs!$C$6,A160-1)</f>
        <v>50710</v>
      </c>
      <c r="C160" s="24" t="n">
        <f aca="false">EDATE(Inputs!$C$6,A160)-1</f>
        <v>50739</v>
      </c>
      <c r="D160" s="10" t="str">
        <f aca="false">IF(A160&lt;=Inputs!$C$7,"Yes","No")</f>
        <v>No</v>
      </c>
      <c r="E160" s="27" t="n">
        <f aca="false">IF(N(Inputs!$C$12)=0,1,(1+Inputs!$C$11)^INT((A160-1)/Inputs!$C$12))</f>
        <v>1.79585632602213</v>
      </c>
      <c r="F160" s="28" t="n">
        <f aca="false">IF(AND(D160="Yes",Inputs!$C$10="Advance",MOD(A160-1,Inputs!$C$22)=0),Inputs!$C$8*E160,0)</f>
        <v>0</v>
      </c>
      <c r="G160" s="28" t="n">
        <f aca="false">IF(AND(D160="Yes",Inputs!$C$10="Arrears",MOD(A160,Inputs!$C$22)=0),Inputs!$C$8*IF(N(Inputs!$C$12)=0,1,(1+Inputs!$C$11)^INT((A160-Inputs!$C$22)/Inputs!$C$12)),0)</f>
        <v>0</v>
      </c>
      <c r="H160" s="29" t="n">
        <f aca="false">1/(1+Inputs!$C$23)^(A160-1)</f>
        <v>0.319182447337864</v>
      </c>
      <c r="I160" s="29" t="n">
        <f aca="false">1/(1+Inputs!$C$23)^A160</f>
        <v>0.316777619179375</v>
      </c>
      <c r="J160" s="30" t="n">
        <f aca="false">F160*H160+G160*I160</f>
        <v>0</v>
      </c>
      <c r="K160" s="30" t="n">
        <f aca="false">M159</f>
        <v>-2.31665708150703E-009</v>
      </c>
      <c r="L160" s="30" t="n">
        <f aca="false">IF(D160="Yes",(K160-F160)*Inputs!$C$23,0)</f>
        <v>0</v>
      </c>
      <c r="M160" s="30" t="n">
        <f aca="false">K160-F160+L160-G160</f>
        <v>-2.31665708150703E-009</v>
      </c>
      <c r="N160" s="30" t="n">
        <f aca="false">F160+G160</f>
        <v>0</v>
      </c>
      <c r="O160" s="30" t="n">
        <f aca="false">N160-L160</f>
        <v>0</v>
      </c>
      <c r="P160" s="30" t="n">
        <f aca="false">R159</f>
        <v>1.30967237055302E-009</v>
      </c>
      <c r="Q160" s="30" t="n">
        <f aca="false">IF(A160&lt;=Inputs!$C$24,Inputs!$C$29/Inputs!$C$24,0)</f>
        <v>0</v>
      </c>
      <c r="R160" s="30" t="n">
        <f aca="false">P160-Q160</f>
        <v>1.30967237055302E-009</v>
      </c>
      <c r="S160" s="10" t="str">
        <f aca="false">"FY "&amp;(YEAR(B160)-(MONTH(B160)&lt;4))&amp;"-"&amp;RIGHT(YEAR(B160)-(MONTH(B160)&lt;4)+1,2)</f>
        <v>FY 2038-39</v>
      </c>
    </row>
    <row r="161" customFormat="false" ht="15" hidden="false" customHeight="false" outlineLevel="0" collapsed="false">
      <c r="A161" s="22" t="n">
        <v>153</v>
      </c>
      <c r="B161" s="24" t="n">
        <f aca="false">EDATE(Inputs!$C$6,A161-1)</f>
        <v>50740</v>
      </c>
      <c r="C161" s="24" t="n">
        <f aca="false">EDATE(Inputs!$C$6,A161)-1</f>
        <v>50770</v>
      </c>
      <c r="D161" s="10" t="str">
        <f aca="false">IF(A161&lt;=Inputs!$C$7,"Yes","No")</f>
        <v>No</v>
      </c>
      <c r="E161" s="27" t="n">
        <f aca="false">IF(N(Inputs!$C$12)=0,1,(1+Inputs!$C$11)^INT((A161-1)/Inputs!$C$12))</f>
        <v>1.79585632602213</v>
      </c>
      <c r="F161" s="28" t="n">
        <f aca="false">IF(AND(D161="Yes",Inputs!$C$10="Advance",MOD(A161-1,Inputs!$C$22)=0),Inputs!$C$8*E161,0)</f>
        <v>0</v>
      </c>
      <c r="G161" s="28" t="n">
        <f aca="false">IF(AND(D161="Yes",Inputs!$C$10="Arrears",MOD(A161,Inputs!$C$22)=0),Inputs!$C$8*IF(N(Inputs!$C$12)=0,1,(1+Inputs!$C$11)^INT((A161-Inputs!$C$22)/Inputs!$C$12)),0)</f>
        <v>0</v>
      </c>
      <c r="H161" s="29" t="n">
        <f aca="false">1/(1+Inputs!$C$23)^(A161-1)</f>
        <v>0.316777619179375</v>
      </c>
      <c r="I161" s="29" t="n">
        <f aca="false">1/(1+Inputs!$C$23)^A161</f>
        <v>0.314390909806928</v>
      </c>
      <c r="J161" s="30" t="n">
        <f aca="false">F161*H161+G161*I161</f>
        <v>0</v>
      </c>
      <c r="K161" s="30" t="n">
        <f aca="false">M160</f>
        <v>-2.31665708150703E-009</v>
      </c>
      <c r="L161" s="30" t="n">
        <f aca="false">IF(D161="Yes",(K161-F161)*Inputs!$C$23,0)</f>
        <v>0</v>
      </c>
      <c r="M161" s="30" t="n">
        <f aca="false">K161-F161+L161-G161</f>
        <v>-2.31665708150703E-009</v>
      </c>
      <c r="N161" s="30" t="n">
        <f aca="false">F161+G161</f>
        <v>0</v>
      </c>
      <c r="O161" s="30" t="n">
        <f aca="false">N161-L161</f>
        <v>0</v>
      </c>
      <c r="P161" s="30" t="n">
        <f aca="false">R160</f>
        <v>1.30967237055302E-009</v>
      </c>
      <c r="Q161" s="30" t="n">
        <f aca="false">IF(A161&lt;=Inputs!$C$24,Inputs!$C$29/Inputs!$C$24,0)</f>
        <v>0</v>
      </c>
      <c r="R161" s="30" t="n">
        <f aca="false">P161-Q161</f>
        <v>1.30967237055302E-009</v>
      </c>
      <c r="S161" s="10" t="str">
        <f aca="false">"FY "&amp;(YEAR(B161)-(MONTH(B161)&lt;4))&amp;"-"&amp;RIGHT(YEAR(B161)-(MONTH(B161)&lt;4)+1,2)</f>
        <v>FY 2038-39</v>
      </c>
    </row>
    <row r="162" customFormat="false" ht="15" hidden="false" customHeight="false" outlineLevel="0" collapsed="false">
      <c r="A162" s="22" t="n">
        <v>154</v>
      </c>
      <c r="B162" s="24" t="n">
        <f aca="false">EDATE(Inputs!$C$6,A162-1)</f>
        <v>50771</v>
      </c>
      <c r="C162" s="24" t="n">
        <f aca="false">EDATE(Inputs!$C$6,A162)-1</f>
        <v>50801</v>
      </c>
      <c r="D162" s="10" t="str">
        <f aca="false">IF(A162&lt;=Inputs!$C$7,"Yes","No")</f>
        <v>No</v>
      </c>
      <c r="E162" s="27" t="n">
        <f aca="false">IF(N(Inputs!$C$12)=0,1,(1+Inputs!$C$11)^INT((A162-1)/Inputs!$C$12))</f>
        <v>1.79585632602213</v>
      </c>
      <c r="F162" s="28" t="n">
        <f aca="false">IF(AND(D162="Yes",Inputs!$C$10="Advance",MOD(A162-1,Inputs!$C$22)=0),Inputs!$C$8*E162,0)</f>
        <v>0</v>
      </c>
      <c r="G162" s="28" t="n">
        <f aca="false">IF(AND(D162="Yes",Inputs!$C$10="Arrears",MOD(A162,Inputs!$C$22)=0),Inputs!$C$8*IF(N(Inputs!$C$12)=0,1,(1+Inputs!$C$11)^INT((A162-Inputs!$C$22)/Inputs!$C$12)),0)</f>
        <v>0</v>
      </c>
      <c r="H162" s="29" t="n">
        <f aca="false">1/(1+Inputs!$C$23)^(A162-1)</f>
        <v>0.314390909806928</v>
      </c>
      <c r="I162" s="29" t="n">
        <f aca="false">1/(1+Inputs!$C$23)^A162</f>
        <v>0.312022182707482</v>
      </c>
      <c r="J162" s="30" t="n">
        <f aca="false">F162*H162+G162*I162</f>
        <v>0</v>
      </c>
      <c r="K162" s="30" t="n">
        <f aca="false">M161</f>
        <v>-2.31665708150703E-009</v>
      </c>
      <c r="L162" s="30" t="n">
        <f aca="false">IF(D162="Yes",(K162-F162)*Inputs!$C$23,0)</f>
        <v>0</v>
      </c>
      <c r="M162" s="30" t="n">
        <f aca="false">K162-F162+L162-G162</f>
        <v>-2.31665708150703E-009</v>
      </c>
      <c r="N162" s="30" t="n">
        <f aca="false">F162+G162</f>
        <v>0</v>
      </c>
      <c r="O162" s="30" t="n">
        <f aca="false">N162-L162</f>
        <v>0</v>
      </c>
      <c r="P162" s="30" t="n">
        <f aca="false">R161</f>
        <v>1.30967237055302E-009</v>
      </c>
      <c r="Q162" s="30" t="n">
        <f aca="false">IF(A162&lt;=Inputs!$C$24,Inputs!$C$29/Inputs!$C$24,0)</f>
        <v>0</v>
      </c>
      <c r="R162" s="30" t="n">
        <f aca="false">P162-Q162</f>
        <v>1.30967237055302E-009</v>
      </c>
      <c r="S162" s="10" t="str">
        <f aca="false">"FY "&amp;(YEAR(B162)-(MONTH(B162)&lt;4))&amp;"-"&amp;RIGHT(YEAR(B162)-(MONTH(B162)&lt;4)+1,2)</f>
        <v>FY 2038-39</v>
      </c>
    </row>
    <row r="163" customFormat="false" ht="15" hidden="false" customHeight="false" outlineLevel="0" collapsed="false">
      <c r="A163" s="22" t="n">
        <v>155</v>
      </c>
      <c r="B163" s="24" t="n">
        <f aca="false">EDATE(Inputs!$C$6,A163-1)</f>
        <v>50802</v>
      </c>
      <c r="C163" s="24" t="n">
        <f aca="false">EDATE(Inputs!$C$6,A163)-1</f>
        <v>50829</v>
      </c>
      <c r="D163" s="10" t="str">
        <f aca="false">IF(A163&lt;=Inputs!$C$7,"Yes","No")</f>
        <v>No</v>
      </c>
      <c r="E163" s="27" t="n">
        <f aca="false">IF(N(Inputs!$C$12)=0,1,(1+Inputs!$C$11)^INT((A163-1)/Inputs!$C$12))</f>
        <v>1.79585632602213</v>
      </c>
      <c r="F163" s="28" t="n">
        <f aca="false">IF(AND(D163="Yes",Inputs!$C$10="Advance",MOD(A163-1,Inputs!$C$22)=0),Inputs!$C$8*E163,0)</f>
        <v>0</v>
      </c>
      <c r="G163" s="28" t="n">
        <f aca="false">IF(AND(D163="Yes",Inputs!$C$10="Arrears",MOD(A163,Inputs!$C$22)=0),Inputs!$C$8*IF(N(Inputs!$C$12)=0,1,(1+Inputs!$C$11)^INT((A163-Inputs!$C$22)/Inputs!$C$12)),0)</f>
        <v>0</v>
      </c>
      <c r="H163" s="29" t="n">
        <f aca="false">1/(1+Inputs!$C$23)^(A163-1)</f>
        <v>0.312022182707482</v>
      </c>
      <c r="I163" s="29" t="n">
        <f aca="false">1/(1+Inputs!$C$23)^A163</f>
        <v>0.309671302396529</v>
      </c>
      <c r="J163" s="30" t="n">
        <f aca="false">F163*H163+G163*I163</f>
        <v>0</v>
      </c>
      <c r="K163" s="30" t="n">
        <f aca="false">M162</f>
        <v>-2.31665708150703E-009</v>
      </c>
      <c r="L163" s="30" t="n">
        <f aca="false">IF(D163="Yes",(K163-F163)*Inputs!$C$23,0)</f>
        <v>0</v>
      </c>
      <c r="M163" s="30" t="n">
        <f aca="false">K163-F163+L163-G163</f>
        <v>-2.31665708150703E-009</v>
      </c>
      <c r="N163" s="30" t="n">
        <f aca="false">F163+G163</f>
        <v>0</v>
      </c>
      <c r="O163" s="30" t="n">
        <f aca="false">N163-L163</f>
        <v>0</v>
      </c>
      <c r="P163" s="30" t="n">
        <f aca="false">R162</f>
        <v>1.30967237055302E-009</v>
      </c>
      <c r="Q163" s="30" t="n">
        <f aca="false">IF(A163&lt;=Inputs!$C$24,Inputs!$C$29/Inputs!$C$24,0)</f>
        <v>0</v>
      </c>
      <c r="R163" s="30" t="n">
        <f aca="false">P163-Q163</f>
        <v>1.30967237055302E-009</v>
      </c>
      <c r="S163" s="10" t="str">
        <f aca="false">"FY "&amp;(YEAR(B163)-(MONTH(B163)&lt;4))&amp;"-"&amp;RIGHT(YEAR(B163)-(MONTH(B163)&lt;4)+1,2)</f>
        <v>FY 2038-39</v>
      </c>
    </row>
    <row r="164" customFormat="false" ht="15" hidden="false" customHeight="false" outlineLevel="0" collapsed="false">
      <c r="A164" s="22" t="n">
        <v>156</v>
      </c>
      <c r="B164" s="24" t="n">
        <f aca="false">EDATE(Inputs!$C$6,A164-1)</f>
        <v>50830</v>
      </c>
      <c r="C164" s="24" t="n">
        <f aca="false">EDATE(Inputs!$C$6,A164)-1</f>
        <v>50860</v>
      </c>
      <c r="D164" s="10" t="str">
        <f aca="false">IF(A164&lt;=Inputs!$C$7,"Yes","No")</f>
        <v>No</v>
      </c>
      <c r="E164" s="27" t="n">
        <f aca="false">IF(N(Inputs!$C$12)=0,1,(1+Inputs!$C$11)^INT((A164-1)/Inputs!$C$12))</f>
        <v>1.79585632602213</v>
      </c>
      <c r="F164" s="28" t="n">
        <f aca="false">IF(AND(D164="Yes",Inputs!$C$10="Advance",MOD(A164-1,Inputs!$C$22)=0),Inputs!$C$8*E164,0)</f>
        <v>0</v>
      </c>
      <c r="G164" s="28" t="n">
        <f aca="false">IF(AND(D164="Yes",Inputs!$C$10="Arrears",MOD(A164,Inputs!$C$22)=0),Inputs!$C$8*IF(N(Inputs!$C$12)=0,1,(1+Inputs!$C$11)^INT((A164-Inputs!$C$22)/Inputs!$C$12)),0)</f>
        <v>0</v>
      </c>
      <c r="H164" s="29" t="n">
        <f aca="false">1/(1+Inputs!$C$23)^(A164-1)</f>
        <v>0.309671302396529</v>
      </c>
      <c r="I164" s="29" t="n">
        <f aca="false">1/(1+Inputs!$C$23)^A164</f>
        <v>0.307338134410349</v>
      </c>
      <c r="J164" s="30" t="n">
        <f aca="false">F164*H164+G164*I164</f>
        <v>0</v>
      </c>
      <c r="K164" s="30" t="n">
        <f aca="false">M163</f>
        <v>-2.31665708150703E-009</v>
      </c>
      <c r="L164" s="30" t="n">
        <f aca="false">IF(D164="Yes",(K164-F164)*Inputs!$C$23,0)</f>
        <v>0</v>
      </c>
      <c r="M164" s="30" t="n">
        <f aca="false">K164-F164+L164-G164</f>
        <v>-2.31665708150703E-009</v>
      </c>
      <c r="N164" s="30" t="n">
        <f aca="false">F164+G164</f>
        <v>0</v>
      </c>
      <c r="O164" s="30" t="n">
        <f aca="false">N164-L164</f>
        <v>0</v>
      </c>
      <c r="P164" s="30" t="n">
        <f aca="false">R163</f>
        <v>1.30967237055302E-009</v>
      </c>
      <c r="Q164" s="30" t="n">
        <f aca="false">IF(A164&lt;=Inputs!$C$24,Inputs!$C$29/Inputs!$C$24,0)</f>
        <v>0</v>
      </c>
      <c r="R164" s="30" t="n">
        <f aca="false">P164-Q164</f>
        <v>1.30967237055302E-009</v>
      </c>
      <c r="S164" s="10" t="str">
        <f aca="false">"FY "&amp;(YEAR(B164)-(MONTH(B164)&lt;4))&amp;"-"&amp;RIGHT(YEAR(B164)-(MONTH(B164)&lt;4)+1,2)</f>
        <v>FY 2038-39</v>
      </c>
    </row>
    <row r="165" customFormat="false" ht="15" hidden="false" customHeight="false" outlineLevel="0" collapsed="false">
      <c r="A165" s="22" t="n">
        <v>157</v>
      </c>
      <c r="B165" s="24" t="n">
        <f aca="false">EDATE(Inputs!$C$6,A165-1)</f>
        <v>50861</v>
      </c>
      <c r="C165" s="24" t="n">
        <f aca="false">EDATE(Inputs!$C$6,A165)-1</f>
        <v>50890</v>
      </c>
      <c r="D165" s="10" t="str">
        <f aca="false">IF(A165&lt;=Inputs!$C$7,"Yes","No")</f>
        <v>No</v>
      </c>
      <c r="E165" s="27" t="n">
        <f aca="false">IF(N(Inputs!$C$12)=0,1,(1+Inputs!$C$11)^INT((A165-1)/Inputs!$C$12))</f>
        <v>1.88564914232324</v>
      </c>
      <c r="F165" s="28" t="n">
        <f aca="false">IF(AND(D165="Yes",Inputs!$C$10="Advance",MOD(A165-1,Inputs!$C$22)=0),Inputs!$C$8*E165,0)</f>
        <v>0</v>
      </c>
      <c r="G165" s="28" t="n">
        <f aca="false">IF(AND(D165="Yes",Inputs!$C$10="Arrears",MOD(A165,Inputs!$C$22)=0),Inputs!$C$8*IF(N(Inputs!$C$12)=0,1,(1+Inputs!$C$11)^INT((A165-Inputs!$C$22)/Inputs!$C$12)),0)</f>
        <v>0</v>
      </c>
      <c r="H165" s="29" t="n">
        <f aca="false">1/(1+Inputs!$C$23)^(A165-1)</f>
        <v>0.307338134410349</v>
      </c>
      <c r="I165" s="29" t="n">
        <f aca="false">1/(1+Inputs!$C$23)^A165</f>
        <v>0.305022545298316</v>
      </c>
      <c r="J165" s="30" t="n">
        <f aca="false">F165*H165+G165*I165</f>
        <v>0</v>
      </c>
      <c r="K165" s="30" t="n">
        <f aca="false">M164</f>
        <v>-2.31665708150703E-009</v>
      </c>
      <c r="L165" s="30" t="n">
        <f aca="false">IF(D165="Yes",(K165-F165)*Inputs!$C$23,0)</f>
        <v>0</v>
      </c>
      <c r="M165" s="30" t="n">
        <f aca="false">K165-F165+L165-G165</f>
        <v>-2.31665708150703E-009</v>
      </c>
      <c r="N165" s="30" t="n">
        <f aca="false">F165+G165</f>
        <v>0</v>
      </c>
      <c r="O165" s="30" t="n">
        <f aca="false">N165-L165</f>
        <v>0</v>
      </c>
      <c r="P165" s="30" t="n">
        <f aca="false">R164</f>
        <v>1.30967237055302E-009</v>
      </c>
      <c r="Q165" s="30" t="n">
        <f aca="false">IF(A165&lt;=Inputs!$C$24,Inputs!$C$29/Inputs!$C$24,0)</f>
        <v>0</v>
      </c>
      <c r="R165" s="30" t="n">
        <f aca="false">P165-Q165</f>
        <v>1.30967237055302E-009</v>
      </c>
      <c r="S165" s="10" t="str">
        <f aca="false">"FY "&amp;(YEAR(B165)-(MONTH(B165)&lt;4))&amp;"-"&amp;RIGHT(YEAR(B165)-(MONTH(B165)&lt;4)+1,2)</f>
        <v>FY 2039-40</v>
      </c>
    </row>
    <row r="166" customFormat="false" ht="15" hidden="false" customHeight="false" outlineLevel="0" collapsed="false">
      <c r="A166" s="22" t="n">
        <v>158</v>
      </c>
      <c r="B166" s="24" t="n">
        <f aca="false">EDATE(Inputs!$C$6,A166-1)</f>
        <v>50891</v>
      </c>
      <c r="C166" s="24" t="n">
        <f aca="false">EDATE(Inputs!$C$6,A166)-1</f>
        <v>50921</v>
      </c>
      <c r="D166" s="10" t="str">
        <f aca="false">IF(A166&lt;=Inputs!$C$7,"Yes","No")</f>
        <v>No</v>
      </c>
      <c r="E166" s="27" t="n">
        <f aca="false">IF(N(Inputs!$C$12)=0,1,(1+Inputs!$C$11)^INT((A166-1)/Inputs!$C$12))</f>
        <v>1.88564914232324</v>
      </c>
      <c r="F166" s="28" t="n">
        <f aca="false">IF(AND(D166="Yes",Inputs!$C$10="Advance",MOD(A166-1,Inputs!$C$22)=0),Inputs!$C$8*E166,0)</f>
        <v>0</v>
      </c>
      <c r="G166" s="28" t="n">
        <f aca="false">IF(AND(D166="Yes",Inputs!$C$10="Arrears",MOD(A166,Inputs!$C$22)=0),Inputs!$C$8*IF(N(Inputs!$C$12)=0,1,(1+Inputs!$C$11)^INT((A166-Inputs!$C$22)/Inputs!$C$12)),0)</f>
        <v>0</v>
      </c>
      <c r="H166" s="29" t="n">
        <f aca="false">1/(1+Inputs!$C$23)^(A166-1)</f>
        <v>0.305022545298316</v>
      </c>
      <c r="I166" s="29" t="n">
        <f aca="false">1/(1+Inputs!$C$23)^A166</f>
        <v>0.302724402615267</v>
      </c>
      <c r="J166" s="30" t="n">
        <f aca="false">F166*H166+G166*I166</f>
        <v>0</v>
      </c>
      <c r="K166" s="30" t="n">
        <f aca="false">M165</f>
        <v>-2.31665708150703E-009</v>
      </c>
      <c r="L166" s="30" t="n">
        <f aca="false">IF(D166="Yes",(K166-F166)*Inputs!$C$23,0)</f>
        <v>0</v>
      </c>
      <c r="M166" s="30" t="n">
        <f aca="false">K166-F166+L166-G166</f>
        <v>-2.31665708150703E-009</v>
      </c>
      <c r="N166" s="30" t="n">
        <f aca="false">F166+G166</f>
        <v>0</v>
      </c>
      <c r="O166" s="30" t="n">
        <f aca="false">N166-L166</f>
        <v>0</v>
      </c>
      <c r="P166" s="30" t="n">
        <f aca="false">R165</f>
        <v>1.30967237055302E-009</v>
      </c>
      <c r="Q166" s="30" t="n">
        <f aca="false">IF(A166&lt;=Inputs!$C$24,Inputs!$C$29/Inputs!$C$24,0)</f>
        <v>0</v>
      </c>
      <c r="R166" s="30" t="n">
        <f aca="false">P166-Q166</f>
        <v>1.30967237055302E-009</v>
      </c>
      <c r="S166" s="10" t="str">
        <f aca="false">"FY "&amp;(YEAR(B166)-(MONTH(B166)&lt;4))&amp;"-"&amp;RIGHT(YEAR(B166)-(MONTH(B166)&lt;4)+1,2)</f>
        <v>FY 2039-40</v>
      </c>
    </row>
    <row r="167" customFormat="false" ht="15" hidden="false" customHeight="false" outlineLevel="0" collapsed="false">
      <c r="A167" s="22" t="n">
        <v>159</v>
      </c>
      <c r="B167" s="24" t="n">
        <f aca="false">EDATE(Inputs!$C$6,A167-1)</f>
        <v>50922</v>
      </c>
      <c r="C167" s="24" t="n">
        <f aca="false">EDATE(Inputs!$C$6,A167)-1</f>
        <v>50951</v>
      </c>
      <c r="D167" s="10" t="str">
        <f aca="false">IF(A167&lt;=Inputs!$C$7,"Yes","No")</f>
        <v>No</v>
      </c>
      <c r="E167" s="27" t="n">
        <f aca="false">IF(N(Inputs!$C$12)=0,1,(1+Inputs!$C$11)^INT((A167-1)/Inputs!$C$12))</f>
        <v>1.88564914232324</v>
      </c>
      <c r="F167" s="28" t="n">
        <f aca="false">IF(AND(D167="Yes",Inputs!$C$10="Advance",MOD(A167-1,Inputs!$C$22)=0),Inputs!$C$8*E167,0)</f>
        <v>0</v>
      </c>
      <c r="G167" s="28" t="n">
        <f aca="false">IF(AND(D167="Yes",Inputs!$C$10="Arrears",MOD(A167,Inputs!$C$22)=0),Inputs!$C$8*IF(N(Inputs!$C$12)=0,1,(1+Inputs!$C$11)^INT((A167-Inputs!$C$22)/Inputs!$C$12)),0)</f>
        <v>0</v>
      </c>
      <c r="H167" s="29" t="n">
        <f aca="false">1/(1+Inputs!$C$23)^(A167-1)</f>
        <v>0.302724402615267</v>
      </c>
      <c r="I167" s="29" t="n">
        <f aca="false">1/(1+Inputs!$C$23)^A167</f>
        <v>0.300443574913922</v>
      </c>
      <c r="J167" s="30" t="n">
        <f aca="false">F167*H167+G167*I167</f>
        <v>0</v>
      </c>
      <c r="K167" s="30" t="n">
        <f aca="false">M166</f>
        <v>-2.31665708150703E-009</v>
      </c>
      <c r="L167" s="30" t="n">
        <f aca="false">IF(D167="Yes",(K167-F167)*Inputs!$C$23,0)</f>
        <v>0</v>
      </c>
      <c r="M167" s="30" t="n">
        <f aca="false">K167-F167+L167-G167</f>
        <v>-2.31665708150703E-009</v>
      </c>
      <c r="N167" s="30" t="n">
        <f aca="false">F167+G167</f>
        <v>0</v>
      </c>
      <c r="O167" s="30" t="n">
        <f aca="false">N167-L167</f>
        <v>0</v>
      </c>
      <c r="P167" s="30" t="n">
        <f aca="false">R166</f>
        <v>1.30967237055302E-009</v>
      </c>
      <c r="Q167" s="30" t="n">
        <f aca="false">IF(A167&lt;=Inputs!$C$24,Inputs!$C$29/Inputs!$C$24,0)</f>
        <v>0</v>
      </c>
      <c r="R167" s="30" t="n">
        <f aca="false">P167-Q167</f>
        <v>1.30967237055302E-009</v>
      </c>
      <c r="S167" s="10" t="str">
        <f aca="false">"FY "&amp;(YEAR(B167)-(MONTH(B167)&lt;4))&amp;"-"&amp;RIGHT(YEAR(B167)-(MONTH(B167)&lt;4)+1,2)</f>
        <v>FY 2039-40</v>
      </c>
    </row>
    <row r="168" customFormat="false" ht="15" hidden="false" customHeight="false" outlineLevel="0" collapsed="false">
      <c r="A168" s="22" t="n">
        <v>160</v>
      </c>
      <c r="B168" s="24" t="n">
        <f aca="false">EDATE(Inputs!$C$6,A168-1)</f>
        <v>50952</v>
      </c>
      <c r="C168" s="24" t="n">
        <f aca="false">EDATE(Inputs!$C$6,A168)-1</f>
        <v>50982</v>
      </c>
      <c r="D168" s="10" t="str">
        <f aca="false">IF(A168&lt;=Inputs!$C$7,"Yes","No")</f>
        <v>No</v>
      </c>
      <c r="E168" s="27" t="n">
        <f aca="false">IF(N(Inputs!$C$12)=0,1,(1+Inputs!$C$11)^INT((A168-1)/Inputs!$C$12))</f>
        <v>1.88564914232324</v>
      </c>
      <c r="F168" s="28" t="n">
        <f aca="false">IF(AND(D168="Yes",Inputs!$C$10="Advance",MOD(A168-1,Inputs!$C$22)=0),Inputs!$C$8*E168,0)</f>
        <v>0</v>
      </c>
      <c r="G168" s="28" t="n">
        <f aca="false">IF(AND(D168="Yes",Inputs!$C$10="Arrears",MOD(A168,Inputs!$C$22)=0),Inputs!$C$8*IF(N(Inputs!$C$12)=0,1,(1+Inputs!$C$11)^INT((A168-Inputs!$C$22)/Inputs!$C$12)),0)</f>
        <v>0</v>
      </c>
      <c r="H168" s="29" t="n">
        <f aca="false">1/(1+Inputs!$C$23)^(A168-1)</f>
        <v>0.300443574913922</v>
      </c>
      <c r="I168" s="29" t="n">
        <f aca="false">1/(1+Inputs!$C$23)^A168</f>
        <v>0.298179931737374</v>
      </c>
      <c r="J168" s="30" t="n">
        <f aca="false">F168*H168+G168*I168</f>
        <v>0</v>
      </c>
      <c r="K168" s="30" t="n">
        <f aca="false">M167</f>
        <v>-2.31665708150703E-009</v>
      </c>
      <c r="L168" s="30" t="n">
        <f aca="false">IF(D168="Yes",(K168-F168)*Inputs!$C$23,0)</f>
        <v>0</v>
      </c>
      <c r="M168" s="30" t="n">
        <f aca="false">K168-F168+L168-G168</f>
        <v>-2.31665708150703E-009</v>
      </c>
      <c r="N168" s="30" t="n">
        <f aca="false">F168+G168</f>
        <v>0</v>
      </c>
      <c r="O168" s="30" t="n">
        <f aca="false">N168-L168</f>
        <v>0</v>
      </c>
      <c r="P168" s="30" t="n">
        <f aca="false">R167</f>
        <v>1.30967237055302E-009</v>
      </c>
      <c r="Q168" s="30" t="n">
        <f aca="false">IF(A168&lt;=Inputs!$C$24,Inputs!$C$29/Inputs!$C$24,0)</f>
        <v>0</v>
      </c>
      <c r="R168" s="30" t="n">
        <f aca="false">P168-Q168</f>
        <v>1.30967237055302E-009</v>
      </c>
      <c r="S168" s="10" t="str">
        <f aca="false">"FY "&amp;(YEAR(B168)-(MONTH(B168)&lt;4))&amp;"-"&amp;RIGHT(YEAR(B168)-(MONTH(B168)&lt;4)+1,2)</f>
        <v>FY 2039-40</v>
      </c>
    </row>
    <row r="169" customFormat="false" ht="15" hidden="false" customHeight="false" outlineLevel="0" collapsed="false">
      <c r="A169" s="22" t="n">
        <v>161</v>
      </c>
      <c r="B169" s="24" t="n">
        <f aca="false">EDATE(Inputs!$C$6,A169-1)</f>
        <v>50983</v>
      </c>
      <c r="C169" s="24" t="n">
        <f aca="false">EDATE(Inputs!$C$6,A169)-1</f>
        <v>51013</v>
      </c>
      <c r="D169" s="10" t="str">
        <f aca="false">IF(A169&lt;=Inputs!$C$7,"Yes","No")</f>
        <v>No</v>
      </c>
      <c r="E169" s="27" t="n">
        <f aca="false">IF(N(Inputs!$C$12)=0,1,(1+Inputs!$C$11)^INT((A169-1)/Inputs!$C$12))</f>
        <v>1.88564914232324</v>
      </c>
      <c r="F169" s="28" t="n">
        <f aca="false">IF(AND(D169="Yes",Inputs!$C$10="Advance",MOD(A169-1,Inputs!$C$22)=0),Inputs!$C$8*E169,0)</f>
        <v>0</v>
      </c>
      <c r="G169" s="28" t="n">
        <f aca="false">IF(AND(D169="Yes",Inputs!$C$10="Arrears",MOD(A169,Inputs!$C$22)=0),Inputs!$C$8*IF(N(Inputs!$C$12)=0,1,(1+Inputs!$C$11)^INT((A169-Inputs!$C$22)/Inputs!$C$12)),0)</f>
        <v>0</v>
      </c>
      <c r="H169" s="29" t="n">
        <f aca="false">1/(1+Inputs!$C$23)^(A169-1)</f>
        <v>0.298179931737374</v>
      </c>
      <c r="I169" s="29" t="n">
        <f aca="false">1/(1+Inputs!$C$23)^A169</f>
        <v>0.29593334361162</v>
      </c>
      <c r="J169" s="30" t="n">
        <f aca="false">F169*H169+G169*I169</f>
        <v>0</v>
      </c>
      <c r="K169" s="30" t="n">
        <f aca="false">M168</f>
        <v>-2.31665708150703E-009</v>
      </c>
      <c r="L169" s="30" t="n">
        <f aca="false">IF(D169="Yes",(K169-F169)*Inputs!$C$23,0)</f>
        <v>0</v>
      </c>
      <c r="M169" s="30" t="n">
        <f aca="false">K169-F169+L169-G169</f>
        <v>-2.31665708150703E-009</v>
      </c>
      <c r="N169" s="30" t="n">
        <f aca="false">F169+G169</f>
        <v>0</v>
      </c>
      <c r="O169" s="30" t="n">
        <f aca="false">N169-L169</f>
        <v>0</v>
      </c>
      <c r="P169" s="30" t="n">
        <f aca="false">R168</f>
        <v>1.30967237055302E-009</v>
      </c>
      <c r="Q169" s="30" t="n">
        <f aca="false">IF(A169&lt;=Inputs!$C$24,Inputs!$C$29/Inputs!$C$24,0)</f>
        <v>0</v>
      </c>
      <c r="R169" s="30" t="n">
        <f aca="false">P169-Q169</f>
        <v>1.30967237055302E-009</v>
      </c>
      <c r="S169" s="10" t="str">
        <f aca="false">"FY "&amp;(YEAR(B169)-(MONTH(B169)&lt;4))&amp;"-"&amp;RIGHT(YEAR(B169)-(MONTH(B169)&lt;4)+1,2)</f>
        <v>FY 2039-40</v>
      </c>
    </row>
    <row r="170" customFormat="false" ht="15" hidden="false" customHeight="false" outlineLevel="0" collapsed="false">
      <c r="A170" s="22" t="n">
        <v>162</v>
      </c>
      <c r="B170" s="24" t="n">
        <f aca="false">EDATE(Inputs!$C$6,A170-1)</f>
        <v>51014</v>
      </c>
      <c r="C170" s="24" t="n">
        <f aca="false">EDATE(Inputs!$C$6,A170)-1</f>
        <v>51043</v>
      </c>
      <c r="D170" s="10" t="str">
        <f aca="false">IF(A170&lt;=Inputs!$C$7,"Yes","No")</f>
        <v>No</v>
      </c>
      <c r="E170" s="27" t="n">
        <f aca="false">IF(N(Inputs!$C$12)=0,1,(1+Inputs!$C$11)^INT((A170-1)/Inputs!$C$12))</f>
        <v>1.88564914232324</v>
      </c>
      <c r="F170" s="28" t="n">
        <f aca="false">IF(AND(D170="Yes",Inputs!$C$10="Advance",MOD(A170-1,Inputs!$C$22)=0),Inputs!$C$8*E170,0)</f>
        <v>0</v>
      </c>
      <c r="G170" s="28" t="n">
        <f aca="false">IF(AND(D170="Yes",Inputs!$C$10="Arrears",MOD(A170,Inputs!$C$22)=0),Inputs!$C$8*IF(N(Inputs!$C$12)=0,1,(1+Inputs!$C$11)^INT((A170-Inputs!$C$22)/Inputs!$C$12)),0)</f>
        <v>0</v>
      </c>
      <c r="H170" s="29" t="n">
        <f aca="false">1/(1+Inputs!$C$23)^(A170-1)</f>
        <v>0.29593334361162</v>
      </c>
      <c r="I170" s="29" t="n">
        <f aca="false">1/(1+Inputs!$C$23)^A170</f>
        <v>0.293703682038157</v>
      </c>
      <c r="J170" s="30" t="n">
        <f aca="false">F170*H170+G170*I170</f>
        <v>0</v>
      </c>
      <c r="K170" s="30" t="n">
        <f aca="false">M169</f>
        <v>-2.31665708150703E-009</v>
      </c>
      <c r="L170" s="30" t="n">
        <f aca="false">IF(D170="Yes",(K170-F170)*Inputs!$C$23,0)</f>
        <v>0</v>
      </c>
      <c r="M170" s="30" t="n">
        <f aca="false">K170-F170+L170-G170</f>
        <v>-2.31665708150703E-009</v>
      </c>
      <c r="N170" s="30" t="n">
        <f aca="false">F170+G170</f>
        <v>0</v>
      </c>
      <c r="O170" s="30" t="n">
        <f aca="false">N170-L170</f>
        <v>0</v>
      </c>
      <c r="P170" s="30" t="n">
        <f aca="false">R169</f>
        <v>1.30967237055302E-009</v>
      </c>
      <c r="Q170" s="30" t="n">
        <f aca="false">IF(A170&lt;=Inputs!$C$24,Inputs!$C$29/Inputs!$C$24,0)</f>
        <v>0</v>
      </c>
      <c r="R170" s="30" t="n">
        <f aca="false">P170-Q170</f>
        <v>1.30967237055302E-009</v>
      </c>
      <c r="S170" s="10" t="str">
        <f aca="false">"FY "&amp;(YEAR(B170)-(MONTH(B170)&lt;4))&amp;"-"&amp;RIGHT(YEAR(B170)-(MONTH(B170)&lt;4)+1,2)</f>
        <v>FY 2039-40</v>
      </c>
    </row>
    <row r="171" customFormat="false" ht="15" hidden="false" customHeight="false" outlineLevel="0" collapsed="false">
      <c r="A171" s="22" t="n">
        <v>163</v>
      </c>
      <c r="B171" s="24" t="n">
        <f aca="false">EDATE(Inputs!$C$6,A171-1)</f>
        <v>51044</v>
      </c>
      <c r="C171" s="24" t="n">
        <f aca="false">EDATE(Inputs!$C$6,A171)-1</f>
        <v>51074</v>
      </c>
      <c r="D171" s="10" t="str">
        <f aca="false">IF(A171&lt;=Inputs!$C$7,"Yes","No")</f>
        <v>No</v>
      </c>
      <c r="E171" s="27" t="n">
        <f aca="false">IF(N(Inputs!$C$12)=0,1,(1+Inputs!$C$11)^INT((A171-1)/Inputs!$C$12))</f>
        <v>1.88564914232324</v>
      </c>
      <c r="F171" s="28" t="n">
        <f aca="false">IF(AND(D171="Yes",Inputs!$C$10="Advance",MOD(A171-1,Inputs!$C$22)=0),Inputs!$C$8*E171,0)</f>
        <v>0</v>
      </c>
      <c r="G171" s="28" t="n">
        <f aca="false">IF(AND(D171="Yes",Inputs!$C$10="Arrears",MOD(A171,Inputs!$C$22)=0),Inputs!$C$8*IF(N(Inputs!$C$12)=0,1,(1+Inputs!$C$11)^INT((A171-Inputs!$C$22)/Inputs!$C$12)),0)</f>
        <v>0</v>
      </c>
      <c r="H171" s="29" t="n">
        <f aca="false">1/(1+Inputs!$C$23)^(A171-1)</f>
        <v>0.293703682038157</v>
      </c>
      <c r="I171" s="29" t="n">
        <f aca="false">1/(1+Inputs!$C$23)^A171</f>
        <v>0.291490819486634</v>
      </c>
      <c r="J171" s="30" t="n">
        <f aca="false">F171*H171+G171*I171</f>
        <v>0</v>
      </c>
      <c r="K171" s="30" t="n">
        <f aca="false">M170</f>
        <v>-2.31665708150703E-009</v>
      </c>
      <c r="L171" s="30" t="n">
        <f aca="false">IF(D171="Yes",(K171-F171)*Inputs!$C$23,0)</f>
        <v>0</v>
      </c>
      <c r="M171" s="30" t="n">
        <f aca="false">K171-F171+L171-G171</f>
        <v>-2.31665708150703E-009</v>
      </c>
      <c r="N171" s="30" t="n">
        <f aca="false">F171+G171</f>
        <v>0</v>
      </c>
      <c r="O171" s="30" t="n">
        <f aca="false">N171-L171</f>
        <v>0</v>
      </c>
      <c r="P171" s="30" t="n">
        <f aca="false">R170</f>
        <v>1.30967237055302E-009</v>
      </c>
      <c r="Q171" s="30" t="n">
        <f aca="false">IF(A171&lt;=Inputs!$C$24,Inputs!$C$29/Inputs!$C$24,0)</f>
        <v>0</v>
      </c>
      <c r="R171" s="30" t="n">
        <f aca="false">P171-Q171</f>
        <v>1.30967237055302E-009</v>
      </c>
      <c r="S171" s="10" t="str">
        <f aca="false">"FY "&amp;(YEAR(B171)-(MONTH(B171)&lt;4))&amp;"-"&amp;RIGHT(YEAR(B171)-(MONTH(B171)&lt;4)+1,2)</f>
        <v>FY 2039-40</v>
      </c>
    </row>
    <row r="172" customFormat="false" ht="15" hidden="false" customHeight="false" outlineLevel="0" collapsed="false">
      <c r="A172" s="22" t="n">
        <v>164</v>
      </c>
      <c r="B172" s="24" t="n">
        <f aca="false">EDATE(Inputs!$C$6,A172-1)</f>
        <v>51075</v>
      </c>
      <c r="C172" s="24" t="n">
        <f aca="false">EDATE(Inputs!$C$6,A172)-1</f>
        <v>51104</v>
      </c>
      <c r="D172" s="10" t="str">
        <f aca="false">IF(A172&lt;=Inputs!$C$7,"Yes","No")</f>
        <v>No</v>
      </c>
      <c r="E172" s="27" t="n">
        <f aca="false">IF(N(Inputs!$C$12)=0,1,(1+Inputs!$C$11)^INT((A172-1)/Inputs!$C$12))</f>
        <v>1.88564914232324</v>
      </c>
      <c r="F172" s="28" t="n">
        <f aca="false">IF(AND(D172="Yes",Inputs!$C$10="Advance",MOD(A172-1,Inputs!$C$22)=0),Inputs!$C$8*E172,0)</f>
        <v>0</v>
      </c>
      <c r="G172" s="28" t="n">
        <f aca="false">IF(AND(D172="Yes",Inputs!$C$10="Arrears",MOD(A172,Inputs!$C$22)=0),Inputs!$C$8*IF(N(Inputs!$C$12)=0,1,(1+Inputs!$C$11)^INT((A172-Inputs!$C$22)/Inputs!$C$12)),0)</f>
        <v>0</v>
      </c>
      <c r="H172" s="29" t="n">
        <f aca="false">1/(1+Inputs!$C$23)^(A172-1)</f>
        <v>0.291490819486634</v>
      </c>
      <c r="I172" s="29" t="n">
        <f aca="false">1/(1+Inputs!$C$23)^A172</f>
        <v>0.289294629387557</v>
      </c>
      <c r="J172" s="30" t="n">
        <f aca="false">F172*H172+G172*I172</f>
        <v>0</v>
      </c>
      <c r="K172" s="30" t="n">
        <f aca="false">M171</f>
        <v>-2.31665708150703E-009</v>
      </c>
      <c r="L172" s="30" t="n">
        <f aca="false">IF(D172="Yes",(K172-F172)*Inputs!$C$23,0)</f>
        <v>0</v>
      </c>
      <c r="M172" s="30" t="n">
        <f aca="false">K172-F172+L172-G172</f>
        <v>-2.31665708150703E-009</v>
      </c>
      <c r="N172" s="30" t="n">
        <f aca="false">F172+G172</f>
        <v>0</v>
      </c>
      <c r="O172" s="30" t="n">
        <f aca="false">N172-L172</f>
        <v>0</v>
      </c>
      <c r="P172" s="30" t="n">
        <f aca="false">R171</f>
        <v>1.30967237055302E-009</v>
      </c>
      <c r="Q172" s="30" t="n">
        <f aca="false">IF(A172&lt;=Inputs!$C$24,Inputs!$C$29/Inputs!$C$24,0)</f>
        <v>0</v>
      </c>
      <c r="R172" s="30" t="n">
        <f aca="false">P172-Q172</f>
        <v>1.30967237055302E-009</v>
      </c>
      <c r="S172" s="10" t="str">
        <f aca="false">"FY "&amp;(YEAR(B172)-(MONTH(B172)&lt;4))&amp;"-"&amp;RIGHT(YEAR(B172)-(MONTH(B172)&lt;4)+1,2)</f>
        <v>FY 2039-40</v>
      </c>
    </row>
    <row r="173" customFormat="false" ht="15" hidden="false" customHeight="false" outlineLevel="0" collapsed="false">
      <c r="A173" s="22" t="n">
        <v>165</v>
      </c>
      <c r="B173" s="24" t="n">
        <f aca="false">EDATE(Inputs!$C$6,A173-1)</f>
        <v>51105</v>
      </c>
      <c r="C173" s="24" t="n">
        <f aca="false">EDATE(Inputs!$C$6,A173)-1</f>
        <v>51135</v>
      </c>
      <c r="D173" s="10" t="str">
        <f aca="false">IF(A173&lt;=Inputs!$C$7,"Yes","No")</f>
        <v>No</v>
      </c>
      <c r="E173" s="27" t="n">
        <f aca="false">IF(N(Inputs!$C$12)=0,1,(1+Inputs!$C$11)^INT((A173-1)/Inputs!$C$12))</f>
        <v>1.88564914232324</v>
      </c>
      <c r="F173" s="28" t="n">
        <f aca="false">IF(AND(D173="Yes",Inputs!$C$10="Advance",MOD(A173-1,Inputs!$C$22)=0),Inputs!$C$8*E173,0)</f>
        <v>0</v>
      </c>
      <c r="G173" s="28" t="n">
        <f aca="false">IF(AND(D173="Yes",Inputs!$C$10="Arrears",MOD(A173,Inputs!$C$22)=0),Inputs!$C$8*IF(N(Inputs!$C$12)=0,1,(1+Inputs!$C$11)^INT((A173-Inputs!$C$22)/Inputs!$C$12)),0)</f>
        <v>0</v>
      </c>
      <c r="H173" s="29" t="n">
        <f aca="false">1/(1+Inputs!$C$23)^(A173-1)</f>
        <v>0.289294629387557</v>
      </c>
      <c r="I173" s="29" t="n">
        <f aca="false">1/(1+Inputs!$C$23)^A173</f>
        <v>0.287114986125049</v>
      </c>
      <c r="J173" s="30" t="n">
        <f aca="false">F173*H173+G173*I173</f>
        <v>0</v>
      </c>
      <c r="K173" s="30" t="n">
        <f aca="false">M172</f>
        <v>-2.31665708150703E-009</v>
      </c>
      <c r="L173" s="30" t="n">
        <f aca="false">IF(D173="Yes",(K173-F173)*Inputs!$C$23,0)</f>
        <v>0</v>
      </c>
      <c r="M173" s="30" t="n">
        <f aca="false">K173-F173+L173-G173</f>
        <v>-2.31665708150703E-009</v>
      </c>
      <c r="N173" s="30" t="n">
        <f aca="false">F173+G173</f>
        <v>0</v>
      </c>
      <c r="O173" s="30" t="n">
        <f aca="false">N173-L173</f>
        <v>0</v>
      </c>
      <c r="P173" s="30" t="n">
        <f aca="false">R172</f>
        <v>1.30967237055302E-009</v>
      </c>
      <c r="Q173" s="30" t="n">
        <f aca="false">IF(A173&lt;=Inputs!$C$24,Inputs!$C$29/Inputs!$C$24,0)</f>
        <v>0</v>
      </c>
      <c r="R173" s="30" t="n">
        <f aca="false">P173-Q173</f>
        <v>1.30967237055302E-009</v>
      </c>
      <c r="S173" s="10" t="str">
        <f aca="false">"FY "&amp;(YEAR(B173)-(MONTH(B173)&lt;4))&amp;"-"&amp;RIGHT(YEAR(B173)-(MONTH(B173)&lt;4)+1,2)</f>
        <v>FY 2039-40</v>
      </c>
    </row>
    <row r="174" customFormat="false" ht="15" hidden="false" customHeight="false" outlineLevel="0" collapsed="false">
      <c r="A174" s="22" t="n">
        <v>166</v>
      </c>
      <c r="B174" s="24" t="n">
        <f aca="false">EDATE(Inputs!$C$6,A174-1)</f>
        <v>51136</v>
      </c>
      <c r="C174" s="24" t="n">
        <f aca="false">EDATE(Inputs!$C$6,A174)-1</f>
        <v>51166</v>
      </c>
      <c r="D174" s="10" t="str">
        <f aca="false">IF(A174&lt;=Inputs!$C$7,"Yes","No")</f>
        <v>No</v>
      </c>
      <c r="E174" s="27" t="n">
        <f aca="false">IF(N(Inputs!$C$12)=0,1,(1+Inputs!$C$11)^INT((A174-1)/Inputs!$C$12))</f>
        <v>1.88564914232324</v>
      </c>
      <c r="F174" s="28" t="n">
        <f aca="false">IF(AND(D174="Yes",Inputs!$C$10="Advance",MOD(A174-1,Inputs!$C$22)=0),Inputs!$C$8*E174,0)</f>
        <v>0</v>
      </c>
      <c r="G174" s="28" t="n">
        <f aca="false">IF(AND(D174="Yes",Inputs!$C$10="Arrears",MOD(A174,Inputs!$C$22)=0),Inputs!$C$8*IF(N(Inputs!$C$12)=0,1,(1+Inputs!$C$11)^INT((A174-Inputs!$C$22)/Inputs!$C$12)),0)</f>
        <v>0</v>
      </c>
      <c r="H174" s="29" t="n">
        <f aca="false">1/(1+Inputs!$C$23)^(A174-1)</f>
        <v>0.287114986125049</v>
      </c>
      <c r="I174" s="29" t="n">
        <f aca="false">1/(1+Inputs!$C$23)^A174</f>
        <v>0.284951765029664</v>
      </c>
      <c r="J174" s="30" t="n">
        <f aca="false">F174*H174+G174*I174</f>
        <v>0</v>
      </c>
      <c r="K174" s="30" t="n">
        <f aca="false">M173</f>
        <v>-2.31665708150703E-009</v>
      </c>
      <c r="L174" s="30" t="n">
        <f aca="false">IF(D174="Yes",(K174-F174)*Inputs!$C$23,0)</f>
        <v>0</v>
      </c>
      <c r="M174" s="30" t="n">
        <f aca="false">K174-F174+L174-G174</f>
        <v>-2.31665708150703E-009</v>
      </c>
      <c r="N174" s="30" t="n">
        <f aca="false">F174+G174</f>
        <v>0</v>
      </c>
      <c r="O174" s="30" t="n">
        <f aca="false">N174-L174</f>
        <v>0</v>
      </c>
      <c r="P174" s="30" t="n">
        <f aca="false">R173</f>
        <v>1.30967237055302E-009</v>
      </c>
      <c r="Q174" s="30" t="n">
        <f aca="false">IF(A174&lt;=Inputs!$C$24,Inputs!$C$29/Inputs!$C$24,0)</f>
        <v>0</v>
      </c>
      <c r="R174" s="30" t="n">
        <f aca="false">P174-Q174</f>
        <v>1.30967237055302E-009</v>
      </c>
      <c r="S174" s="10" t="str">
        <f aca="false">"FY "&amp;(YEAR(B174)-(MONTH(B174)&lt;4))&amp;"-"&amp;RIGHT(YEAR(B174)-(MONTH(B174)&lt;4)+1,2)</f>
        <v>FY 2039-40</v>
      </c>
    </row>
    <row r="175" customFormat="false" ht="15" hidden="false" customHeight="false" outlineLevel="0" collapsed="false">
      <c r="A175" s="22" t="n">
        <v>167</v>
      </c>
      <c r="B175" s="24" t="n">
        <f aca="false">EDATE(Inputs!$C$6,A175-1)</f>
        <v>51167</v>
      </c>
      <c r="C175" s="24" t="n">
        <f aca="false">EDATE(Inputs!$C$6,A175)-1</f>
        <v>51195</v>
      </c>
      <c r="D175" s="10" t="str">
        <f aca="false">IF(A175&lt;=Inputs!$C$7,"Yes","No")</f>
        <v>No</v>
      </c>
      <c r="E175" s="27" t="n">
        <f aca="false">IF(N(Inputs!$C$12)=0,1,(1+Inputs!$C$11)^INT((A175-1)/Inputs!$C$12))</f>
        <v>1.88564914232324</v>
      </c>
      <c r="F175" s="28" t="n">
        <f aca="false">IF(AND(D175="Yes",Inputs!$C$10="Advance",MOD(A175-1,Inputs!$C$22)=0),Inputs!$C$8*E175,0)</f>
        <v>0</v>
      </c>
      <c r="G175" s="28" t="n">
        <f aca="false">IF(AND(D175="Yes",Inputs!$C$10="Arrears",MOD(A175,Inputs!$C$22)=0),Inputs!$C$8*IF(N(Inputs!$C$12)=0,1,(1+Inputs!$C$11)^INT((A175-Inputs!$C$22)/Inputs!$C$12)),0)</f>
        <v>0</v>
      </c>
      <c r="H175" s="29" t="n">
        <f aca="false">1/(1+Inputs!$C$23)^(A175-1)</f>
        <v>0.284951765029664</v>
      </c>
      <c r="I175" s="29" t="n">
        <f aca="false">1/(1+Inputs!$C$23)^A175</f>
        <v>0.28280484237126</v>
      </c>
      <c r="J175" s="30" t="n">
        <f aca="false">F175*H175+G175*I175</f>
        <v>0</v>
      </c>
      <c r="K175" s="30" t="n">
        <f aca="false">M174</f>
        <v>-2.31665708150703E-009</v>
      </c>
      <c r="L175" s="30" t="n">
        <f aca="false">IF(D175="Yes",(K175-F175)*Inputs!$C$23,0)</f>
        <v>0</v>
      </c>
      <c r="M175" s="30" t="n">
        <f aca="false">K175-F175+L175-G175</f>
        <v>-2.31665708150703E-009</v>
      </c>
      <c r="N175" s="30" t="n">
        <f aca="false">F175+G175</f>
        <v>0</v>
      </c>
      <c r="O175" s="30" t="n">
        <f aca="false">N175-L175</f>
        <v>0</v>
      </c>
      <c r="P175" s="30" t="n">
        <f aca="false">R174</f>
        <v>1.30967237055302E-009</v>
      </c>
      <c r="Q175" s="30" t="n">
        <f aca="false">IF(A175&lt;=Inputs!$C$24,Inputs!$C$29/Inputs!$C$24,0)</f>
        <v>0</v>
      </c>
      <c r="R175" s="30" t="n">
        <f aca="false">P175-Q175</f>
        <v>1.30967237055302E-009</v>
      </c>
      <c r="S175" s="10" t="str">
        <f aca="false">"FY "&amp;(YEAR(B175)-(MONTH(B175)&lt;4))&amp;"-"&amp;RIGHT(YEAR(B175)-(MONTH(B175)&lt;4)+1,2)</f>
        <v>FY 2039-40</v>
      </c>
    </row>
    <row r="176" customFormat="false" ht="15" hidden="false" customHeight="false" outlineLevel="0" collapsed="false">
      <c r="A176" s="22" t="n">
        <v>168</v>
      </c>
      <c r="B176" s="24" t="n">
        <f aca="false">EDATE(Inputs!$C$6,A176-1)</f>
        <v>51196</v>
      </c>
      <c r="C176" s="24" t="n">
        <f aca="false">EDATE(Inputs!$C$6,A176)-1</f>
        <v>51226</v>
      </c>
      <c r="D176" s="10" t="str">
        <f aca="false">IF(A176&lt;=Inputs!$C$7,"Yes","No")</f>
        <v>No</v>
      </c>
      <c r="E176" s="27" t="n">
        <f aca="false">IF(N(Inputs!$C$12)=0,1,(1+Inputs!$C$11)^INT((A176-1)/Inputs!$C$12))</f>
        <v>1.88564914232324</v>
      </c>
      <c r="F176" s="28" t="n">
        <f aca="false">IF(AND(D176="Yes",Inputs!$C$10="Advance",MOD(A176-1,Inputs!$C$22)=0),Inputs!$C$8*E176,0)</f>
        <v>0</v>
      </c>
      <c r="G176" s="28" t="n">
        <f aca="false">IF(AND(D176="Yes",Inputs!$C$10="Arrears",MOD(A176,Inputs!$C$22)=0),Inputs!$C$8*IF(N(Inputs!$C$12)=0,1,(1+Inputs!$C$11)^INT((A176-Inputs!$C$22)/Inputs!$C$12)),0)</f>
        <v>0</v>
      </c>
      <c r="H176" s="29" t="n">
        <f aca="false">1/(1+Inputs!$C$23)^(A176-1)</f>
        <v>0.28280484237126</v>
      </c>
      <c r="I176" s="29" t="n">
        <f aca="false">1/(1+Inputs!$C$23)^A176</f>
        <v>0.280674095351918</v>
      </c>
      <c r="J176" s="30" t="n">
        <f aca="false">F176*H176+G176*I176</f>
        <v>0</v>
      </c>
      <c r="K176" s="30" t="n">
        <f aca="false">M175</f>
        <v>-2.31665708150703E-009</v>
      </c>
      <c r="L176" s="30" t="n">
        <f aca="false">IF(D176="Yes",(K176-F176)*Inputs!$C$23,0)</f>
        <v>0</v>
      </c>
      <c r="M176" s="30" t="n">
        <f aca="false">K176-F176+L176-G176</f>
        <v>-2.31665708150703E-009</v>
      </c>
      <c r="N176" s="30" t="n">
        <f aca="false">F176+G176</f>
        <v>0</v>
      </c>
      <c r="O176" s="30" t="n">
        <f aca="false">N176-L176</f>
        <v>0</v>
      </c>
      <c r="P176" s="30" t="n">
        <f aca="false">R175</f>
        <v>1.30967237055302E-009</v>
      </c>
      <c r="Q176" s="30" t="n">
        <f aca="false">IF(A176&lt;=Inputs!$C$24,Inputs!$C$29/Inputs!$C$24,0)</f>
        <v>0</v>
      </c>
      <c r="R176" s="30" t="n">
        <f aca="false">P176-Q176</f>
        <v>1.30967237055302E-009</v>
      </c>
      <c r="S176" s="10" t="str">
        <f aca="false">"FY "&amp;(YEAR(B176)-(MONTH(B176)&lt;4))&amp;"-"&amp;RIGHT(YEAR(B176)-(MONTH(B176)&lt;4)+1,2)</f>
        <v>FY 2039-40</v>
      </c>
    </row>
    <row r="177" customFormat="false" ht="15" hidden="false" customHeight="false" outlineLevel="0" collapsed="false">
      <c r="A177" s="22" t="n">
        <v>169</v>
      </c>
      <c r="B177" s="24" t="n">
        <f aca="false">EDATE(Inputs!$C$6,A177-1)</f>
        <v>51227</v>
      </c>
      <c r="C177" s="24" t="n">
        <f aca="false">EDATE(Inputs!$C$6,A177)-1</f>
        <v>51256</v>
      </c>
      <c r="D177" s="10" t="str">
        <f aca="false">IF(A177&lt;=Inputs!$C$7,"Yes","No")</f>
        <v>No</v>
      </c>
      <c r="E177" s="27" t="n">
        <f aca="false">IF(N(Inputs!$C$12)=0,1,(1+Inputs!$C$11)^INT((A177-1)/Inputs!$C$12))</f>
        <v>1.9799315994394</v>
      </c>
      <c r="F177" s="28" t="n">
        <f aca="false">IF(AND(D177="Yes",Inputs!$C$10="Advance",MOD(A177-1,Inputs!$C$22)=0),Inputs!$C$8*E177,0)</f>
        <v>0</v>
      </c>
      <c r="G177" s="28" t="n">
        <f aca="false">IF(AND(D177="Yes",Inputs!$C$10="Arrears",MOD(A177,Inputs!$C$22)=0),Inputs!$C$8*IF(N(Inputs!$C$12)=0,1,(1+Inputs!$C$11)^INT((A177-Inputs!$C$22)/Inputs!$C$12)),0)</f>
        <v>0</v>
      </c>
      <c r="H177" s="29" t="n">
        <f aca="false">1/(1+Inputs!$C$23)^(A177-1)</f>
        <v>0.280674095351918</v>
      </c>
      <c r="I177" s="29" t="n">
        <f aca="false">1/(1+Inputs!$C$23)^A177</f>
        <v>0.278559402098919</v>
      </c>
      <c r="J177" s="30" t="n">
        <f aca="false">F177*H177+G177*I177</f>
        <v>0</v>
      </c>
      <c r="K177" s="30" t="n">
        <f aca="false">M176</f>
        <v>-2.31665708150703E-009</v>
      </c>
      <c r="L177" s="30" t="n">
        <f aca="false">IF(D177="Yes",(K177-F177)*Inputs!$C$23,0)</f>
        <v>0</v>
      </c>
      <c r="M177" s="30" t="n">
        <f aca="false">K177-F177+L177-G177</f>
        <v>-2.31665708150703E-009</v>
      </c>
      <c r="N177" s="30" t="n">
        <f aca="false">F177+G177</f>
        <v>0</v>
      </c>
      <c r="O177" s="30" t="n">
        <f aca="false">N177-L177</f>
        <v>0</v>
      </c>
      <c r="P177" s="30" t="n">
        <f aca="false">R176</f>
        <v>1.30967237055302E-009</v>
      </c>
      <c r="Q177" s="30" t="n">
        <f aca="false">IF(A177&lt;=Inputs!$C$24,Inputs!$C$29/Inputs!$C$24,0)</f>
        <v>0</v>
      </c>
      <c r="R177" s="30" t="n">
        <f aca="false">P177-Q177</f>
        <v>1.30967237055302E-009</v>
      </c>
      <c r="S177" s="10" t="str">
        <f aca="false">"FY "&amp;(YEAR(B177)-(MONTH(B177)&lt;4))&amp;"-"&amp;RIGHT(YEAR(B177)-(MONTH(B177)&lt;4)+1,2)</f>
        <v>FY 2040-41</v>
      </c>
    </row>
    <row r="178" customFormat="false" ht="15" hidden="false" customHeight="false" outlineLevel="0" collapsed="false">
      <c r="A178" s="22" t="n">
        <v>170</v>
      </c>
      <c r="B178" s="24" t="n">
        <f aca="false">EDATE(Inputs!$C$6,A178-1)</f>
        <v>51257</v>
      </c>
      <c r="C178" s="24" t="n">
        <f aca="false">EDATE(Inputs!$C$6,A178)-1</f>
        <v>51287</v>
      </c>
      <c r="D178" s="10" t="str">
        <f aca="false">IF(A178&lt;=Inputs!$C$7,"Yes","No")</f>
        <v>No</v>
      </c>
      <c r="E178" s="27" t="n">
        <f aca="false">IF(N(Inputs!$C$12)=0,1,(1+Inputs!$C$11)^INT((A178-1)/Inputs!$C$12))</f>
        <v>1.9799315994394</v>
      </c>
      <c r="F178" s="28" t="n">
        <f aca="false">IF(AND(D178="Yes",Inputs!$C$10="Advance",MOD(A178-1,Inputs!$C$22)=0),Inputs!$C$8*E178,0)</f>
        <v>0</v>
      </c>
      <c r="G178" s="28" t="n">
        <f aca="false">IF(AND(D178="Yes",Inputs!$C$10="Arrears",MOD(A178,Inputs!$C$22)=0),Inputs!$C$8*IF(N(Inputs!$C$12)=0,1,(1+Inputs!$C$11)^INT((A178-Inputs!$C$22)/Inputs!$C$12)),0)</f>
        <v>0</v>
      </c>
      <c r="H178" s="29" t="n">
        <f aca="false">1/(1+Inputs!$C$23)^(A178-1)</f>
        <v>0.278559402098919</v>
      </c>
      <c r="I178" s="29" t="n">
        <f aca="false">1/(1+Inputs!$C$23)^A178</f>
        <v>0.276460641657778</v>
      </c>
      <c r="J178" s="30" t="n">
        <f aca="false">F178*H178+G178*I178</f>
        <v>0</v>
      </c>
      <c r="K178" s="30" t="n">
        <f aca="false">M177</f>
        <v>-2.31665708150703E-009</v>
      </c>
      <c r="L178" s="30" t="n">
        <f aca="false">IF(D178="Yes",(K178-F178)*Inputs!$C$23,0)</f>
        <v>0</v>
      </c>
      <c r="M178" s="30" t="n">
        <f aca="false">K178-F178+L178-G178</f>
        <v>-2.31665708150703E-009</v>
      </c>
      <c r="N178" s="30" t="n">
        <f aca="false">F178+G178</f>
        <v>0</v>
      </c>
      <c r="O178" s="30" t="n">
        <f aca="false">N178-L178</f>
        <v>0</v>
      </c>
      <c r="P178" s="30" t="n">
        <f aca="false">R177</f>
        <v>1.30967237055302E-009</v>
      </c>
      <c r="Q178" s="30" t="n">
        <f aca="false">IF(A178&lt;=Inputs!$C$24,Inputs!$C$29/Inputs!$C$24,0)</f>
        <v>0</v>
      </c>
      <c r="R178" s="30" t="n">
        <f aca="false">P178-Q178</f>
        <v>1.30967237055302E-009</v>
      </c>
      <c r="S178" s="10" t="str">
        <f aca="false">"FY "&amp;(YEAR(B178)-(MONTH(B178)&lt;4))&amp;"-"&amp;RIGHT(YEAR(B178)-(MONTH(B178)&lt;4)+1,2)</f>
        <v>FY 2040-41</v>
      </c>
    </row>
    <row r="179" customFormat="false" ht="15" hidden="false" customHeight="false" outlineLevel="0" collapsed="false">
      <c r="A179" s="22" t="n">
        <v>171</v>
      </c>
      <c r="B179" s="24" t="n">
        <f aca="false">EDATE(Inputs!$C$6,A179-1)</f>
        <v>51288</v>
      </c>
      <c r="C179" s="24" t="n">
        <f aca="false">EDATE(Inputs!$C$6,A179)-1</f>
        <v>51317</v>
      </c>
      <c r="D179" s="10" t="str">
        <f aca="false">IF(A179&lt;=Inputs!$C$7,"Yes","No")</f>
        <v>No</v>
      </c>
      <c r="E179" s="27" t="n">
        <f aca="false">IF(N(Inputs!$C$12)=0,1,(1+Inputs!$C$11)^INT((A179-1)/Inputs!$C$12))</f>
        <v>1.9799315994394</v>
      </c>
      <c r="F179" s="28" t="n">
        <f aca="false">IF(AND(D179="Yes",Inputs!$C$10="Advance",MOD(A179-1,Inputs!$C$22)=0),Inputs!$C$8*E179,0)</f>
        <v>0</v>
      </c>
      <c r="G179" s="28" t="n">
        <f aca="false">IF(AND(D179="Yes",Inputs!$C$10="Arrears",MOD(A179,Inputs!$C$22)=0),Inputs!$C$8*IF(N(Inputs!$C$12)=0,1,(1+Inputs!$C$11)^INT((A179-Inputs!$C$22)/Inputs!$C$12)),0)</f>
        <v>0</v>
      </c>
      <c r="H179" s="29" t="n">
        <f aca="false">1/(1+Inputs!$C$23)^(A179-1)</f>
        <v>0.276460641657778</v>
      </c>
      <c r="I179" s="29" t="n">
        <f aca="false">1/(1+Inputs!$C$23)^A179</f>
        <v>0.274377693985317</v>
      </c>
      <c r="J179" s="30" t="n">
        <f aca="false">F179*H179+G179*I179</f>
        <v>0</v>
      </c>
      <c r="K179" s="30" t="n">
        <f aca="false">M178</f>
        <v>-2.31665708150703E-009</v>
      </c>
      <c r="L179" s="30" t="n">
        <f aca="false">IF(D179="Yes",(K179-F179)*Inputs!$C$23,0)</f>
        <v>0</v>
      </c>
      <c r="M179" s="30" t="n">
        <f aca="false">K179-F179+L179-G179</f>
        <v>-2.31665708150703E-009</v>
      </c>
      <c r="N179" s="30" t="n">
        <f aca="false">F179+G179</f>
        <v>0</v>
      </c>
      <c r="O179" s="30" t="n">
        <f aca="false">N179-L179</f>
        <v>0</v>
      </c>
      <c r="P179" s="30" t="n">
        <f aca="false">R178</f>
        <v>1.30967237055302E-009</v>
      </c>
      <c r="Q179" s="30" t="n">
        <f aca="false">IF(A179&lt;=Inputs!$C$24,Inputs!$C$29/Inputs!$C$24,0)</f>
        <v>0</v>
      </c>
      <c r="R179" s="30" t="n">
        <f aca="false">P179-Q179</f>
        <v>1.30967237055302E-009</v>
      </c>
      <c r="S179" s="10" t="str">
        <f aca="false">"FY "&amp;(YEAR(B179)-(MONTH(B179)&lt;4))&amp;"-"&amp;RIGHT(YEAR(B179)-(MONTH(B179)&lt;4)+1,2)</f>
        <v>FY 2040-41</v>
      </c>
    </row>
    <row r="180" customFormat="false" ht="15" hidden="false" customHeight="false" outlineLevel="0" collapsed="false">
      <c r="A180" s="22" t="n">
        <v>172</v>
      </c>
      <c r="B180" s="24" t="n">
        <f aca="false">EDATE(Inputs!$C$6,A180-1)</f>
        <v>51318</v>
      </c>
      <c r="C180" s="24" t="n">
        <f aca="false">EDATE(Inputs!$C$6,A180)-1</f>
        <v>51348</v>
      </c>
      <c r="D180" s="10" t="str">
        <f aca="false">IF(A180&lt;=Inputs!$C$7,"Yes","No")</f>
        <v>No</v>
      </c>
      <c r="E180" s="27" t="n">
        <f aca="false">IF(N(Inputs!$C$12)=0,1,(1+Inputs!$C$11)^INT((A180-1)/Inputs!$C$12))</f>
        <v>1.9799315994394</v>
      </c>
      <c r="F180" s="28" t="n">
        <f aca="false">IF(AND(D180="Yes",Inputs!$C$10="Advance",MOD(A180-1,Inputs!$C$22)=0),Inputs!$C$8*E180,0)</f>
        <v>0</v>
      </c>
      <c r="G180" s="28" t="n">
        <f aca="false">IF(AND(D180="Yes",Inputs!$C$10="Arrears",MOD(A180,Inputs!$C$22)=0),Inputs!$C$8*IF(N(Inputs!$C$12)=0,1,(1+Inputs!$C$11)^INT((A180-Inputs!$C$22)/Inputs!$C$12)),0)</f>
        <v>0</v>
      </c>
      <c r="H180" s="29" t="n">
        <f aca="false">1/(1+Inputs!$C$23)^(A180-1)</f>
        <v>0.274377693985317</v>
      </c>
      <c r="I180" s="29" t="n">
        <f aca="false">1/(1+Inputs!$C$23)^A180</f>
        <v>0.272310439942808</v>
      </c>
      <c r="J180" s="30" t="n">
        <f aca="false">F180*H180+G180*I180</f>
        <v>0</v>
      </c>
      <c r="K180" s="30" t="n">
        <f aca="false">M179</f>
        <v>-2.31665708150703E-009</v>
      </c>
      <c r="L180" s="30" t="n">
        <f aca="false">IF(D180="Yes",(K180-F180)*Inputs!$C$23,0)</f>
        <v>0</v>
      </c>
      <c r="M180" s="30" t="n">
        <f aca="false">K180-F180+L180-G180</f>
        <v>-2.31665708150703E-009</v>
      </c>
      <c r="N180" s="30" t="n">
        <f aca="false">F180+G180</f>
        <v>0</v>
      </c>
      <c r="O180" s="30" t="n">
        <f aca="false">N180-L180</f>
        <v>0</v>
      </c>
      <c r="P180" s="30" t="n">
        <f aca="false">R179</f>
        <v>1.30967237055302E-009</v>
      </c>
      <c r="Q180" s="30" t="n">
        <f aca="false">IF(A180&lt;=Inputs!$C$24,Inputs!$C$29/Inputs!$C$24,0)</f>
        <v>0</v>
      </c>
      <c r="R180" s="30" t="n">
        <f aca="false">P180-Q180</f>
        <v>1.30967237055302E-009</v>
      </c>
      <c r="S180" s="10" t="str">
        <f aca="false">"FY "&amp;(YEAR(B180)-(MONTH(B180)&lt;4))&amp;"-"&amp;RIGHT(YEAR(B180)-(MONTH(B180)&lt;4)+1,2)</f>
        <v>FY 2040-41</v>
      </c>
    </row>
    <row r="181" customFormat="false" ht="15" hidden="false" customHeight="false" outlineLevel="0" collapsed="false">
      <c r="A181" s="22" t="n">
        <v>173</v>
      </c>
      <c r="B181" s="24" t="n">
        <f aca="false">EDATE(Inputs!$C$6,A181-1)</f>
        <v>51349</v>
      </c>
      <c r="C181" s="24" t="n">
        <f aca="false">EDATE(Inputs!$C$6,A181)-1</f>
        <v>51379</v>
      </c>
      <c r="D181" s="10" t="str">
        <f aca="false">IF(A181&lt;=Inputs!$C$7,"Yes","No")</f>
        <v>No</v>
      </c>
      <c r="E181" s="27" t="n">
        <f aca="false">IF(N(Inputs!$C$12)=0,1,(1+Inputs!$C$11)^INT((A181-1)/Inputs!$C$12))</f>
        <v>1.9799315994394</v>
      </c>
      <c r="F181" s="28" t="n">
        <f aca="false">IF(AND(D181="Yes",Inputs!$C$10="Advance",MOD(A181-1,Inputs!$C$22)=0),Inputs!$C$8*E181,0)</f>
        <v>0</v>
      </c>
      <c r="G181" s="28" t="n">
        <f aca="false">IF(AND(D181="Yes",Inputs!$C$10="Arrears",MOD(A181,Inputs!$C$22)=0),Inputs!$C$8*IF(N(Inputs!$C$12)=0,1,(1+Inputs!$C$11)^INT((A181-Inputs!$C$22)/Inputs!$C$12)),0)</f>
        <v>0</v>
      </c>
      <c r="H181" s="29" t="n">
        <f aca="false">1/(1+Inputs!$C$23)^(A181-1)</f>
        <v>0.272310439942808</v>
      </c>
      <c r="I181" s="29" t="n">
        <f aca="false">1/(1+Inputs!$C$23)^A181</f>
        <v>0.270258761289151</v>
      </c>
      <c r="J181" s="30" t="n">
        <f aca="false">F181*H181+G181*I181</f>
        <v>0</v>
      </c>
      <c r="K181" s="30" t="n">
        <f aca="false">M180</f>
        <v>-2.31665708150703E-009</v>
      </c>
      <c r="L181" s="30" t="n">
        <f aca="false">IF(D181="Yes",(K181-F181)*Inputs!$C$23,0)</f>
        <v>0</v>
      </c>
      <c r="M181" s="30" t="n">
        <f aca="false">K181-F181+L181-G181</f>
        <v>-2.31665708150703E-009</v>
      </c>
      <c r="N181" s="30" t="n">
        <f aca="false">F181+G181</f>
        <v>0</v>
      </c>
      <c r="O181" s="30" t="n">
        <f aca="false">N181-L181</f>
        <v>0</v>
      </c>
      <c r="P181" s="30" t="n">
        <f aca="false">R180</f>
        <v>1.30967237055302E-009</v>
      </c>
      <c r="Q181" s="30" t="n">
        <f aca="false">IF(A181&lt;=Inputs!$C$24,Inputs!$C$29/Inputs!$C$24,0)</f>
        <v>0</v>
      </c>
      <c r="R181" s="30" t="n">
        <f aca="false">P181-Q181</f>
        <v>1.30967237055302E-009</v>
      </c>
      <c r="S181" s="10" t="str">
        <f aca="false">"FY "&amp;(YEAR(B181)-(MONTH(B181)&lt;4))&amp;"-"&amp;RIGHT(YEAR(B181)-(MONTH(B181)&lt;4)+1,2)</f>
        <v>FY 2040-41</v>
      </c>
    </row>
    <row r="182" customFormat="false" ht="15" hidden="false" customHeight="false" outlineLevel="0" collapsed="false">
      <c r="A182" s="22" t="n">
        <v>174</v>
      </c>
      <c r="B182" s="24" t="n">
        <f aca="false">EDATE(Inputs!$C$6,A182-1)</f>
        <v>51380</v>
      </c>
      <c r="C182" s="24" t="n">
        <f aca="false">EDATE(Inputs!$C$6,A182)-1</f>
        <v>51409</v>
      </c>
      <c r="D182" s="10" t="str">
        <f aca="false">IF(A182&lt;=Inputs!$C$7,"Yes","No")</f>
        <v>No</v>
      </c>
      <c r="E182" s="27" t="n">
        <f aca="false">IF(N(Inputs!$C$12)=0,1,(1+Inputs!$C$11)^INT((A182-1)/Inputs!$C$12))</f>
        <v>1.9799315994394</v>
      </c>
      <c r="F182" s="28" t="n">
        <f aca="false">IF(AND(D182="Yes",Inputs!$C$10="Advance",MOD(A182-1,Inputs!$C$22)=0),Inputs!$C$8*E182,0)</f>
        <v>0</v>
      </c>
      <c r="G182" s="28" t="n">
        <f aca="false">IF(AND(D182="Yes",Inputs!$C$10="Arrears",MOD(A182,Inputs!$C$22)=0),Inputs!$C$8*IF(N(Inputs!$C$12)=0,1,(1+Inputs!$C$11)^INT((A182-Inputs!$C$22)/Inputs!$C$12)),0)</f>
        <v>0</v>
      </c>
      <c r="H182" s="29" t="n">
        <f aca="false">1/(1+Inputs!$C$23)^(A182-1)</f>
        <v>0.270258761289151</v>
      </c>
      <c r="I182" s="29" t="n">
        <f aca="false">1/(1+Inputs!$C$23)^A182</f>
        <v>0.268222540674116</v>
      </c>
      <c r="J182" s="30" t="n">
        <f aca="false">F182*H182+G182*I182</f>
        <v>0</v>
      </c>
      <c r="K182" s="30" t="n">
        <f aca="false">M181</f>
        <v>-2.31665708150703E-009</v>
      </c>
      <c r="L182" s="30" t="n">
        <f aca="false">IF(D182="Yes",(K182-F182)*Inputs!$C$23,0)</f>
        <v>0</v>
      </c>
      <c r="M182" s="30" t="n">
        <f aca="false">K182-F182+L182-G182</f>
        <v>-2.31665708150703E-009</v>
      </c>
      <c r="N182" s="30" t="n">
        <f aca="false">F182+G182</f>
        <v>0</v>
      </c>
      <c r="O182" s="30" t="n">
        <f aca="false">N182-L182</f>
        <v>0</v>
      </c>
      <c r="P182" s="30" t="n">
        <f aca="false">R181</f>
        <v>1.30967237055302E-009</v>
      </c>
      <c r="Q182" s="30" t="n">
        <f aca="false">IF(A182&lt;=Inputs!$C$24,Inputs!$C$29/Inputs!$C$24,0)</f>
        <v>0</v>
      </c>
      <c r="R182" s="30" t="n">
        <f aca="false">P182-Q182</f>
        <v>1.30967237055302E-009</v>
      </c>
      <c r="S182" s="10" t="str">
        <f aca="false">"FY "&amp;(YEAR(B182)-(MONTH(B182)&lt;4))&amp;"-"&amp;RIGHT(YEAR(B182)-(MONTH(B182)&lt;4)+1,2)</f>
        <v>FY 2040-41</v>
      </c>
    </row>
    <row r="183" customFormat="false" ht="15" hidden="false" customHeight="false" outlineLevel="0" collapsed="false">
      <c r="A183" s="22" t="n">
        <v>175</v>
      </c>
      <c r="B183" s="24" t="n">
        <f aca="false">EDATE(Inputs!$C$6,A183-1)</f>
        <v>51410</v>
      </c>
      <c r="C183" s="24" t="n">
        <f aca="false">EDATE(Inputs!$C$6,A183)-1</f>
        <v>51440</v>
      </c>
      <c r="D183" s="10" t="str">
        <f aca="false">IF(A183&lt;=Inputs!$C$7,"Yes","No")</f>
        <v>No</v>
      </c>
      <c r="E183" s="27" t="n">
        <f aca="false">IF(N(Inputs!$C$12)=0,1,(1+Inputs!$C$11)^INT((A183-1)/Inputs!$C$12))</f>
        <v>1.9799315994394</v>
      </c>
      <c r="F183" s="28" t="n">
        <f aca="false">IF(AND(D183="Yes",Inputs!$C$10="Advance",MOD(A183-1,Inputs!$C$22)=0),Inputs!$C$8*E183,0)</f>
        <v>0</v>
      </c>
      <c r="G183" s="28" t="n">
        <f aca="false">IF(AND(D183="Yes",Inputs!$C$10="Arrears",MOD(A183,Inputs!$C$22)=0),Inputs!$C$8*IF(N(Inputs!$C$12)=0,1,(1+Inputs!$C$11)^INT((A183-Inputs!$C$22)/Inputs!$C$12)),0)</f>
        <v>0</v>
      </c>
      <c r="H183" s="29" t="n">
        <f aca="false">1/(1+Inputs!$C$23)^(A183-1)</f>
        <v>0.268222540674116</v>
      </c>
      <c r="I183" s="29" t="n">
        <f aca="false">1/(1+Inputs!$C$23)^A183</f>
        <v>0.26620166163163</v>
      </c>
      <c r="J183" s="30" t="n">
        <f aca="false">F183*H183+G183*I183</f>
        <v>0</v>
      </c>
      <c r="K183" s="30" t="n">
        <f aca="false">M182</f>
        <v>-2.31665708150703E-009</v>
      </c>
      <c r="L183" s="30" t="n">
        <f aca="false">IF(D183="Yes",(K183-F183)*Inputs!$C$23,0)</f>
        <v>0</v>
      </c>
      <c r="M183" s="30" t="n">
        <f aca="false">K183-F183+L183-G183</f>
        <v>-2.31665708150703E-009</v>
      </c>
      <c r="N183" s="30" t="n">
        <f aca="false">F183+G183</f>
        <v>0</v>
      </c>
      <c r="O183" s="30" t="n">
        <f aca="false">N183-L183</f>
        <v>0</v>
      </c>
      <c r="P183" s="30" t="n">
        <f aca="false">R182</f>
        <v>1.30967237055302E-009</v>
      </c>
      <c r="Q183" s="30" t="n">
        <f aca="false">IF(A183&lt;=Inputs!$C$24,Inputs!$C$29/Inputs!$C$24,0)</f>
        <v>0</v>
      </c>
      <c r="R183" s="30" t="n">
        <f aca="false">P183-Q183</f>
        <v>1.30967237055302E-009</v>
      </c>
      <c r="S183" s="10" t="str">
        <f aca="false">"FY "&amp;(YEAR(B183)-(MONTH(B183)&lt;4))&amp;"-"&amp;RIGHT(YEAR(B183)-(MONTH(B183)&lt;4)+1,2)</f>
        <v>FY 2040-41</v>
      </c>
    </row>
    <row r="184" customFormat="false" ht="15" hidden="false" customHeight="false" outlineLevel="0" collapsed="false">
      <c r="A184" s="22" t="n">
        <v>176</v>
      </c>
      <c r="B184" s="24" t="n">
        <f aca="false">EDATE(Inputs!$C$6,A184-1)</f>
        <v>51441</v>
      </c>
      <c r="C184" s="24" t="n">
        <f aca="false">EDATE(Inputs!$C$6,A184)-1</f>
        <v>51470</v>
      </c>
      <c r="D184" s="10" t="str">
        <f aca="false">IF(A184&lt;=Inputs!$C$7,"Yes","No")</f>
        <v>No</v>
      </c>
      <c r="E184" s="27" t="n">
        <f aca="false">IF(N(Inputs!$C$12)=0,1,(1+Inputs!$C$11)^INT((A184-1)/Inputs!$C$12))</f>
        <v>1.9799315994394</v>
      </c>
      <c r="F184" s="28" t="n">
        <f aca="false">IF(AND(D184="Yes",Inputs!$C$10="Advance",MOD(A184-1,Inputs!$C$22)=0),Inputs!$C$8*E184,0)</f>
        <v>0</v>
      </c>
      <c r="G184" s="28" t="n">
        <f aca="false">IF(AND(D184="Yes",Inputs!$C$10="Arrears",MOD(A184,Inputs!$C$22)=0),Inputs!$C$8*IF(N(Inputs!$C$12)=0,1,(1+Inputs!$C$11)^INT((A184-Inputs!$C$22)/Inputs!$C$12)),0)</f>
        <v>0</v>
      </c>
      <c r="H184" s="29" t="n">
        <f aca="false">1/(1+Inputs!$C$23)^(A184-1)</f>
        <v>0.26620166163163</v>
      </c>
      <c r="I184" s="29" t="n">
        <f aca="false">1/(1+Inputs!$C$23)^A184</f>
        <v>0.264196008573112</v>
      </c>
      <c r="J184" s="30" t="n">
        <f aca="false">F184*H184+G184*I184</f>
        <v>0</v>
      </c>
      <c r="K184" s="30" t="n">
        <f aca="false">M183</f>
        <v>-2.31665708150703E-009</v>
      </c>
      <c r="L184" s="30" t="n">
        <f aca="false">IF(D184="Yes",(K184-F184)*Inputs!$C$23,0)</f>
        <v>0</v>
      </c>
      <c r="M184" s="30" t="n">
        <f aca="false">K184-F184+L184-G184</f>
        <v>-2.31665708150703E-009</v>
      </c>
      <c r="N184" s="30" t="n">
        <f aca="false">F184+G184</f>
        <v>0</v>
      </c>
      <c r="O184" s="30" t="n">
        <f aca="false">N184-L184</f>
        <v>0</v>
      </c>
      <c r="P184" s="30" t="n">
        <f aca="false">R183</f>
        <v>1.30967237055302E-009</v>
      </c>
      <c r="Q184" s="30" t="n">
        <f aca="false">IF(A184&lt;=Inputs!$C$24,Inputs!$C$29/Inputs!$C$24,0)</f>
        <v>0</v>
      </c>
      <c r="R184" s="30" t="n">
        <f aca="false">P184-Q184</f>
        <v>1.30967237055302E-009</v>
      </c>
      <c r="S184" s="10" t="str">
        <f aca="false">"FY "&amp;(YEAR(B184)-(MONTH(B184)&lt;4))&amp;"-"&amp;RIGHT(YEAR(B184)-(MONTH(B184)&lt;4)+1,2)</f>
        <v>FY 2040-41</v>
      </c>
    </row>
    <row r="185" customFormat="false" ht="15" hidden="false" customHeight="false" outlineLevel="0" collapsed="false">
      <c r="A185" s="22" t="n">
        <v>177</v>
      </c>
      <c r="B185" s="24" t="n">
        <f aca="false">EDATE(Inputs!$C$6,A185-1)</f>
        <v>51471</v>
      </c>
      <c r="C185" s="24" t="n">
        <f aca="false">EDATE(Inputs!$C$6,A185)-1</f>
        <v>51501</v>
      </c>
      <c r="D185" s="10" t="str">
        <f aca="false">IF(A185&lt;=Inputs!$C$7,"Yes","No")</f>
        <v>No</v>
      </c>
      <c r="E185" s="27" t="n">
        <f aca="false">IF(N(Inputs!$C$12)=0,1,(1+Inputs!$C$11)^INT((A185-1)/Inputs!$C$12))</f>
        <v>1.9799315994394</v>
      </c>
      <c r="F185" s="28" t="n">
        <f aca="false">IF(AND(D185="Yes",Inputs!$C$10="Advance",MOD(A185-1,Inputs!$C$22)=0),Inputs!$C$8*E185,0)</f>
        <v>0</v>
      </c>
      <c r="G185" s="28" t="n">
        <f aca="false">IF(AND(D185="Yes",Inputs!$C$10="Arrears",MOD(A185,Inputs!$C$22)=0),Inputs!$C$8*IF(N(Inputs!$C$12)=0,1,(1+Inputs!$C$11)^INT((A185-Inputs!$C$22)/Inputs!$C$12)),0)</f>
        <v>0</v>
      </c>
      <c r="H185" s="29" t="n">
        <f aca="false">1/(1+Inputs!$C$23)^(A185-1)</f>
        <v>0.264196008573112</v>
      </c>
      <c r="I185" s="29" t="n">
        <f aca="false">1/(1+Inputs!$C$23)^A185</f>
        <v>0.262205466780867</v>
      </c>
      <c r="J185" s="30" t="n">
        <f aca="false">F185*H185+G185*I185</f>
        <v>0</v>
      </c>
      <c r="K185" s="30" t="n">
        <f aca="false">M184</f>
        <v>-2.31665708150703E-009</v>
      </c>
      <c r="L185" s="30" t="n">
        <f aca="false">IF(D185="Yes",(K185-F185)*Inputs!$C$23,0)</f>
        <v>0</v>
      </c>
      <c r="M185" s="30" t="n">
        <f aca="false">K185-F185+L185-G185</f>
        <v>-2.31665708150703E-009</v>
      </c>
      <c r="N185" s="30" t="n">
        <f aca="false">F185+G185</f>
        <v>0</v>
      </c>
      <c r="O185" s="30" t="n">
        <f aca="false">N185-L185</f>
        <v>0</v>
      </c>
      <c r="P185" s="30" t="n">
        <f aca="false">R184</f>
        <v>1.30967237055302E-009</v>
      </c>
      <c r="Q185" s="30" t="n">
        <f aca="false">IF(A185&lt;=Inputs!$C$24,Inputs!$C$29/Inputs!$C$24,0)</f>
        <v>0</v>
      </c>
      <c r="R185" s="30" t="n">
        <f aca="false">P185-Q185</f>
        <v>1.30967237055302E-009</v>
      </c>
      <c r="S185" s="10" t="str">
        <f aca="false">"FY "&amp;(YEAR(B185)-(MONTH(B185)&lt;4))&amp;"-"&amp;RIGHT(YEAR(B185)-(MONTH(B185)&lt;4)+1,2)</f>
        <v>FY 2040-41</v>
      </c>
    </row>
    <row r="186" customFormat="false" ht="15" hidden="false" customHeight="false" outlineLevel="0" collapsed="false">
      <c r="A186" s="22" t="n">
        <v>178</v>
      </c>
      <c r="B186" s="24" t="n">
        <f aca="false">EDATE(Inputs!$C$6,A186-1)</f>
        <v>51502</v>
      </c>
      <c r="C186" s="24" t="n">
        <f aca="false">EDATE(Inputs!$C$6,A186)-1</f>
        <v>51532</v>
      </c>
      <c r="D186" s="10" t="str">
        <f aca="false">IF(A186&lt;=Inputs!$C$7,"Yes","No")</f>
        <v>No</v>
      </c>
      <c r="E186" s="27" t="n">
        <f aca="false">IF(N(Inputs!$C$12)=0,1,(1+Inputs!$C$11)^INT((A186-1)/Inputs!$C$12))</f>
        <v>1.9799315994394</v>
      </c>
      <c r="F186" s="28" t="n">
        <f aca="false">IF(AND(D186="Yes",Inputs!$C$10="Advance",MOD(A186-1,Inputs!$C$22)=0),Inputs!$C$8*E186,0)</f>
        <v>0</v>
      </c>
      <c r="G186" s="28" t="n">
        <f aca="false">IF(AND(D186="Yes",Inputs!$C$10="Arrears",MOD(A186,Inputs!$C$22)=0),Inputs!$C$8*IF(N(Inputs!$C$12)=0,1,(1+Inputs!$C$11)^INT((A186-Inputs!$C$22)/Inputs!$C$12)),0)</f>
        <v>0</v>
      </c>
      <c r="H186" s="29" t="n">
        <f aca="false">1/(1+Inputs!$C$23)^(A186-1)</f>
        <v>0.262205466780867</v>
      </c>
      <c r="I186" s="29" t="n">
        <f aca="false">1/(1+Inputs!$C$23)^A186</f>
        <v>0.26022992240152</v>
      </c>
      <c r="J186" s="30" t="n">
        <f aca="false">F186*H186+G186*I186</f>
        <v>0</v>
      </c>
      <c r="K186" s="30" t="n">
        <f aca="false">M185</f>
        <v>-2.31665708150703E-009</v>
      </c>
      <c r="L186" s="30" t="n">
        <f aca="false">IF(D186="Yes",(K186-F186)*Inputs!$C$23,0)</f>
        <v>0</v>
      </c>
      <c r="M186" s="30" t="n">
        <f aca="false">K186-F186+L186-G186</f>
        <v>-2.31665708150703E-009</v>
      </c>
      <c r="N186" s="30" t="n">
        <f aca="false">F186+G186</f>
        <v>0</v>
      </c>
      <c r="O186" s="30" t="n">
        <f aca="false">N186-L186</f>
        <v>0</v>
      </c>
      <c r="P186" s="30" t="n">
        <f aca="false">R185</f>
        <v>1.30967237055302E-009</v>
      </c>
      <c r="Q186" s="30" t="n">
        <f aca="false">IF(A186&lt;=Inputs!$C$24,Inputs!$C$29/Inputs!$C$24,0)</f>
        <v>0</v>
      </c>
      <c r="R186" s="30" t="n">
        <f aca="false">P186-Q186</f>
        <v>1.30967237055302E-009</v>
      </c>
      <c r="S186" s="10" t="str">
        <f aca="false">"FY "&amp;(YEAR(B186)-(MONTH(B186)&lt;4))&amp;"-"&amp;RIGHT(YEAR(B186)-(MONTH(B186)&lt;4)+1,2)</f>
        <v>FY 2040-41</v>
      </c>
    </row>
    <row r="187" customFormat="false" ht="15" hidden="false" customHeight="false" outlineLevel="0" collapsed="false">
      <c r="A187" s="22" t="n">
        <v>179</v>
      </c>
      <c r="B187" s="24" t="n">
        <f aca="false">EDATE(Inputs!$C$6,A187-1)</f>
        <v>51533</v>
      </c>
      <c r="C187" s="24" t="n">
        <f aca="false">EDATE(Inputs!$C$6,A187)-1</f>
        <v>51560</v>
      </c>
      <c r="D187" s="10" t="str">
        <f aca="false">IF(A187&lt;=Inputs!$C$7,"Yes","No")</f>
        <v>No</v>
      </c>
      <c r="E187" s="27" t="n">
        <f aca="false">IF(N(Inputs!$C$12)=0,1,(1+Inputs!$C$11)^INT((A187-1)/Inputs!$C$12))</f>
        <v>1.9799315994394</v>
      </c>
      <c r="F187" s="28" t="n">
        <f aca="false">IF(AND(D187="Yes",Inputs!$C$10="Advance",MOD(A187-1,Inputs!$C$22)=0),Inputs!$C$8*E187,0)</f>
        <v>0</v>
      </c>
      <c r="G187" s="28" t="n">
        <f aca="false">IF(AND(D187="Yes",Inputs!$C$10="Arrears",MOD(A187,Inputs!$C$22)=0),Inputs!$C$8*IF(N(Inputs!$C$12)=0,1,(1+Inputs!$C$11)^INT((A187-Inputs!$C$22)/Inputs!$C$12)),0)</f>
        <v>0</v>
      </c>
      <c r="H187" s="29" t="n">
        <f aca="false">1/(1+Inputs!$C$23)^(A187-1)</f>
        <v>0.26022992240152</v>
      </c>
      <c r="I187" s="29" t="n">
        <f aca="false">1/(1+Inputs!$C$23)^A187</f>
        <v>0.258269262439507</v>
      </c>
      <c r="J187" s="30" t="n">
        <f aca="false">F187*H187+G187*I187</f>
        <v>0</v>
      </c>
      <c r="K187" s="30" t="n">
        <f aca="false">M186</f>
        <v>-2.31665708150703E-009</v>
      </c>
      <c r="L187" s="30" t="n">
        <f aca="false">IF(D187="Yes",(K187-F187)*Inputs!$C$23,0)</f>
        <v>0</v>
      </c>
      <c r="M187" s="30" t="n">
        <f aca="false">K187-F187+L187-G187</f>
        <v>-2.31665708150703E-009</v>
      </c>
      <c r="N187" s="30" t="n">
        <f aca="false">F187+G187</f>
        <v>0</v>
      </c>
      <c r="O187" s="30" t="n">
        <f aca="false">N187-L187</f>
        <v>0</v>
      </c>
      <c r="P187" s="30" t="n">
        <f aca="false">R186</f>
        <v>1.30967237055302E-009</v>
      </c>
      <c r="Q187" s="30" t="n">
        <f aca="false">IF(A187&lt;=Inputs!$C$24,Inputs!$C$29/Inputs!$C$24,0)</f>
        <v>0</v>
      </c>
      <c r="R187" s="30" t="n">
        <f aca="false">P187-Q187</f>
        <v>1.30967237055302E-009</v>
      </c>
      <c r="S187" s="10" t="str">
        <f aca="false">"FY "&amp;(YEAR(B187)-(MONTH(B187)&lt;4))&amp;"-"&amp;RIGHT(YEAR(B187)-(MONTH(B187)&lt;4)+1,2)</f>
        <v>FY 2040-41</v>
      </c>
    </row>
    <row r="188" customFormat="false" ht="15" hidden="false" customHeight="false" outlineLevel="0" collapsed="false">
      <c r="A188" s="22" t="n">
        <v>180</v>
      </c>
      <c r="B188" s="24" t="n">
        <f aca="false">EDATE(Inputs!$C$6,A188-1)</f>
        <v>51561</v>
      </c>
      <c r="C188" s="24" t="n">
        <f aca="false">EDATE(Inputs!$C$6,A188)-1</f>
        <v>51591</v>
      </c>
      <c r="D188" s="10" t="str">
        <f aca="false">IF(A188&lt;=Inputs!$C$7,"Yes","No")</f>
        <v>No</v>
      </c>
      <c r="E188" s="27" t="n">
        <f aca="false">IF(N(Inputs!$C$12)=0,1,(1+Inputs!$C$11)^INT((A188-1)/Inputs!$C$12))</f>
        <v>1.9799315994394</v>
      </c>
      <c r="F188" s="28" t="n">
        <f aca="false">IF(AND(D188="Yes",Inputs!$C$10="Advance",MOD(A188-1,Inputs!$C$22)=0),Inputs!$C$8*E188,0)</f>
        <v>0</v>
      </c>
      <c r="G188" s="28" t="n">
        <f aca="false">IF(AND(D188="Yes",Inputs!$C$10="Arrears",MOD(A188,Inputs!$C$22)=0),Inputs!$C$8*IF(N(Inputs!$C$12)=0,1,(1+Inputs!$C$11)^INT((A188-Inputs!$C$22)/Inputs!$C$12)),0)</f>
        <v>0</v>
      </c>
      <c r="H188" s="29" t="n">
        <f aca="false">1/(1+Inputs!$C$23)^(A188-1)</f>
        <v>0.258269262439507</v>
      </c>
      <c r="I188" s="29" t="n">
        <f aca="false">1/(1+Inputs!$C$23)^A188</f>
        <v>0.25632337475061</v>
      </c>
      <c r="J188" s="30" t="n">
        <f aca="false">F188*H188+G188*I188</f>
        <v>0</v>
      </c>
      <c r="K188" s="30" t="n">
        <f aca="false">M187</f>
        <v>-2.31665708150703E-009</v>
      </c>
      <c r="L188" s="30" t="n">
        <f aca="false">IF(D188="Yes",(K188-F188)*Inputs!$C$23,0)</f>
        <v>0</v>
      </c>
      <c r="M188" s="30" t="n">
        <f aca="false">K188-F188+L188-G188</f>
        <v>-2.31665708150703E-009</v>
      </c>
      <c r="N188" s="30" t="n">
        <f aca="false">F188+G188</f>
        <v>0</v>
      </c>
      <c r="O188" s="30" t="n">
        <f aca="false">N188-L188</f>
        <v>0</v>
      </c>
      <c r="P188" s="30" t="n">
        <f aca="false">R187</f>
        <v>1.30967237055302E-009</v>
      </c>
      <c r="Q188" s="30" t="n">
        <f aca="false">IF(A188&lt;=Inputs!$C$24,Inputs!$C$29/Inputs!$C$24,0)</f>
        <v>0</v>
      </c>
      <c r="R188" s="30" t="n">
        <f aca="false">P188-Q188</f>
        <v>1.30967237055302E-009</v>
      </c>
      <c r="S188" s="10" t="str">
        <f aca="false">"FY "&amp;(YEAR(B188)-(MONTH(B188)&lt;4))&amp;"-"&amp;RIGHT(YEAR(B188)-(MONTH(B188)&lt;4)+1,2)</f>
        <v>FY 2040-41</v>
      </c>
    </row>
    <row r="189" customFormat="false" ht="15" hidden="false" customHeight="false" outlineLevel="0" collapsed="false">
      <c r="A189" s="22" t="n">
        <v>181</v>
      </c>
      <c r="B189" s="24" t="n">
        <f aca="false">EDATE(Inputs!$C$6,A189-1)</f>
        <v>51592</v>
      </c>
      <c r="C189" s="24" t="n">
        <f aca="false">EDATE(Inputs!$C$6,A189)-1</f>
        <v>51621</v>
      </c>
      <c r="D189" s="10" t="str">
        <f aca="false">IF(A189&lt;=Inputs!$C$7,"Yes","No")</f>
        <v>No</v>
      </c>
      <c r="E189" s="27" t="n">
        <f aca="false">IF(N(Inputs!$C$12)=0,1,(1+Inputs!$C$11)^INT((A189-1)/Inputs!$C$12))</f>
        <v>2.07892817941137</v>
      </c>
      <c r="F189" s="28" t="n">
        <f aca="false">IF(AND(D189="Yes",Inputs!$C$10="Advance",MOD(A189-1,Inputs!$C$22)=0),Inputs!$C$8*E189,0)</f>
        <v>0</v>
      </c>
      <c r="G189" s="28" t="n">
        <f aca="false">IF(AND(D189="Yes",Inputs!$C$10="Arrears",MOD(A189,Inputs!$C$22)=0),Inputs!$C$8*IF(N(Inputs!$C$12)=0,1,(1+Inputs!$C$11)^INT((A189-Inputs!$C$22)/Inputs!$C$12)),0)</f>
        <v>0</v>
      </c>
      <c r="H189" s="29" t="n">
        <f aca="false">1/(1+Inputs!$C$23)^(A189-1)</f>
        <v>0.25632337475061</v>
      </c>
      <c r="I189" s="29" t="n">
        <f aca="false">1/(1+Inputs!$C$23)^A189</f>
        <v>0.254392148035543</v>
      </c>
      <c r="J189" s="30" t="n">
        <f aca="false">F189*H189+G189*I189</f>
        <v>0</v>
      </c>
      <c r="K189" s="30" t="n">
        <f aca="false">M188</f>
        <v>-2.31665708150703E-009</v>
      </c>
      <c r="L189" s="30" t="n">
        <f aca="false">IF(D189="Yes",(K189-F189)*Inputs!$C$23,0)</f>
        <v>0</v>
      </c>
      <c r="M189" s="30" t="n">
        <f aca="false">K189-F189+L189-G189</f>
        <v>-2.31665708150703E-009</v>
      </c>
      <c r="N189" s="30" t="n">
        <f aca="false">F189+G189</f>
        <v>0</v>
      </c>
      <c r="O189" s="30" t="n">
        <f aca="false">N189-L189</f>
        <v>0</v>
      </c>
      <c r="P189" s="30" t="n">
        <f aca="false">R188</f>
        <v>1.30967237055302E-009</v>
      </c>
      <c r="Q189" s="30" t="n">
        <f aca="false">IF(A189&lt;=Inputs!$C$24,Inputs!$C$29/Inputs!$C$24,0)</f>
        <v>0</v>
      </c>
      <c r="R189" s="30" t="n">
        <f aca="false">P189-Q189</f>
        <v>1.30967237055302E-009</v>
      </c>
      <c r="S189" s="10" t="str">
        <f aca="false">"FY "&amp;(YEAR(B189)-(MONTH(B189)&lt;4))&amp;"-"&amp;RIGHT(YEAR(B189)-(MONTH(B189)&lt;4)+1,2)</f>
        <v>FY 2041-42</v>
      </c>
    </row>
    <row r="190" customFormat="false" ht="15" hidden="false" customHeight="false" outlineLevel="0" collapsed="false">
      <c r="A190" s="22" t="n">
        <v>182</v>
      </c>
      <c r="B190" s="24" t="n">
        <f aca="false">EDATE(Inputs!$C$6,A190-1)</f>
        <v>51622</v>
      </c>
      <c r="C190" s="24" t="n">
        <f aca="false">EDATE(Inputs!$C$6,A190)-1</f>
        <v>51652</v>
      </c>
      <c r="D190" s="10" t="str">
        <f aca="false">IF(A190&lt;=Inputs!$C$7,"Yes","No")</f>
        <v>No</v>
      </c>
      <c r="E190" s="27" t="n">
        <f aca="false">IF(N(Inputs!$C$12)=0,1,(1+Inputs!$C$11)^INT((A190-1)/Inputs!$C$12))</f>
        <v>2.07892817941137</v>
      </c>
      <c r="F190" s="28" t="n">
        <f aca="false">IF(AND(D190="Yes",Inputs!$C$10="Advance",MOD(A190-1,Inputs!$C$22)=0),Inputs!$C$8*E190,0)</f>
        <v>0</v>
      </c>
      <c r="G190" s="28" t="n">
        <f aca="false">IF(AND(D190="Yes",Inputs!$C$10="Arrears",MOD(A190,Inputs!$C$22)=0),Inputs!$C$8*IF(N(Inputs!$C$12)=0,1,(1+Inputs!$C$11)^INT((A190-Inputs!$C$22)/Inputs!$C$12)),0)</f>
        <v>0</v>
      </c>
      <c r="H190" s="29" t="n">
        <f aca="false">1/(1+Inputs!$C$23)^(A190-1)</f>
        <v>0.254392148035543</v>
      </c>
      <c r="I190" s="29" t="n">
        <f aca="false">1/(1+Inputs!$C$23)^A190</f>
        <v>0.252475471833587</v>
      </c>
      <c r="J190" s="30" t="n">
        <f aca="false">F190*H190+G190*I190</f>
        <v>0</v>
      </c>
      <c r="K190" s="30" t="n">
        <f aca="false">M189</f>
        <v>-2.31665708150703E-009</v>
      </c>
      <c r="L190" s="30" t="n">
        <f aca="false">IF(D190="Yes",(K190-F190)*Inputs!$C$23,0)</f>
        <v>0</v>
      </c>
      <c r="M190" s="30" t="n">
        <f aca="false">K190-F190+L190-G190</f>
        <v>-2.31665708150703E-009</v>
      </c>
      <c r="N190" s="30" t="n">
        <f aca="false">F190+G190</f>
        <v>0</v>
      </c>
      <c r="O190" s="30" t="n">
        <f aca="false">N190-L190</f>
        <v>0</v>
      </c>
      <c r="P190" s="30" t="n">
        <f aca="false">R189</f>
        <v>1.30967237055302E-009</v>
      </c>
      <c r="Q190" s="30" t="n">
        <f aca="false">IF(A190&lt;=Inputs!$C$24,Inputs!$C$29/Inputs!$C$24,0)</f>
        <v>0</v>
      </c>
      <c r="R190" s="30" t="n">
        <f aca="false">P190-Q190</f>
        <v>1.30967237055302E-009</v>
      </c>
      <c r="S190" s="10" t="str">
        <f aca="false">"FY "&amp;(YEAR(B190)-(MONTH(B190)&lt;4))&amp;"-"&amp;RIGHT(YEAR(B190)-(MONTH(B190)&lt;4)+1,2)</f>
        <v>FY 2041-42</v>
      </c>
    </row>
    <row r="191" customFormat="false" ht="15" hidden="false" customHeight="false" outlineLevel="0" collapsed="false">
      <c r="A191" s="22" t="n">
        <v>183</v>
      </c>
      <c r="B191" s="24" t="n">
        <f aca="false">EDATE(Inputs!$C$6,A191-1)</f>
        <v>51653</v>
      </c>
      <c r="C191" s="24" t="n">
        <f aca="false">EDATE(Inputs!$C$6,A191)-1</f>
        <v>51682</v>
      </c>
      <c r="D191" s="10" t="str">
        <f aca="false">IF(A191&lt;=Inputs!$C$7,"Yes","No")</f>
        <v>No</v>
      </c>
      <c r="E191" s="27" t="n">
        <f aca="false">IF(N(Inputs!$C$12)=0,1,(1+Inputs!$C$11)^INT((A191-1)/Inputs!$C$12))</f>
        <v>2.07892817941137</v>
      </c>
      <c r="F191" s="28" t="n">
        <f aca="false">IF(AND(D191="Yes",Inputs!$C$10="Advance",MOD(A191-1,Inputs!$C$22)=0),Inputs!$C$8*E191,0)</f>
        <v>0</v>
      </c>
      <c r="G191" s="28" t="n">
        <f aca="false">IF(AND(D191="Yes",Inputs!$C$10="Arrears",MOD(A191,Inputs!$C$22)=0),Inputs!$C$8*IF(N(Inputs!$C$12)=0,1,(1+Inputs!$C$11)^INT((A191-Inputs!$C$22)/Inputs!$C$12)),0)</f>
        <v>0</v>
      </c>
      <c r="H191" s="29" t="n">
        <f aca="false">1/(1+Inputs!$C$23)^(A191-1)</f>
        <v>0.252475471833587</v>
      </c>
      <c r="I191" s="29" t="n">
        <f aca="false">1/(1+Inputs!$C$23)^A191</f>
        <v>0.250573236516272</v>
      </c>
      <c r="J191" s="30" t="n">
        <f aca="false">F191*H191+G191*I191</f>
        <v>0</v>
      </c>
      <c r="K191" s="30" t="n">
        <f aca="false">M190</f>
        <v>-2.31665708150703E-009</v>
      </c>
      <c r="L191" s="30" t="n">
        <f aca="false">IF(D191="Yes",(K191-F191)*Inputs!$C$23,0)</f>
        <v>0</v>
      </c>
      <c r="M191" s="30" t="n">
        <f aca="false">K191-F191+L191-G191</f>
        <v>-2.31665708150703E-009</v>
      </c>
      <c r="N191" s="30" t="n">
        <f aca="false">F191+G191</f>
        <v>0</v>
      </c>
      <c r="O191" s="30" t="n">
        <f aca="false">N191-L191</f>
        <v>0</v>
      </c>
      <c r="P191" s="30" t="n">
        <f aca="false">R190</f>
        <v>1.30967237055302E-009</v>
      </c>
      <c r="Q191" s="30" t="n">
        <f aca="false">IF(A191&lt;=Inputs!$C$24,Inputs!$C$29/Inputs!$C$24,0)</f>
        <v>0</v>
      </c>
      <c r="R191" s="30" t="n">
        <f aca="false">P191-Q191</f>
        <v>1.30967237055302E-009</v>
      </c>
      <c r="S191" s="10" t="str">
        <f aca="false">"FY "&amp;(YEAR(B191)-(MONTH(B191)&lt;4))&amp;"-"&amp;RIGHT(YEAR(B191)-(MONTH(B191)&lt;4)+1,2)</f>
        <v>FY 2041-42</v>
      </c>
    </row>
    <row r="192" customFormat="false" ht="15" hidden="false" customHeight="false" outlineLevel="0" collapsed="false">
      <c r="A192" s="22" t="n">
        <v>184</v>
      </c>
      <c r="B192" s="24" t="n">
        <f aca="false">EDATE(Inputs!$C$6,A192-1)</f>
        <v>51683</v>
      </c>
      <c r="C192" s="24" t="n">
        <f aca="false">EDATE(Inputs!$C$6,A192)-1</f>
        <v>51713</v>
      </c>
      <c r="D192" s="10" t="str">
        <f aca="false">IF(A192&lt;=Inputs!$C$7,"Yes","No")</f>
        <v>No</v>
      </c>
      <c r="E192" s="27" t="n">
        <f aca="false">IF(N(Inputs!$C$12)=0,1,(1+Inputs!$C$11)^INT((A192-1)/Inputs!$C$12))</f>
        <v>2.07892817941137</v>
      </c>
      <c r="F192" s="28" t="n">
        <f aca="false">IF(AND(D192="Yes",Inputs!$C$10="Advance",MOD(A192-1,Inputs!$C$22)=0),Inputs!$C$8*E192,0)</f>
        <v>0</v>
      </c>
      <c r="G192" s="28" t="n">
        <f aca="false">IF(AND(D192="Yes",Inputs!$C$10="Arrears",MOD(A192,Inputs!$C$22)=0),Inputs!$C$8*IF(N(Inputs!$C$12)=0,1,(1+Inputs!$C$11)^INT((A192-Inputs!$C$22)/Inputs!$C$12)),0)</f>
        <v>0</v>
      </c>
      <c r="H192" s="29" t="n">
        <f aca="false">1/(1+Inputs!$C$23)^(A192-1)</f>
        <v>0.250573236516272</v>
      </c>
      <c r="I192" s="29" t="n">
        <f aca="false">1/(1+Inputs!$C$23)^A192</f>
        <v>0.248685333281103</v>
      </c>
      <c r="J192" s="30" t="n">
        <f aca="false">F192*H192+G192*I192</f>
        <v>0</v>
      </c>
      <c r="K192" s="30" t="n">
        <f aca="false">M191</f>
        <v>-2.31665708150703E-009</v>
      </c>
      <c r="L192" s="30" t="n">
        <f aca="false">IF(D192="Yes",(K192-F192)*Inputs!$C$23,0)</f>
        <v>0</v>
      </c>
      <c r="M192" s="30" t="n">
        <f aca="false">K192-F192+L192-G192</f>
        <v>-2.31665708150703E-009</v>
      </c>
      <c r="N192" s="30" t="n">
        <f aca="false">F192+G192</f>
        <v>0</v>
      </c>
      <c r="O192" s="30" t="n">
        <f aca="false">N192-L192</f>
        <v>0</v>
      </c>
      <c r="P192" s="30" t="n">
        <f aca="false">R191</f>
        <v>1.30967237055302E-009</v>
      </c>
      <c r="Q192" s="30" t="n">
        <f aca="false">IF(A192&lt;=Inputs!$C$24,Inputs!$C$29/Inputs!$C$24,0)</f>
        <v>0</v>
      </c>
      <c r="R192" s="30" t="n">
        <f aca="false">P192-Q192</f>
        <v>1.30967237055302E-009</v>
      </c>
      <c r="S192" s="10" t="str">
        <f aca="false">"FY "&amp;(YEAR(B192)-(MONTH(B192)&lt;4))&amp;"-"&amp;RIGHT(YEAR(B192)-(MONTH(B192)&lt;4)+1,2)</f>
        <v>FY 2041-42</v>
      </c>
    </row>
    <row r="193" customFormat="false" ht="15" hidden="false" customHeight="false" outlineLevel="0" collapsed="false">
      <c r="A193" s="22" t="n">
        <v>185</v>
      </c>
      <c r="B193" s="24" t="n">
        <f aca="false">EDATE(Inputs!$C$6,A193-1)</f>
        <v>51714</v>
      </c>
      <c r="C193" s="24" t="n">
        <f aca="false">EDATE(Inputs!$C$6,A193)-1</f>
        <v>51744</v>
      </c>
      <c r="D193" s="10" t="str">
        <f aca="false">IF(A193&lt;=Inputs!$C$7,"Yes","No")</f>
        <v>No</v>
      </c>
      <c r="E193" s="27" t="n">
        <f aca="false">IF(N(Inputs!$C$12)=0,1,(1+Inputs!$C$11)^INT((A193-1)/Inputs!$C$12))</f>
        <v>2.07892817941137</v>
      </c>
      <c r="F193" s="28" t="n">
        <f aca="false">IF(AND(D193="Yes",Inputs!$C$10="Advance",MOD(A193-1,Inputs!$C$22)=0),Inputs!$C$8*E193,0)</f>
        <v>0</v>
      </c>
      <c r="G193" s="28" t="n">
        <f aca="false">IF(AND(D193="Yes",Inputs!$C$10="Arrears",MOD(A193,Inputs!$C$22)=0),Inputs!$C$8*IF(N(Inputs!$C$12)=0,1,(1+Inputs!$C$11)^INT((A193-Inputs!$C$22)/Inputs!$C$12)),0)</f>
        <v>0</v>
      </c>
      <c r="H193" s="29" t="n">
        <f aca="false">1/(1+Inputs!$C$23)^(A193-1)</f>
        <v>0.248685333281103</v>
      </c>
      <c r="I193" s="29" t="n">
        <f aca="false">1/(1+Inputs!$C$23)^A193</f>
        <v>0.246811654145344</v>
      </c>
      <c r="J193" s="30" t="n">
        <f aca="false">F193*H193+G193*I193</f>
        <v>0</v>
      </c>
      <c r="K193" s="30" t="n">
        <f aca="false">M192</f>
        <v>-2.31665708150703E-009</v>
      </c>
      <c r="L193" s="30" t="n">
        <f aca="false">IF(D193="Yes",(K193-F193)*Inputs!$C$23,0)</f>
        <v>0</v>
      </c>
      <c r="M193" s="30" t="n">
        <f aca="false">K193-F193+L193-G193</f>
        <v>-2.31665708150703E-009</v>
      </c>
      <c r="N193" s="30" t="n">
        <f aca="false">F193+G193</f>
        <v>0</v>
      </c>
      <c r="O193" s="30" t="n">
        <f aca="false">N193-L193</f>
        <v>0</v>
      </c>
      <c r="P193" s="30" t="n">
        <f aca="false">R192</f>
        <v>1.30967237055302E-009</v>
      </c>
      <c r="Q193" s="30" t="n">
        <f aca="false">IF(A193&lt;=Inputs!$C$24,Inputs!$C$29/Inputs!$C$24,0)</f>
        <v>0</v>
      </c>
      <c r="R193" s="30" t="n">
        <f aca="false">P193-Q193</f>
        <v>1.30967237055302E-009</v>
      </c>
      <c r="S193" s="10" t="str">
        <f aca="false">"FY "&amp;(YEAR(B193)-(MONTH(B193)&lt;4))&amp;"-"&amp;RIGHT(YEAR(B193)-(MONTH(B193)&lt;4)+1,2)</f>
        <v>FY 2041-42</v>
      </c>
    </row>
    <row r="194" customFormat="false" ht="15" hidden="false" customHeight="false" outlineLevel="0" collapsed="false">
      <c r="A194" s="22" t="n">
        <v>186</v>
      </c>
      <c r="B194" s="24" t="n">
        <f aca="false">EDATE(Inputs!$C$6,A194-1)</f>
        <v>51745</v>
      </c>
      <c r="C194" s="24" t="n">
        <f aca="false">EDATE(Inputs!$C$6,A194)-1</f>
        <v>51774</v>
      </c>
      <c r="D194" s="10" t="str">
        <f aca="false">IF(A194&lt;=Inputs!$C$7,"Yes","No")</f>
        <v>No</v>
      </c>
      <c r="E194" s="27" t="n">
        <f aca="false">IF(N(Inputs!$C$12)=0,1,(1+Inputs!$C$11)^INT((A194-1)/Inputs!$C$12))</f>
        <v>2.07892817941137</v>
      </c>
      <c r="F194" s="28" t="n">
        <f aca="false">IF(AND(D194="Yes",Inputs!$C$10="Advance",MOD(A194-1,Inputs!$C$22)=0),Inputs!$C$8*E194,0)</f>
        <v>0</v>
      </c>
      <c r="G194" s="28" t="n">
        <f aca="false">IF(AND(D194="Yes",Inputs!$C$10="Arrears",MOD(A194,Inputs!$C$22)=0),Inputs!$C$8*IF(N(Inputs!$C$12)=0,1,(1+Inputs!$C$11)^INT((A194-Inputs!$C$22)/Inputs!$C$12)),0)</f>
        <v>0</v>
      </c>
      <c r="H194" s="29" t="n">
        <f aca="false">1/(1+Inputs!$C$23)^(A194-1)</f>
        <v>0.246811654145344</v>
      </c>
      <c r="I194" s="29" t="n">
        <f aca="false">1/(1+Inputs!$C$23)^A194</f>
        <v>0.244952091939832</v>
      </c>
      <c r="J194" s="30" t="n">
        <f aca="false">F194*H194+G194*I194</f>
        <v>0</v>
      </c>
      <c r="K194" s="30" t="n">
        <f aca="false">M193</f>
        <v>-2.31665708150703E-009</v>
      </c>
      <c r="L194" s="30" t="n">
        <f aca="false">IF(D194="Yes",(K194-F194)*Inputs!$C$23,0)</f>
        <v>0</v>
      </c>
      <c r="M194" s="30" t="n">
        <f aca="false">K194-F194+L194-G194</f>
        <v>-2.31665708150703E-009</v>
      </c>
      <c r="N194" s="30" t="n">
        <f aca="false">F194+G194</f>
        <v>0</v>
      </c>
      <c r="O194" s="30" t="n">
        <f aca="false">N194-L194</f>
        <v>0</v>
      </c>
      <c r="P194" s="30" t="n">
        <f aca="false">R193</f>
        <v>1.30967237055302E-009</v>
      </c>
      <c r="Q194" s="30" t="n">
        <f aca="false">IF(A194&lt;=Inputs!$C$24,Inputs!$C$29/Inputs!$C$24,0)</f>
        <v>0</v>
      </c>
      <c r="R194" s="30" t="n">
        <f aca="false">P194-Q194</f>
        <v>1.30967237055302E-009</v>
      </c>
      <c r="S194" s="10" t="str">
        <f aca="false">"FY "&amp;(YEAR(B194)-(MONTH(B194)&lt;4))&amp;"-"&amp;RIGHT(YEAR(B194)-(MONTH(B194)&lt;4)+1,2)</f>
        <v>FY 2041-42</v>
      </c>
    </row>
    <row r="195" customFormat="false" ht="15" hidden="false" customHeight="false" outlineLevel="0" collapsed="false">
      <c r="A195" s="22" t="n">
        <v>187</v>
      </c>
      <c r="B195" s="24" t="n">
        <f aca="false">EDATE(Inputs!$C$6,A195-1)</f>
        <v>51775</v>
      </c>
      <c r="C195" s="24" t="n">
        <f aca="false">EDATE(Inputs!$C$6,A195)-1</f>
        <v>51805</v>
      </c>
      <c r="D195" s="10" t="str">
        <f aca="false">IF(A195&lt;=Inputs!$C$7,"Yes","No")</f>
        <v>No</v>
      </c>
      <c r="E195" s="27" t="n">
        <f aca="false">IF(N(Inputs!$C$12)=0,1,(1+Inputs!$C$11)^INT((A195-1)/Inputs!$C$12))</f>
        <v>2.07892817941137</v>
      </c>
      <c r="F195" s="28" t="n">
        <f aca="false">IF(AND(D195="Yes",Inputs!$C$10="Advance",MOD(A195-1,Inputs!$C$22)=0),Inputs!$C$8*E195,0)</f>
        <v>0</v>
      </c>
      <c r="G195" s="28" t="n">
        <f aca="false">IF(AND(D195="Yes",Inputs!$C$10="Arrears",MOD(A195,Inputs!$C$22)=0),Inputs!$C$8*IF(N(Inputs!$C$12)=0,1,(1+Inputs!$C$11)^INT((A195-Inputs!$C$22)/Inputs!$C$12)),0)</f>
        <v>0</v>
      </c>
      <c r="H195" s="29" t="n">
        <f aca="false">1/(1+Inputs!$C$23)^(A195-1)</f>
        <v>0.244952091939832</v>
      </c>
      <c r="I195" s="29" t="n">
        <f aca="false">1/(1+Inputs!$C$23)^A195</f>
        <v>0.243106540302858</v>
      </c>
      <c r="J195" s="30" t="n">
        <f aca="false">F195*H195+G195*I195</f>
        <v>0</v>
      </c>
      <c r="K195" s="30" t="n">
        <f aca="false">M194</f>
        <v>-2.31665708150703E-009</v>
      </c>
      <c r="L195" s="30" t="n">
        <f aca="false">IF(D195="Yes",(K195-F195)*Inputs!$C$23,0)</f>
        <v>0</v>
      </c>
      <c r="M195" s="30" t="n">
        <f aca="false">K195-F195+L195-G195</f>
        <v>-2.31665708150703E-009</v>
      </c>
      <c r="N195" s="30" t="n">
        <f aca="false">F195+G195</f>
        <v>0</v>
      </c>
      <c r="O195" s="30" t="n">
        <f aca="false">N195-L195</f>
        <v>0</v>
      </c>
      <c r="P195" s="30" t="n">
        <f aca="false">R194</f>
        <v>1.30967237055302E-009</v>
      </c>
      <c r="Q195" s="30" t="n">
        <f aca="false">IF(A195&lt;=Inputs!$C$24,Inputs!$C$29/Inputs!$C$24,0)</f>
        <v>0</v>
      </c>
      <c r="R195" s="30" t="n">
        <f aca="false">P195-Q195</f>
        <v>1.30967237055302E-009</v>
      </c>
      <c r="S195" s="10" t="str">
        <f aca="false">"FY "&amp;(YEAR(B195)-(MONTH(B195)&lt;4))&amp;"-"&amp;RIGHT(YEAR(B195)-(MONTH(B195)&lt;4)+1,2)</f>
        <v>FY 2041-42</v>
      </c>
    </row>
    <row r="196" customFormat="false" ht="15" hidden="false" customHeight="false" outlineLevel="0" collapsed="false">
      <c r="A196" s="22" t="n">
        <v>188</v>
      </c>
      <c r="B196" s="24" t="n">
        <f aca="false">EDATE(Inputs!$C$6,A196-1)</f>
        <v>51806</v>
      </c>
      <c r="C196" s="24" t="n">
        <f aca="false">EDATE(Inputs!$C$6,A196)-1</f>
        <v>51835</v>
      </c>
      <c r="D196" s="10" t="str">
        <f aca="false">IF(A196&lt;=Inputs!$C$7,"Yes","No")</f>
        <v>No</v>
      </c>
      <c r="E196" s="27" t="n">
        <f aca="false">IF(N(Inputs!$C$12)=0,1,(1+Inputs!$C$11)^INT((A196-1)/Inputs!$C$12))</f>
        <v>2.07892817941137</v>
      </c>
      <c r="F196" s="28" t="n">
        <f aca="false">IF(AND(D196="Yes",Inputs!$C$10="Advance",MOD(A196-1,Inputs!$C$22)=0),Inputs!$C$8*E196,0)</f>
        <v>0</v>
      </c>
      <c r="G196" s="28" t="n">
        <f aca="false">IF(AND(D196="Yes",Inputs!$C$10="Arrears",MOD(A196,Inputs!$C$22)=0),Inputs!$C$8*IF(N(Inputs!$C$12)=0,1,(1+Inputs!$C$11)^INT((A196-Inputs!$C$22)/Inputs!$C$12)),0)</f>
        <v>0</v>
      </c>
      <c r="H196" s="29" t="n">
        <f aca="false">1/(1+Inputs!$C$23)^(A196-1)</f>
        <v>0.243106540302858</v>
      </c>
      <c r="I196" s="29" t="n">
        <f aca="false">1/(1+Inputs!$C$23)^A196</f>
        <v>0.241274893674075</v>
      </c>
      <c r="J196" s="30" t="n">
        <f aca="false">F196*H196+G196*I196</f>
        <v>0</v>
      </c>
      <c r="K196" s="30" t="n">
        <f aca="false">M195</f>
        <v>-2.31665708150703E-009</v>
      </c>
      <c r="L196" s="30" t="n">
        <f aca="false">IF(D196="Yes",(K196-F196)*Inputs!$C$23,0)</f>
        <v>0</v>
      </c>
      <c r="M196" s="30" t="n">
        <f aca="false">K196-F196+L196-G196</f>
        <v>-2.31665708150703E-009</v>
      </c>
      <c r="N196" s="30" t="n">
        <f aca="false">F196+G196</f>
        <v>0</v>
      </c>
      <c r="O196" s="30" t="n">
        <f aca="false">N196-L196</f>
        <v>0</v>
      </c>
      <c r="P196" s="30" t="n">
        <f aca="false">R195</f>
        <v>1.30967237055302E-009</v>
      </c>
      <c r="Q196" s="30" t="n">
        <f aca="false">IF(A196&lt;=Inputs!$C$24,Inputs!$C$29/Inputs!$C$24,0)</f>
        <v>0</v>
      </c>
      <c r="R196" s="30" t="n">
        <f aca="false">P196-Q196</f>
        <v>1.30967237055302E-009</v>
      </c>
      <c r="S196" s="10" t="str">
        <f aca="false">"FY "&amp;(YEAR(B196)-(MONTH(B196)&lt;4))&amp;"-"&amp;RIGHT(YEAR(B196)-(MONTH(B196)&lt;4)+1,2)</f>
        <v>FY 2041-42</v>
      </c>
    </row>
    <row r="197" customFormat="false" ht="15" hidden="false" customHeight="false" outlineLevel="0" collapsed="false">
      <c r="A197" s="22" t="n">
        <v>189</v>
      </c>
      <c r="B197" s="24" t="n">
        <f aca="false">EDATE(Inputs!$C$6,A197-1)</f>
        <v>51836</v>
      </c>
      <c r="C197" s="24" t="n">
        <f aca="false">EDATE(Inputs!$C$6,A197)-1</f>
        <v>51866</v>
      </c>
      <c r="D197" s="10" t="str">
        <f aca="false">IF(A197&lt;=Inputs!$C$7,"Yes","No")</f>
        <v>No</v>
      </c>
      <c r="E197" s="27" t="n">
        <f aca="false">IF(N(Inputs!$C$12)=0,1,(1+Inputs!$C$11)^INT((A197-1)/Inputs!$C$12))</f>
        <v>2.07892817941137</v>
      </c>
      <c r="F197" s="28" t="n">
        <f aca="false">IF(AND(D197="Yes",Inputs!$C$10="Advance",MOD(A197-1,Inputs!$C$22)=0),Inputs!$C$8*E197,0)</f>
        <v>0</v>
      </c>
      <c r="G197" s="28" t="n">
        <f aca="false">IF(AND(D197="Yes",Inputs!$C$10="Arrears",MOD(A197,Inputs!$C$22)=0),Inputs!$C$8*IF(N(Inputs!$C$12)=0,1,(1+Inputs!$C$11)^INT((A197-Inputs!$C$22)/Inputs!$C$12)),0)</f>
        <v>0</v>
      </c>
      <c r="H197" s="29" t="n">
        <f aca="false">1/(1+Inputs!$C$23)^(A197-1)</f>
        <v>0.241274893674075</v>
      </c>
      <c r="I197" s="29" t="n">
        <f aca="false">1/(1+Inputs!$C$23)^A197</f>
        <v>0.239457047288463</v>
      </c>
      <c r="J197" s="30" t="n">
        <f aca="false">F197*H197+G197*I197</f>
        <v>0</v>
      </c>
      <c r="K197" s="30" t="n">
        <f aca="false">M196</f>
        <v>-2.31665708150703E-009</v>
      </c>
      <c r="L197" s="30" t="n">
        <f aca="false">IF(D197="Yes",(K197-F197)*Inputs!$C$23,0)</f>
        <v>0</v>
      </c>
      <c r="M197" s="30" t="n">
        <f aca="false">K197-F197+L197-G197</f>
        <v>-2.31665708150703E-009</v>
      </c>
      <c r="N197" s="30" t="n">
        <f aca="false">F197+G197</f>
        <v>0</v>
      </c>
      <c r="O197" s="30" t="n">
        <f aca="false">N197-L197</f>
        <v>0</v>
      </c>
      <c r="P197" s="30" t="n">
        <f aca="false">R196</f>
        <v>1.30967237055302E-009</v>
      </c>
      <c r="Q197" s="30" t="n">
        <f aca="false">IF(A197&lt;=Inputs!$C$24,Inputs!$C$29/Inputs!$C$24,0)</f>
        <v>0</v>
      </c>
      <c r="R197" s="30" t="n">
        <f aca="false">P197-Q197</f>
        <v>1.30967237055302E-009</v>
      </c>
      <c r="S197" s="10" t="str">
        <f aca="false">"FY "&amp;(YEAR(B197)-(MONTH(B197)&lt;4))&amp;"-"&amp;RIGHT(YEAR(B197)-(MONTH(B197)&lt;4)+1,2)</f>
        <v>FY 2041-42</v>
      </c>
    </row>
    <row r="198" customFormat="false" ht="15" hidden="false" customHeight="false" outlineLevel="0" collapsed="false">
      <c r="A198" s="22" t="n">
        <v>190</v>
      </c>
      <c r="B198" s="24" t="n">
        <f aca="false">EDATE(Inputs!$C$6,A198-1)</f>
        <v>51867</v>
      </c>
      <c r="C198" s="24" t="n">
        <f aca="false">EDATE(Inputs!$C$6,A198)-1</f>
        <v>51897</v>
      </c>
      <c r="D198" s="10" t="str">
        <f aca="false">IF(A198&lt;=Inputs!$C$7,"Yes","No")</f>
        <v>No</v>
      </c>
      <c r="E198" s="27" t="n">
        <f aca="false">IF(N(Inputs!$C$12)=0,1,(1+Inputs!$C$11)^INT((A198-1)/Inputs!$C$12))</f>
        <v>2.07892817941137</v>
      </c>
      <c r="F198" s="28" t="n">
        <f aca="false">IF(AND(D198="Yes",Inputs!$C$10="Advance",MOD(A198-1,Inputs!$C$22)=0),Inputs!$C$8*E198,0)</f>
        <v>0</v>
      </c>
      <c r="G198" s="28" t="n">
        <f aca="false">IF(AND(D198="Yes",Inputs!$C$10="Arrears",MOD(A198,Inputs!$C$22)=0),Inputs!$C$8*IF(N(Inputs!$C$12)=0,1,(1+Inputs!$C$11)^INT((A198-Inputs!$C$22)/Inputs!$C$12)),0)</f>
        <v>0</v>
      </c>
      <c r="H198" s="29" t="n">
        <f aca="false">1/(1+Inputs!$C$23)^(A198-1)</f>
        <v>0.239457047288463</v>
      </c>
      <c r="I198" s="29" t="n">
        <f aca="false">1/(1+Inputs!$C$23)^A198</f>
        <v>0.237652897170338</v>
      </c>
      <c r="J198" s="30" t="n">
        <f aca="false">F198*H198+G198*I198</f>
        <v>0</v>
      </c>
      <c r="K198" s="30" t="n">
        <f aca="false">M197</f>
        <v>-2.31665708150703E-009</v>
      </c>
      <c r="L198" s="30" t="n">
        <f aca="false">IF(D198="Yes",(K198-F198)*Inputs!$C$23,0)</f>
        <v>0</v>
      </c>
      <c r="M198" s="30" t="n">
        <f aca="false">K198-F198+L198-G198</f>
        <v>-2.31665708150703E-009</v>
      </c>
      <c r="N198" s="30" t="n">
        <f aca="false">F198+G198</f>
        <v>0</v>
      </c>
      <c r="O198" s="30" t="n">
        <f aca="false">N198-L198</f>
        <v>0</v>
      </c>
      <c r="P198" s="30" t="n">
        <f aca="false">R197</f>
        <v>1.30967237055302E-009</v>
      </c>
      <c r="Q198" s="30" t="n">
        <f aca="false">IF(A198&lt;=Inputs!$C$24,Inputs!$C$29/Inputs!$C$24,0)</f>
        <v>0</v>
      </c>
      <c r="R198" s="30" t="n">
        <f aca="false">P198-Q198</f>
        <v>1.30967237055302E-009</v>
      </c>
      <c r="S198" s="10" t="str">
        <f aca="false">"FY "&amp;(YEAR(B198)-(MONTH(B198)&lt;4))&amp;"-"&amp;RIGHT(YEAR(B198)-(MONTH(B198)&lt;4)+1,2)</f>
        <v>FY 2041-42</v>
      </c>
    </row>
    <row r="199" customFormat="false" ht="15" hidden="false" customHeight="false" outlineLevel="0" collapsed="false">
      <c r="A199" s="22" t="n">
        <v>191</v>
      </c>
      <c r="B199" s="24" t="n">
        <f aca="false">EDATE(Inputs!$C$6,A199-1)</f>
        <v>51898</v>
      </c>
      <c r="C199" s="24" t="n">
        <f aca="false">EDATE(Inputs!$C$6,A199)-1</f>
        <v>51925</v>
      </c>
      <c r="D199" s="10" t="str">
        <f aca="false">IF(A199&lt;=Inputs!$C$7,"Yes","No")</f>
        <v>No</v>
      </c>
      <c r="E199" s="27" t="n">
        <f aca="false">IF(N(Inputs!$C$12)=0,1,(1+Inputs!$C$11)^INT((A199-1)/Inputs!$C$12))</f>
        <v>2.07892817941137</v>
      </c>
      <c r="F199" s="28" t="n">
        <f aca="false">IF(AND(D199="Yes",Inputs!$C$10="Advance",MOD(A199-1,Inputs!$C$22)=0),Inputs!$C$8*E199,0)</f>
        <v>0</v>
      </c>
      <c r="G199" s="28" t="n">
        <f aca="false">IF(AND(D199="Yes",Inputs!$C$10="Arrears",MOD(A199,Inputs!$C$22)=0),Inputs!$C$8*IF(N(Inputs!$C$12)=0,1,(1+Inputs!$C$11)^INT((A199-Inputs!$C$22)/Inputs!$C$12)),0)</f>
        <v>0</v>
      </c>
      <c r="H199" s="29" t="n">
        <f aca="false">1/(1+Inputs!$C$23)^(A199-1)</f>
        <v>0.237652897170338</v>
      </c>
      <c r="I199" s="29" t="n">
        <f aca="false">1/(1+Inputs!$C$23)^A199</f>
        <v>0.235862340127404</v>
      </c>
      <c r="J199" s="30" t="n">
        <f aca="false">F199*H199+G199*I199</f>
        <v>0</v>
      </c>
      <c r="K199" s="30" t="n">
        <f aca="false">M198</f>
        <v>-2.31665708150703E-009</v>
      </c>
      <c r="L199" s="30" t="n">
        <f aca="false">IF(D199="Yes",(K199-F199)*Inputs!$C$23,0)</f>
        <v>0</v>
      </c>
      <c r="M199" s="30" t="n">
        <f aca="false">K199-F199+L199-G199</f>
        <v>-2.31665708150703E-009</v>
      </c>
      <c r="N199" s="30" t="n">
        <f aca="false">F199+G199</f>
        <v>0</v>
      </c>
      <c r="O199" s="30" t="n">
        <f aca="false">N199-L199</f>
        <v>0</v>
      </c>
      <c r="P199" s="30" t="n">
        <f aca="false">R198</f>
        <v>1.30967237055302E-009</v>
      </c>
      <c r="Q199" s="30" t="n">
        <f aca="false">IF(A199&lt;=Inputs!$C$24,Inputs!$C$29/Inputs!$C$24,0)</f>
        <v>0</v>
      </c>
      <c r="R199" s="30" t="n">
        <f aca="false">P199-Q199</f>
        <v>1.30967237055302E-009</v>
      </c>
      <c r="S199" s="10" t="str">
        <f aca="false">"FY "&amp;(YEAR(B199)-(MONTH(B199)&lt;4))&amp;"-"&amp;RIGHT(YEAR(B199)-(MONTH(B199)&lt;4)+1,2)</f>
        <v>FY 2041-42</v>
      </c>
    </row>
    <row r="200" customFormat="false" ht="15" hidden="false" customHeight="false" outlineLevel="0" collapsed="false">
      <c r="A200" s="22" t="n">
        <v>192</v>
      </c>
      <c r="B200" s="24" t="n">
        <f aca="false">EDATE(Inputs!$C$6,A200-1)</f>
        <v>51926</v>
      </c>
      <c r="C200" s="24" t="n">
        <f aca="false">EDATE(Inputs!$C$6,A200)-1</f>
        <v>51956</v>
      </c>
      <c r="D200" s="10" t="str">
        <f aca="false">IF(A200&lt;=Inputs!$C$7,"Yes","No")</f>
        <v>No</v>
      </c>
      <c r="E200" s="27" t="n">
        <f aca="false">IF(N(Inputs!$C$12)=0,1,(1+Inputs!$C$11)^INT((A200-1)/Inputs!$C$12))</f>
        <v>2.07892817941137</v>
      </c>
      <c r="F200" s="28" t="n">
        <f aca="false">IF(AND(D200="Yes",Inputs!$C$10="Advance",MOD(A200-1,Inputs!$C$22)=0),Inputs!$C$8*E200,0)</f>
        <v>0</v>
      </c>
      <c r="G200" s="28" t="n">
        <f aca="false">IF(AND(D200="Yes",Inputs!$C$10="Arrears",MOD(A200,Inputs!$C$22)=0),Inputs!$C$8*IF(N(Inputs!$C$12)=0,1,(1+Inputs!$C$11)^INT((A200-Inputs!$C$22)/Inputs!$C$12)),0)</f>
        <v>0</v>
      </c>
      <c r="H200" s="29" t="n">
        <f aca="false">1/(1+Inputs!$C$23)^(A200-1)</f>
        <v>0.235862340127404</v>
      </c>
      <c r="I200" s="29" t="n">
        <f aca="false">1/(1+Inputs!$C$23)^A200</f>
        <v>0.234085273744849</v>
      </c>
      <c r="J200" s="30" t="n">
        <f aca="false">F200*H200+G200*I200</f>
        <v>0</v>
      </c>
      <c r="K200" s="30" t="n">
        <f aca="false">M199</f>
        <v>-2.31665708150703E-009</v>
      </c>
      <c r="L200" s="30" t="n">
        <f aca="false">IF(D200="Yes",(K200-F200)*Inputs!$C$23,0)</f>
        <v>0</v>
      </c>
      <c r="M200" s="30" t="n">
        <f aca="false">K200-F200+L200-G200</f>
        <v>-2.31665708150703E-009</v>
      </c>
      <c r="N200" s="30" t="n">
        <f aca="false">F200+G200</f>
        <v>0</v>
      </c>
      <c r="O200" s="30" t="n">
        <f aca="false">N200-L200</f>
        <v>0</v>
      </c>
      <c r="P200" s="30" t="n">
        <f aca="false">R199</f>
        <v>1.30967237055302E-009</v>
      </c>
      <c r="Q200" s="30" t="n">
        <f aca="false">IF(A200&lt;=Inputs!$C$24,Inputs!$C$29/Inputs!$C$24,0)</f>
        <v>0</v>
      </c>
      <c r="R200" s="30" t="n">
        <f aca="false">P200-Q200</f>
        <v>1.30967237055302E-009</v>
      </c>
      <c r="S200" s="10" t="str">
        <f aca="false">"FY "&amp;(YEAR(B200)-(MONTH(B200)&lt;4))&amp;"-"&amp;RIGHT(YEAR(B200)-(MONTH(B200)&lt;4)+1,2)</f>
        <v>FY 2041-42</v>
      </c>
    </row>
    <row r="201" customFormat="false" ht="15" hidden="false" customHeight="false" outlineLevel="0" collapsed="false">
      <c r="A201" s="22" t="n">
        <v>193</v>
      </c>
      <c r="B201" s="24" t="n">
        <f aca="false">EDATE(Inputs!$C$6,A201-1)</f>
        <v>51957</v>
      </c>
      <c r="C201" s="24" t="n">
        <f aca="false">EDATE(Inputs!$C$6,A201)-1</f>
        <v>51986</v>
      </c>
      <c r="D201" s="10" t="str">
        <f aca="false">IF(A201&lt;=Inputs!$C$7,"Yes","No")</f>
        <v>No</v>
      </c>
      <c r="E201" s="27" t="n">
        <f aca="false">IF(N(Inputs!$C$12)=0,1,(1+Inputs!$C$11)^INT((A201-1)/Inputs!$C$12))</f>
        <v>2.18287458838194</v>
      </c>
      <c r="F201" s="28" t="n">
        <f aca="false">IF(AND(D201="Yes",Inputs!$C$10="Advance",MOD(A201-1,Inputs!$C$22)=0),Inputs!$C$8*E201,0)</f>
        <v>0</v>
      </c>
      <c r="G201" s="28" t="n">
        <f aca="false">IF(AND(D201="Yes",Inputs!$C$10="Arrears",MOD(A201,Inputs!$C$22)=0),Inputs!$C$8*IF(N(Inputs!$C$12)=0,1,(1+Inputs!$C$11)^INT((A201-Inputs!$C$22)/Inputs!$C$12)),0)</f>
        <v>0</v>
      </c>
      <c r="H201" s="29" t="n">
        <f aca="false">1/(1+Inputs!$C$23)^(A201-1)</f>
        <v>0.234085273744849</v>
      </c>
      <c r="I201" s="29" t="n">
        <f aca="false">1/(1+Inputs!$C$23)^A201</f>
        <v>0.232321596379492</v>
      </c>
      <c r="J201" s="30" t="n">
        <f aca="false">F201*H201+G201*I201</f>
        <v>0</v>
      </c>
      <c r="K201" s="30" t="n">
        <f aca="false">M200</f>
        <v>-2.31665708150703E-009</v>
      </c>
      <c r="L201" s="30" t="n">
        <f aca="false">IF(D201="Yes",(K201-F201)*Inputs!$C$23,0)</f>
        <v>0</v>
      </c>
      <c r="M201" s="30" t="n">
        <f aca="false">K201-F201+L201-G201</f>
        <v>-2.31665708150703E-009</v>
      </c>
      <c r="N201" s="30" t="n">
        <f aca="false">F201+G201</f>
        <v>0</v>
      </c>
      <c r="O201" s="30" t="n">
        <f aca="false">N201-L201</f>
        <v>0</v>
      </c>
      <c r="P201" s="30" t="n">
        <f aca="false">R200</f>
        <v>1.30967237055302E-009</v>
      </c>
      <c r="Q201" s="30" t="n">
        <f aca="false">IF(A201&lt;=Inputs!$C$24,Inputs!$C$29/Inputs!$C$24,0)</f>
        <v>0</v>
      </c>
      <c r="R201" s="30" t="n">
        <f aca="false">P201-Q201</f>
        <v>1.30967237055302E-009</v>
      </c>
      <c r="S201" s="10" t="str">
        <f aca="false">"FY "&amp;(YEAR(B201)-(MONTH(B201)&lt;4))&amp;"-"&amp;RIGHT(YEAR(B201)-(MONTH(B201)&lt;4)+1,2)</f>
        <v>FY 2042-43</v>
      </c>
    </row>
    <row r="202" customFormat="false" ht="15" hidden="false" customHeight="false" outlineLevel="0" collapsed="false">
      <c r="A202" s="22" t="n">
        <v>194</v>
      </c>
      <c r="B202" s="24" t="n">
        <f aca="false">EDATE(Inputs!$C$6,A202-1)</f>
        <v>51987</v>
      </c>
      <c r="C202" s="24" t="n">
        <f aca="false">EDATE(Inputs!$C$6,A202)-1</f>
        <v>52017</v>
      </c>
      <c r="D202" s="10" t="str">
        <f aca="false">IF(A202&lt;=Inputs!$C$7,"Yes","No")</f>
        <v>No</v>
      </c>
      <c r="E202" s="27" t="n">
        <f aca="false">IF(N(Inputs!$C$12)=0,1,(1+Inputs!$C$11)^INT((A202-1)/Inputs!$C$12))</f>
        <v>2.18287458838194</v>
      </c>
      <c r="F202" s="28" t="n">
        <f aca="false">IF(AND(D202="Yes",Inputs!$C$10="Advance",MOD(A202-1,Inputs!$C$22)=0),Inputs!$C$8*E202,0)</f>
        <v>0</v>
      </c>
      <c r="G202" s="28" t="n">
        <f aca="false">IF(AND(D202="Yes",Inputs!$C$10="Arrears",MOD(A202,Inputs!$C$22)=0),Inputs!$C$8*IF(N(Inputs!$C$12)=0,1,(1+Inputs!$C$11)^INT((A202-Inputs!$C$22)/Inputs!$C$12)),0)</f>
        <v>0</v>
      </c>
      <c r="H202" s="29" t="n">
        <f aca="false">1/(1+Inputs!$C$23)^(A202-1)</f>
        <v>0.232321596379492</v>
      </c>
      <c r="I202" s="29" t="n">
        <f aca="false">1/(1+Inputs!$C$23)^A202</f>
        <v>0.230571207153961</v>
      </c>
      <c r="J202" s="30" t="n">
        <f aca="false">F202*H202+G202*I202</f>
        <v>0</v>
      </c>
      <c r="K202" s="30" t="n">
        <f aca="false">M201</f>
        <v>-2.31665708150703E-009</v>
      </c>
      <c r="L202" s="30" t="n">
        <f aca="false">IF(D202="Yes",(K202-F202)*Inputs!$C$23,0)</f>
        <v>0</v>
      </c>
      <c r="M202" s="30" t="n">
        <f aca="false">K202-F202+L202-G202</f>
        <v>-2.31665708150703E-009</v>
      </c>
      <c r="N202" s="30" t="n">
        <f aca="false">F202+G202</f>
        <v>0</v>
      </c>
      <c r="O202" s="30" t="n">
        <f aca="false">N202-L202</f>
        <v>0</v>
      </c>
      <c r="P202" s="30" t="n">
        <f aca="false">R201</f>
        <v>1.30967237055302E-009</v>
      </c>
      <c r="Q202" s="30" t="n">
        <f aca="false">IF(A202&lt;=Inputs!$C$24,Inputs!$C$29/Inputs!$C$24,0)</f>
        <v>0</v>
      </c>
      <c r="R202" s="30" t="n">
        <f aca="false">P202-Q202</f>
        <v>1.30967237055302E-009</v>
      </c>
      <c r="S202" s="10" t="str">
        <f aca="false">"FY "&amp;(YEAR(B202)-(MONTH(B202)&lt;4))&amp;"-"&amp;RIGHT(YEAR(B202)-(MONTH(B202)&lt;4)+1,2)</f>
        <v>FY 2042-43</v>
      </c>
    </row>
    <row r="203" customFormat="false" ht="15" hidden="false" customHeight="false" outlineLevel="0" collapsed="false">
      <c r="A203" s="22" t="n">
        <v>195</v>
      </c>
      <c r="B203" s="24" t="n">
        <f aca="false">EDATE(Inputs!$C$6,A203-1)</f>
        <v>52018</v>
      </c>
      <c r="C203" s="24" t="n">
        <f aca="false">EDATE(Inputs!$C$6,A203)-1</f>
        <v>52047</v>
      </c>
      <c r="D203" s="10" t="str">
        <f aca="false">IF(A203&lt;=Inputs!$C$7,"Yes","No")</f>
        <v>No</v>
      </c>
      <c r="E203" s="27" t="n">
        <f aca="false">IF(N(Inputs!$C$12)=0,1,(1+Inputs!$C$11)^INT((A203-1)/Inputs!$C$12))</f>
        <v>2.18287458838194</v>
      </c>
      <c r="F203" s="28" t="n">
        <f aca="false">IF(AND(D203="Yes",Inputs!$C$10="Advance",MOD(A203-1,Inputs!$C$22)=0),Inputs!$C$8*E203,0)</f>
        <v>0</v>
      </c>
      <c r="G203" s="28" t="n">
        <f aca="false">IF(AND(D203="Yes",Inputs!$C$10="Arrears",MOD(A203,Inputs!$C$22)=0),Inputs!$C$8*IF(N(Inputs!$C$12)=0,1,(1+Inputs!$C$11)^INT((A203-Inputs!$C$22)/Inputs!$C$12)),0)</f>
        <v>0</v>
      </c>
      <c r="H203" s="29" t="n">
        <f aca="false">1/(1+Inputs!$C$23)^(A203-1)</f>
        <v>0.230571207153961</v>
      </c>
      <c r="I203" s="29" t="n">
        <f aca="false">1/(1+Inputs!$C$23)^A203</f>
        <v>0.228834005950933</v>
      </c>
      <c r="J203" s="30" t="n">
        <f aca="false">F203*H203+G203*I203</f>
        <v>0</v>
      </c>
      <c r="K203" s="30" t="n">
        <f aca="false">M202</f>
        <v>-2.31665708150703E-009</v>
      </c>
      <c r="L203" s="30" t="n">
        <f aca="false">IF(D203="Yes",(K203-F203)*Inputs!$C$23,0)</f>
        <v>0</v>
      </c>
      <c r="M203" s="30" t="n">
        <f aca="false">K203-F203+L203-G203</f>
        <v>-2.31665708150703E-009</v>
      </c>
      <c r="N203" s="30" t="n">
        <f aca="false">F203+G203</f>
        <v>0</v>
      </c>
      <c r="O203" s="30" t="n">
        <f aca="false">N203-L203</f>
        <v>0</v>
      </c>
      <c r="P203" s="30" t="n">
        <f aca="false">R202</f>
        <v>1.30967237055302E-009</v>
      </c>
      <c r="Q203" s="30" t="n">
        <f aca="false">IF(A203&lt;=Inputs!$C$24,Inputs!$C$29/Inputs!$C$24,0)</f>
        <v>0</v>
      </c>
      <c r="R203" s="30" t="n">
        <f aca="false">P203-Q203</f>
        <v>1.30967237055302E-009</v>
      </c>
      <c r="S203" s="10" t="str">
        <f aca="false">"FY "&amp;(YEAR(B203)-(MONTH(B203)&lt;4))&amp;"-"&amp;RIGHT(YEAR(B203)-(MONTH(B203)&lt;4)+1,2)</f>
        <v>FY 2042-43</v>
      </c>
    </row>
    <row r="204" customFormat="false" ht="15" hidden="false" customHeight="false" outlineLevel="0" collapsed="false">
      <c r="A204" s="22" t="n">
        <v>196</v>
      </c>
      <c r="B204" s="24" t="n">
        <f aca="false">EDATE(Inputs!$C$6,A204-1)</f>
        <v>52048</v>
      </c>
      <c r="C204" s="24" t="n">
        <f aca="false">EDATE(Inputs!$C$6,A204)-1</f>
        <v>52078</v>
      </c>
      <c r="D204" s="10" t="str">
        <f aca="false">IF(A204&lt;=Inputs!$C$7,"Yes","No")</f>
        <v>No</v>
      </c>
      <c r="E204" s="27" t="n">
        <f aca="false">IF(N(Inputs!$C$12)=0,1,(1+Inputs!$C$11)^INT((A204-1)/Inputs!$C$12))</f>
        <v>2.18287458838194</v>
      </c>
      <c r="F204" s="28" t="n">
        <f aca="false">IF(AND(D204="Yes",Inputs!$C$10="Advance",MOD(A204-1,Inputs!$C$22)=0),Inputs!$C$8*E204,0)</f>
        <v>0</v>
      </c>
      <c r="G204" s="28" t="n">
        <f aca="false">IF(AND(D204="Yes",Inputs!$C$10="Arrears",MOD(A204,Inputs!$C$22)=0),Inputs!$C$8*IF(N(Inputs!$C$12)=0,1,(1+Inputs!$C$11)^INT((A204-Inputs!$C$22)/Inputs!$C$12)),0)</f>
        <v>0</v>
      </c>
      <c r="H204" s="29" t="n">
        <f aca="false">1/(1+Inputs!$C$23)^(A204-1)</f>
        <v>0.228834005950933</v>
      </c>
      <c r="I204" s="29" t="n">
        <f aca="false">1/(1+Inputs!$C$23)^A204</f>
        <v>0.227109893407401</v>
      </c>
      <c r="J204" s="30" t="n">
        <f aca="false">F204*H204+G204*I204</f>
        <v>0</v>
      </c>
      <c r="K204" s="30" t="n">
        <f aca="false">M203</f>
        <v>-2.31665708150703E-009</v>
      </c>
      <c r="L204" s="30" t="n">
        <f aca="false">IF(D204="Yes",(K204-F204)*Inputs!$C$23,0)</f>
        <v>0</v>
      </c>
      <c r="M204" s="30" t="n">
        <f aca="false">K204-F204+L204-G204</f>
        <v>-2.31665708150703E-009</v>
      </c>
      <c r="N204" s="30" t="n">
        <f aca="false">F204+G204</f>
        <v>0</v>
      </c>
      <c r="O204" s="30" t="n">
        <f aca="false">N204-L204</f>
        <v>0</v>
      </c>
      <c r="P204" s="30" t="n">
        <f aca="false">R203</f>
        <v>1.30967237055302E-009</v>
      </c>
      <c r="Q204" s="30" t="n">
        <f aca="false">IF(A204&lt;=Inputs!$C$24,Inputs!$C$29/Inputs!$C$24,0)</f>
        <v>0</v>
      </c>
      <c r="R204" s="30" t="n">
        <f aca="false">P204-Q204</f>
        <v>1.30967237055302E-009</v>
      </c>
      <c r="S204" s="10" t="str">
        <f aca="false">"FY "&amp;(YEAR(B204)-(MONTH(B204)&lt;4))&amp;"-"&amp;RIGHT(YEAR(B204)-(MONTH(B204)&lt;4)+1,2)</f>
        <v>FY 2042-43</v>
      </c>
    </row>
    <row r="205" customFormat="false" ht="15" hidden="false" customHeight="false" outlineLevel="0" collapsed="false">
      <c r="A205" s="22" t="n">
        <v>197</v>
      </c>
      <c r="B205" s="24" t="n">
        <f aca="false">EDATE(Inputs!$C$6,A205-1)</f>
        <v>52079</v>
      </c>
      <c r="C205" s="24" t="n">
        <f aca="false">EDATE(Inputs!$C$6,A205)-1</f>
        <v>52109</v>
      </c>
      <c r="D205" s="10" t="str">
        <f aca="false">IF(A205&lt;=Inputs!$C$7,"Yes","No")</f>
        <v>No</v>
      </c>
      <c r="E205" s="27" t="n">
        <f aca="false">IF(N(Inputs!$C$12)=0,1,(1+Inputs!$C$11)^INT((A205-1)/Inputs!$C$12))</f>
        <v>2.18287458838194</v>
      </c>
      <c r="F205" s="28" t="n">
        <f aca="false">IF(AND(D205="Yes",Inputs!$C$10="Advance",MOD(A205-1,Inputs!$C$22)=0),Inputs!$C$8*E205,0)</f>
        <v>0</v>
      </c>
      <c r="G205" s="28" t="n">
        <f aca="false">IF(AND(D205="Yes",Inputs!$C$10="Arrears",MOD(A205,Inputs!$C$22)=0),Inputs!$C$8*IF(N(Inputs!$C$12)=0,1,(1+Inputs!$C$11)^INT((A205-Inputs!$C$22)/Inputs!$C$12)),0)</f>
        <v>0</v>
      </c>
      <c r="H205" s="29" t="n">
        <f aca="false">1/(1+Inputs!$C$23)^(A205-1)</f>
        <v>0.227109893407401</v>
      </c>
      <c r="I205" s="29" t="n">
        <f aca="false">1/(1+Inputs!$C$23)^A205</f>
        <v>0.22539877090899</v>
      </c>
      <c r="J205" s="30" t="n">
        <f aca="false">F205*H205+G205*I205</f>
        <v>0</v>
      </c>
      <c r="K205" s="30" t="n">
        <f aca="false">M204</f>
        <v>-2.31665708150703E-009</v>
      </c>
      <c r="L205" s="30" t="n">
        <f aca="false">IF(D205="Yes",(K205-F205)*Inputs!$C$23,0)</f>
        <v>0</v>
      </c>
      <c r="M205" s="30" t="n">
        <f aca="false">K205-F205+L205-G205</f>
        <v>-2.31665708150703E-009</v>
      </c>
      <c r="N205" s="30" t="n">
        <f aca="false">F205+G205</f>
        <v>0</v>
      </c>
      <c r="O205" s="30" t="n">
        <f aca="false">N205-L205</f>
        <v>0</v>
      </c>
      <c r="P205" s="30" t="n">
        <f aca="false">R204</f>
        <v>1.30967237055302E-009</v>
      </c>
      <c r="Q205" s="30" t="n">
        <f aca="false">IF(A205&lt;=Inputs!$C$24,Inputs!$C$29/Inputs!$C$24,0)</f>
        <v>0</v>
      </c>
      <c r="R205" s="30" t="n">
        <f aca="false">P205-Q205</f>
        <v>1.30967237055302E-009</v>
      </c>
      <c r="S205" s="10" t="str">
        <f aca="false">"FY "&amp;(YEAR(B205)-(MONTH(B205)&lt;4))&amp;"-"&amp;RIGHT(YEAR(B205)-(MONTH(B205)&lt;4)+1,2)</f>
        <v>FY 2042-43</v>
      </c>
    </row>
    <row r="206" customFormat="false" ht="15" hidden="false" customHeight="false" outlineLevel="0" collapsed="false">
      <c r="A206" s="22" t="n">
        <v>198</v>
      </c>
      <c r="B206" s="24" t="n">
        <f aca="false">EDATE(Inputs!$C$6,A206-1)</f>
        <v>52110</v>
      </c>
      <c r="C206" s="24" t="n">
        <f aca="false">EDATE(Inputs!$C$6,A206)-1</f>
        <v>52139</v>
      </c>
      <c r="D206" s="10" t="str">
        <f aca="false">IF(A206&lt;=Inputs!$C$7,"Yes","No")</f>
        <v>No</v>
      </c>
      <c r="E206" s="27" t="n">
        <f aca="false">IF(N(Inputs!$C$12)=0,1,(1+Inputs!$C$11)^INT((A206-1)/Inputs!$C$12))</f>
        <v>2.18287458838194</v>
      </c>
      <c r="F206" s="28" t="n">
        <f aca="false">IF(AND(D206="Yes",Inputs!$C$10="Advance",MOD(A206-1,Inputs!$C$22)=0),Inputs!$C$8*E206,0)</f>
        <v>0</v>
      </c>
      <c r="G206" s="28" t="n">
        <f aca="false">IF(AND(D206="Yes",Inputs!$C$10="Arrears",MOD(A206,Inputs!$C$22)=0),Inputs!$C$8*IF(N(Inputs!$C$12)=0,1,(1+Inputs!$C$11)^INT((A206-Inputs!$C$22)/Inputs!$C$12)),0)</f>
        <v>0</v>
      </c>
      <c r="H206" s="29" t="n">
        <f aca="false">1/(1+Inputs!$C$23)^(A206-1)</f>
        <v>0.22539877090899</v>
      </c>
      <c r="I206" s="29" t="n">
        <f aca="false">1/(1+Inputs!$C$23)^A206</f>
        <v>0.223700540584322</v>
      </c>
      <c r="J206" s="30" t="n">
        <f aca="false">F206*H206+G206*I206</f>
        <v>0</v>
      </c>
      <c r="K206" s="30" t="n">
        <f aca="false">M205</f>
        <v>-2.31665708150703E-009</v>
      </c>
      <c r="L206" s="30" t="n">
        <f aca="false">IF(D206="Yes",(K206-F206)*Inputs!$C$23,0)</f>
        <v>0</v>
      </c>
      <c r="M206" s="30" t="n">
        <f aca="false">K206-F206+L206-G206</f>
        <v>-2.31665708150703E-009</v>
      </c>
      <c r="N206" s="30" t="n">
        <f aca="false">F206+G206</f>
        <v>0</v>
      </c>
      <c r="O206" s="30" t="n">
        <f aca="false">N206-L206</f>
        <v>0</v>
      </c>
      <c r="P206" s="30" t="n">
        <f aca="false">R205</f>
        <v>1.30967237055302E-009</v>
      </c>
      <c r="Q206" s="30" t="n">
        <f aca="false">IF(A206&lt;=Inputs!$C$24,Inputs!$C$29/Inputs!$C$24,0)</f>
        <v>0</v>
      </c>
      <c r="R206" s="30" t="n">
        <f aca="false">P206-Q206</f>
        <v>1.30967237055302E-009</v>
      </c>
      <c r="S206" s="10" t="str">
        <f aca="false">"FY "&amp;(YEAR(B206)-(MONTH(B206)&lt;4))&amp;"-"&amp;RIGHT(YEAR(B206)-(MONTH(B206)&lt;4)+1,2)</f>
        <v>FY 2042-43</v>
      </c>
    </row>
    <row r="207" customFormat="false" ht="15" hidden="false" customHeight="false" outlineLevel="0" collapsed="false">
      <c r="A207" s="22" t="n">
        <v>199</v>
      </c>
      <c r="B207" s="24" t="n">
        <f aca="false">EDATE(Inputs!$C$6,A207-1)</f>
        <v>52140</v>
      </c>
      <c r="C207" s="24" t="n">
        <f aca="false">EDATE(Inputs!$C$6,A207)-1</f>
        <v>52170</v>
      </c>
      <c r="D207" s="10" t="str">
        <f aca="false">IF(A207&lt;=Inputs!$C$7,"Yes","No")</f>
        <v>No</v>
      </c>
      <c r="E207" s="27" t="n">
        <f aca="false">IF(N(Inputs!$C$12)=0,1,(1+Inputs!$C$11)^INT((A207-1)/Inputs!$C$12))</f>
        <v>2.18287458838194</v>
      </c>
      <c r="F207" s="28" t="n">
        <f aca="false">IF(AND(D207="Yes",Inputs!$C$10="Advance",MOD(A207-1,Inputs!$C$22)=0),Inputs!$C$8*E207,0)</f>
        <v>0</v>
      </c>
      <c r="G207" s="28" t="n">
        <f aca="false">IF(AND(D207="Yes",Inputs!$C$10="Arrears",MOD(A207,Inputs!$C$22)=0),Inputs!$C$8*IF(N(Inputs!$C$12)=0,1,(1+Inputs!$C$11)^INT((A207-Inputs!$C$22)/Inputs!$C$12)),0)</f>
        <v>0</v>
      </c>
      <c r="H207" s="29" t="n">
        <f aca="false">1/(1+Inputs!$C$23)^(A207-1)</f>
        <v>0.223700540584322</v>
      </c>
      <c r="I207" s="29" t="n">
        <f aca="false">1/(1+Inputs!$C$23)^A207</f>
        <v>0.222015105299414</v>
      </c>
      <c r="J207" s="30" t="n">
        <f aca="false">F207*H207+G207*I207</f>
        <v>0</v>
      </c>
      <c r="K207" s="30" t="n">
        <f aca="false">M206</f>
        <v>-2.31665708150703E-009</v>
      </c>
      <c r="L207" s="30" t="n">
        <f aca="false">IF(D207="Yes",(K207-F207)*Inputs!$C$23,0)</f>
        <v>0</v>
      </c>
      <c r="M207" s="30" t="n">
        <f aca="false">K207-F207+L207-G207</f>
        <v>-2.31665708150703E-009</v>
      </c>
      <c r="N207" s="30" t="n">
        <f aca="false">F207+G207</f>
        <v>0</v>
      </c>
      <c r="O207" s="30" t="n">
        <f aca="false">N207-L207</f>
        <v>0</v>
      </c>
      <c r="P207" s="30" t="n">
        <f aca="false">R206</f>
        <v>1.30967237055302E-009</v>
      </c>
      <c r="Q207" s="30" t="n">
        <f aca="false">IF(A207&lt;=Inputs!$C$24,Inputs!$C$29/Inputs!$C$24,0)</f>
        <v>0</v>
      </c>
      <c r="R207" s="30" t="n">
        <f aca="false">P207-Q207</f>
        <v>1.30967237055302E-009</v>
      </c>
      <c r="S207" s="10" t="str">
        <f aca="false">"FY "&amp;(YEAR(B207)-(MONTH(B207)&lt;4))&amp;"-"&amp;RIGHT(YEAR(B207)-(MONTH(B207)&lt;4)+1,2)</f>
        <v>FY 2042-43</v>
      </c>
    </row>
    <row r="208" customFormat="false" ht="15" hidden="false" customHeight="false" outlineLevel="0" collapsed="false">
      <c r="A208" s="22" t="n">
        <v>200</v>
      </c>
      <c r="B208" s="24" t="n">
        <f aca="false">EDATE(Inputs!$C$6,A208-1)</f>
        <v>52171</v>
      </c>
      <c r="C208" s="24" t="n">
        <f aca="false">EDATE(Inputs!$C$6,A208)-1</f>
        <v>52200</v>
      </c>
      <c r="D208" s="10" t="str">
        <f aca="false">IF(A208&lt;=Inputs!$C$7,"Yes","No")</f>
        <v>No</v>
      </c>
      <c r="E208" s="27" t="n">
        <f aca="false">IF(N(Inputs!$C$12)=0,1,(1+Inputs!$C$11)^INT((A208-1)/Inputs!$C$12))</f>
        <v>2.18287458838194</v>
      </c>
      <c r="F208" s="28" t="n">
        <f aca="false">IF(AND(D208="Yes",Inputs!$C$10="Advance",MOD(A208-1,Inputs!$C$22)=0),Inputs!$C$8*E208,0)</f>
        <v>0</v>
      </c>
      <c r="G208" s="28" t="n">
        <f aca="false">IF(AND(D208="Yes",Inputs!$C$10="Arrears",MOD(A208,Inputs!$C$22)=0),Inputs!$C$8*IF(N(Inputs!$C$12)=0,1,(1+Inputs!$C$11)^INT((A208-Inputs!$C$22)/Inputs!$C$12)),0)</f>
        <v>0</v>
      </c>
      <c r="H208" s="29" t="n">
        <f aca="false">1/(1+Inputs!$C$23)^(A208-1)</f>
        <v>0.222015105299414</v>
      </c>
      <c r="I208" s="29" t="n">
        <f aca="false">1/(1+Inputs!$C$23)^A208</f>
        <v>0.220342368652123</v>
      </c>
      <c r="J208" s="30" t="n">
        <f aca="false">F208*H208+G208*I208</f>
        <v>0</v>
      </c>
      <c r="K208" s="30" t="n">
        <f aca="false">M207</f>
        <v>-2.31665708150703E-009</v>
      </c>
      <c r="L208" s="30" t="n">
        <f aca="false">IF(D208="Yes",(K208-F208)*Inputs!$C$23,0)</f>
        <v>0</v>
      </c>
      <c r="M208" s="30" t="n">
        <f aca="false">K208-F208+L208-G208</f>
        <v>-2.31665708150703E-009</v>
      </c>
      <c r="N208" s="30" t="n">
        <f aca="false">F208+G208</f>
        <v>0</v>
      </c>
      <c r="O208" s="30" t="n">
        <f aca="false">N208-L208</f>
        <v>0</v>
      </c>
      <c r="P208" s="30" t="n">
        <f aca="false">R207</f>
        <v>1.30967237055302E-009</v>
      </c>
      <c r="Q208" s="30" t="n">
        <f aca="false">IF(A208&lt;=Inputs!$C$24,Inputs!$C$29/Inputs!$C$24,0)</f>
        <v>0</v>
      </c>
      <c r="R208" s="30" t="n">
        <f aca="false">P208-Q208</f>
        <v>1.30967237055302E-009</v>
      </c>
      <c r="S208" s="10" t="str">
        <f aca="false">"FY "&amp;(YEAR(B208)-(MONTH(B208)&lt;4))&amp;"-"&amp;RIGHT(YEAR(B208)-(MONTH(B208)&lt;4)+1,2)</f>
        <v>FY 2042-43</v>
      </c>
    </row>
    <row r="209" customFormat="false" ht="15" hidden="false" customHeight="false" outlineLevel="0" collapsed="false">
      <c r="A209" s="22" t="n">
        <v>201</v>
      </c>
      <c r="B209" s="24" t="n">
        <f aca="false">EDATE(Inputs!$C$6,A209-1)</f>
        <v>52201</v>
      </c>
      <c r="C209" s="24" t="n">
        <f aca="false">EDATE(Inputs!$C$6,A209)-1</f>
        <v>52231</v>
      </c>
      <c r="D209" s="10" t="str">
        <f aca="false">IF(A209&lt;=Inputs!$C$7,"Yes","No")</f>
        <v>No</v>
      </c>
      <c r="E209" s="27" t="n">
        <f aca="false">IF(N(Inputs!$C$12)=0,1,(1+Inputs!$C$11)^INT((A209-1)/Inputs!$C$12))</f>
        <v>2.18287458838194</v>
      </c>
      <c r="F209" s="28" t="n">
        <f aca="false">IF(AND(D209="Yes",Inputs!$C$10="Advance",MOD(A209-1,Inputs!$C$22)=0),Inputs!$C$8*E209,0)</f>
        <v>0</v>
      </c>
      <c r="G209" s="28" t="n">
        <f aca="false">IF(AND(D209="Yes",Inputs!$C$10="Arrears",MOD(A209,Inputs!$C$22)=0),Inputs!$C$8*IF(N(Inputs!$C$12)=0,1,(1+Inputs!$C$11)^INT((A209-Inputs!$C$22)/Inputs!$C$12)),0)</f>
        <v>0</v>
      </c>
      <c r="H209" s="29" t="n">
        <f aca="false">1/(1+Inputs!$C$23)^(A209-1)</f>
        <v>0.220342368652123</v>
      </c>
      <c r="I209" s="29" t="n">
        <f aca="false">1/(1+Inputs!$C$23)^A209</f>
        <v>0.218682234966633</v>
      </c>
      <c r="J209" s="30" t="n">
        <f aca="false">F209*H209+G209*I209</f>
        <v>0</v>
      </c>
      <c r="K209" s="30" t="n">
        <f aca="false">M208</f>
        <v>-2.31665708150703E-009</v>
      </c>
      <c r="L209" s="30" t="n">
        <f aca="false">IF(D209="Yes",(K209-F209)*Inputs!$C$23,0)</f>
        <v>0</v>
      </c>
      <c r="M209" s="30" t="n">
        <f aca="false">K209-F209+L209-G209</f>
        <v>-2.31665708150703E-009</v>
      </c>
      <c r="N209" s="30" t="n">
        <f aca="false">F209+G209</f>
        <v>0</v>
      </c>
      <c r="O209" s="30" t="n">
        <f aca="false">N209-L209</f>
        <v>0</v>
      </c>
      <c r="P209" s="30" t="n">
        <f aca="false">R208</f>
        <v>1.30967237055302E-009</v>
      </c>
      <c r="Q209" s="30" t="n">
        <f aca="false">IF(A209&lt;=Inputs!$C$24,Inputs!$C$29/Inputs!$C$24,0)</f>
        <v>0</v>
      </c>
      <c r="R209" s="30" t="n">
        <f aca="false">P209-Q209</f>
        <v>1.30967237055302E-009</v>
      </c>
      <c r="S209" s="10" t="str">
        <f aca="false">"FY "&amp;(YEAR(B209)-(MONTH(B209)&lt;4))&amp;"-"&amp;RIGHT(YEAR(B209)-(MONTH(B209)&lt;4)+1,2)</f>
        <v>FY 2042-43</v>
      </c>
    </row>
    <row r="210" customFormat="false" ht="15" hidden="false" customHeight="false" outlineLevel="0" collapsed="false">
      <c r="A210" s="22" t="n">
        <v>202</v>
      </c>
      <c r="B210" s="24" t="n">
        <f aca="false">EDATE(Inputs!$C$6,A210-1)</f>
        <v>52232</v>
      </c>
      <c r="C210" s="24" t="n">
        <f aca="false">EDATE(Inputs!$C$6,A210)-1</f>
        <v>52262</v>
      </c>
      <c r="D210" s="10" t="str">
        <f aca="false">IF(A210&lt;=Inputs!$C$7,"Yes","No")</f>
        <v>No</v>
      </c>
      <c r="E210" s="27" t="n">
        <f aca="false">IF(N(Inputs!$C$12)=0,1,(1+Inputs!$C$11)^INT((A210-1)/Inputs!$C$12))</f>
        <v>2.18287458838194</v>
      </c>
      <c r="F210" s="28" t="n">
        <f aca="false">IF(AND(D210="Yes",Inputs!$C$10="Advance",MOD(A210-1,Inputs!$C$22)=0),Inputs!$C$8*E210,0)</f>
        <v>0</v>
      </c>
      <c r="G210" s="28" t="n">
        <f aca="false">IF(AND(D210="Yes",Inputs!$C$10="Arrears",MOD(A210,Inputs!$C$22)=0),Inputs!$C$8*IF(N(Inputs!$C$12)=0,1,(1+Inputs!$C$11)^INT((A210-Inputs!$C$22)/Inputs!$C$12)),0)</f>
        <v>0</v>
      </c>
      <c r="H210" s="29" t="n">
        <f aca="false">1/(1+Inputs!$C$23)^(A210-1)</f>
        <v>0.218682234966633</v>
      </c>
      <c r="I210" s="29" t="n">
        <f aca="false">1/(1+Inputs!$C$23)^A210</f>
        <v>0.21703460928798</v>
      </c>
      <c r="J210" s="30" t="n">
        <f aca="false">F210*H210+G210*I210</f>
        <v>0</v>
      </c>
      <c r="K210" s="30" t="n">
        <f aca="false">M209</f>
        <v>-2.31665708150703E-009</v>
      </c>
      <c r="L210" s="30" t="n">
        <f aca="false">IF(D210="Yes",(K210-F210)*Inputs!$C$23,0)</f>
        <v>0</v>
      </c>
      <c r="M210" s="30" t="n">
        <f aca="false">K210-F210+L210-G210</f>
        <v>-2.31665708150703E-009</v>
      </c>
      <c r="N210" s="30" t="n">
        <f aca="false">F210+G210</f>
        <v>0</v>
      </c>
      <c r="O210" s="30" t="n">
        <f aca="false">N210-L210</f>
        <v>0</v>
      </c>
      <c r="P210" s="30" t="n">
        <f aca="false">R209</f>
        <v>1.30967237055302E-009</v>
      </c>
      <c r="Q210" s="30" t="n">
        <f aca="false">IF(A210&lt;=Inputs!$C$24,Inputs!$C$29/Inputs!$C$24,0)</f>
        <v>0</v>
      </c>
      <c r="R210" s="30" t="n">
        <f aca="false">P210-Q210</f>
        <v>1.30967237055302E-009</v>
      </c>
      <c r="S210" s="10" t="str">
        <f aca="false">"FY "&amp;(YEAR(B210)-(MONTH(B210)&lt;4))&amp;"-"&amp;RIGHT(YEAR(B210)-(MONTH(B210)&lt;4)+1,2)</f>
        <v>FY 2042-43</v>
      </c>
    </row>
    <row r="211" customFormat="false" ht="15" hidden="false" customHeight="false" outlineLevel="0" collapsed="false">
      <c r="A211" s="22" t="n">
        <v>203</v>
      </c>
      <c r="B211" s="24" t="n">
        <f aca="false">EDATE(Inputs!$C$6,A211-1)</f>
        <v>52263</v>
      </c>
      <c r="C211" s="24" t="n">
        <f aca="false">EDATE(Inputs!$C$6,A211)-1</f>
        <v>52290</v>
      </c>
      <c r="D211" s="10" t="str">
        <f aca="false">IF(A211&lt;=Inputs!$C$7,"Yes","No")</f>
        <v>No</v>
      </c>
      <c r="E211" s="27" t="n">
        <f aca="false">IF(N(Inputs!$C$12)=0,1,(1+Inputs!$C$11)^INT((A211-1)/Inputs!$C$12))</f>
        <v>2.18287458838194</v>
      </c>
      <c r="F211" s="28" t="n">
        <f aca="false">IF(AND(D211="Yes",Inputs!$C$10="Advance",MOD(A211-1,Inputs!$C$22)=0),Inputs!$C$8*E211,0)</f>
        <v>0</v>
      </c>
      <c r="G211" s="28" t="n">
        <f aca="false">IF(AND(D211="Yes",Inputs!$C$10="Arrears",MOD(A211,Inputs!$C$22)=0),Inputs!$C$8*IF(N(Inputs!$C$12)=0,1,(1+Inputs!$C$11)^INT((A211-Inputs!$C$22)/Inputs!$C$12)),0)</f>
        <v>0</v>
      </c>
      <c r="H211" s="29" t="n">
        <f aca="false">1/(1+Inputs!$C$23)^(A211-1)</f>
        <v>0.21703460928798</v>
      </c>
      <c r="I211" s="29" t="n">
        <f aca="false">1/(1+Inputs!$C$23)^A211</f>
        <v>0.215399397376625</v>
      </c>
      <c r="J211" s="30" t="n">
        <f aca="false">F211*H211+G211*I211</f>
        <v>0</v>
      </c>
      <c r="K211" s="30" t="n">
        <f aca="false">M210</f>
        <v>-2.31665708150703E-009</v>
      </c>
      <c r="L211" s="30" t="n">
        <f aca="false">IF(D211="Yes",(K211-F211)*Inputs!$C$23,0)</f>
        <v>0</v>
      </c>
      <c r="M211" s="30" t="n">
        <f aca="false">K211-F211+L211-G211</f>
        <v>-2.31665708150703E-009</v>
      </c>
      <c r="N211" s="30" t="n">
        <f aca="false">F211+G211</f>
        <v>0</v>
      </c>
      <c r="O211" s="30" t="n">
        <f aca="false">N211-L211</f>
        <v>0</v>
      </c>
      <c r="P211" s="30" t="n">
        <f aca="false">R210</f>
        <v>1.30967237055302E-009</v>
      </c>
      <c r="Q211" s="30" t="n">
        <f aca="false">IF(A211&lt;=Inputs!$C$24,Inputs!$C$29/Inputs!$C$24,0)</f>
        <v>0</v>
      </c>
      <c r="R211" s="30" t="n">
        <f aca="false">P211-Q211</f>
        <v>1.30967237055302E-009</v>
      </c>
      <c r="S211" s="10" t="str">
        <f aca="false">"FY "&amp;(YEAR(B211)-(MONTH(B211)&lt;4))&amp;"-"&amp;RIGHT(YEAR(B211)-(MONTH(B211)&lt;4)+1,2)</f>
        <v>FY 2042-43</v>
      </c>
    </row>
    <row r="212" customFormat="false" ht="15" hidden="false" customHeight="false" outlineLevel="0" collapsed="false">
      <c r="A212" s="22" t="n">
        <v>204</v>
      </c>
      <c r="B212" s="24" t="n">
        <f aca="false">EDATE(Inputs!$C$6,A212-1)</f>
        <v>52291</v>
      </c>
      <c r="C212" s="24" t="n">
        <f aca="false">EDATE(Inputs!$C$6,A212)-1</f>
        <v>52321</v>
      </c>
      <c r="D212" s="10" t="str">
        <f aca="false">IF(A212&lt;=Inputs!$C$7,"Yes","No")</f>
        <v>No</v>
      </c>
      <c r="E212" s="27" t="n">
        <f aca="false">IF(N(Inputs!$C$12)=0,1,(1+Inputs!$C$11)^INT((A212-1)/Inputs!$C$12))</f>
        <v>2.18287458838194</v>
      </c>
      <c r="F212" s="28" t="n">
        <f aca="false">IF(AND(D212="Yes",Inputs!$C$10="Advance",MOD(A212-1,Inputs!$C$22)=0),Inputs!$C$8*E212,0)</f>
        <v>0</v>
      </c>
      <c r="G212" s="28" t="n">
        <f aca="false">IF(AND(D212="Yes",Inputs!$C$10="Arrears",MOD(A212,Inputs!$C$22)=0),Inputs!$C$8*IF(N(Inputs!$C$12)=0,1,(1+Inputs!$C$11)^INT((A212-Inputs!$C$22)/Inputs!$C$12)),0)</f>
        <v>0</v>
      </c>
      <c r="H212" s="29" t="n">
        <f aca="false">1/(1+Inputs!$C$23)^(A212-1)</f>
        <v>0.215399397376625</v>
      </c>
      <c r="I212" s="29" t="n">
        <f aca="false">1/(1+Inputs!$C$23)^A212</f>
        <v>0.213776505703059</v>
      </c>
      <c r="J212" s="30" t="n">
        <f aca="false">F212*H212+G212*I212</f>
        <v>0</v>
      </c>
      <c r="K212" s="30" t="n">
        <f aca="false">M211</f>
        <v>-2.31665708150703E-009</v>
      </c>
      <c r="L212" s="30" t="n">
        <f aca="false">IF(D212="Yes",(K212-F212)*Inputs!$C$23,0)</f>
        <v>0</v>
      </c>
      <c r="M212" s="30" t="n">
        <f aca="false">K212-F212+L212-G212</f>
        <v>-2.31665708150703E-009</v>
      </c>
      <c r="N212" s="30" t="n">
        <f aca="false">F212+G212</f>
        <v>0</v>
      </c>
      <c r="O212" s="30" t="n">
        <f aca="false">N212-L212</f>
        <v>0</v>
      </c>
      <c r="P212" s="30" t="n">
        <f aca="false">R211</f>
        <v>1.30967237055302E-009</v>
      </c>
      <c r="Q212" s="30" t="n">
        <f aca="false">IF(A212&lt;=Inputs!$C$24,Inputs!$C$29/Inputs!$C$24,0)</f>
        <v>0</v>
      </c>
      <c r="R212" s="30" t="n">
        <f aca="false">P212-Q212</f>
        <v>1.30967237055302E-009</v>
      </c>
      <c r="S212" s="10" t="str">
        <f aca="false">"FY "&amp;(YEAR(B212)-(MONTH(B212)&lt;4))&amp;"-"&amp;RIGHT(YEAR(B212)-(MONTH(B212)&lt;4)+1,2)</f>
        <v>FY 2042-43</v>
      </c>
    </row>
    <row r="213" customFormat="false" ht="15" hidden="false" customHeight="false" outlineLevel="0" collapsed="false">
      <c r="A213" s="22" t="n">
        <v>205</v>
      </c>
      <c r="B213" s="24" t="n">
        <f aca="false">EDATE(Inputs!$C$6,A213-1)</f>
        <v>52322</v>
      </c>
      <c r="C213" s="24" t="n">
        <f aca="false">EDATE(Inputs!$C$6,A213)-1</f>
        <v>52351</v>
      </c>
      <c r="D213" s="10" t="str">
        <f aca="false">IF(A213&lt;=Inputs!$C$7,"Yes","No")</f>
        <v>No</v>
      </c>
      <c r="E213" s="27" t="n">
        <f aca="false">IF(N(Inputs!$C$12)=0,1,(1+Inputs!$C$11)^INT((A213-1)/Inputs!$C$12))</f>
        <v>2.29201831780103</v>
      </c>
      <c r="F213" s="28" t="n">
        <f aca="false">IF(AND(D213="Yes",Inputs!$C$10="Advance",MOD(A213-1,Inputs!$C$22)=0),Inputs!$C$8*E213,0)</f>
        <v>0</v>
      </c>
      <c r="G213" s="28" t="n">
        <f aca="false">IF(AND(D213="Yes",Inputs!$C$10="Arrears",MOD(A213,Inputs!$C$22)=0),Inputs!$C$8*IF(N(Inputs!$C$12)=0,1,(1+Inputs!$C$11)^INT((A213-Inputs!$C$22)/Inputs!$C$12)),0)</f>
        <v>0</v>
      </c>
      <c r="H213" s="29" t="n">
        <f aca="false">1/(1+Inputs!$C$23)^(A213-1)</f>
        <v>0.213776505703059</v>
      </c>
      <c r="I213" s="29" t="n">
        <f aca="false">1/(1+Inputs!$C$23)^A213</f>
        <v>0.212165841442458</v>
      </c>
      <c r="J213" s="30" t="n">
        <f aca="false">F213*H213+G213*I213</f>
        <v>0</v>
      </c>
      <c r="K213" s="30" t="n">
        <f aca="false">M212</f>
        <v>-2.31665708150703E-009</v>
      </c>
      <c r="L213" s="30" t="n">
        <f aca="false">IF(D213="Yes",(K213-F213)*Inputs!$C$23,0)</f>
        <v>0</v>
      </c>
      <c r="M213" s="30" t="n">
        <f aca="false">K213-F213+L213-G213</f>
        <v>-2.31665708150703E-009</v>
      </c>
      <c r="N213" s="30" t="n">
        <f aca="false">F213+G213</f>
        <v>0</v>
      </c>
      <c r="O213" s="30" t="n">
        <f aca="false">N213-L213</f>
        <v>0</v>
      </c>
      <c r="P213" s="30" t="n">
        <f aca="false">R212</f>
        <v>1.30967237055302E-009</v>
      </c>
      <c r="Q213" s="30" t="n">
        <f aca="false">IF(A213&lt;=Inputs!$C$24,Inputs!$C$29/Inputs!$C$24,0)</f>
        <v>0</v>
      </c>
      <c r="R213" s="30" t="n">
        <f aca="false">P213-Q213</f>
        <v>1.30967237055302E-009</v>
      </c>
      <c r="S213" s="10" t="str">
        <f aca="false">"FY "&amp;(YEAR(B213)-(MONTH(B213)&lt;4))&amp;"-"&amp;RIGHT(YEAR(B213)-(MONTH(B213)&lt;4)+1,2)</f>
        <v>FY 2043-44</v>
      </c>
    </row>
    <row r="214" customFormat="false" ht="15" hidden="false" customHeight="false" outlineLevel="0" collapsed="false">
      <c r="A214" s="22" t="n">
        <v>206</v>
      </c>
      <c r="B214" s="24" t="n">
        <f aca="false">EDATE(Inputs!$C$6,A214-1)</f>
        <v>52352</v>
      </c>
      <c r="C214" s="24" t="n">
        <f aca="false">EDATE(Inputs!$C$6,A214)-1</f>
        <v>52382</v>
      </c>
      <c r="D214" s="10" t="str">
        <f aca="false">IF(A214&lt;=Inputs!$C$7,"Yes","No")</f>
        <v>No</v>
      </c>
      <c r="E214" s="27" t="n">
        <f aca="false">IF(N(Inputs!$C$12)=0,1,(1+Inputs!$C$11)^INT((A214-1)/Inputs!$C$12))</f>
        <v>2.29201831780103</v>
      </c>
      <c r="F214" s="28" t="n">
        <f aca="false">IF(AND(D214="Yes",Inputs!$C$10="Advance",MOD(A214-1,Inputs!$C$22)=0),Inputs!$C$8*E214,0)</f>
        <v>0</v>
      </c>
      <c r="G214" s="28" t="n">
        <f aca="false">IF(AND(D214="Yes",Inputs!$C$10="Arrears",MOD(A214,Inputs!$C$22)=0),Inputs!$C$8*IF(N(Inputs!$C$12)=0,1,(1+Inputs!$C$11)^INT((A214-Inputs!$C$22)/Inputs!$C$12)),0)</f>
        <v>0</v>
      </c>
      <c r="H214" s="29" t="n">
        <f aca="false">1/(1+Inputs!$C$23)^(A214-1)</f>
        <v>0.212165841442458</v>
      </c>
      <c r="I214" s="29" t="n">
        <f aca="false">1/(1+Inputs!$C$23)^A214</f>
        <v>0.210567312469371</v>
      </c>
      <c r="J214" s="30" t="n">
        <f aca="false">F214*H214+G214*I214</f>
        <v>0</v>
      </c>
      <c r="K214" s="30" t="n">
        <f aca="false">M213</f>
        <v>-2.31665708150703E-009</v>
      </c>
      <c r="L214" s="30" t="n">
        <f aca="false">IF(D214="Yes",(K214-F214)*Inputs!$C$23,0)</f>
        <v>0</v>
      </c>
      <c r="M214" s="30" t="n">
        <f aca="false">K214-F214+L214-G214</f>
        <v>-2.31665708150703E-009</v>
      </c>
      <c r="N214" s="30" t="n">
        <f aca="false">F214+G214</f>
        <v>0</v>
      </c>
      <c r="O214" s="30" t="n">
        <f aca="false">N214-L214</f>
        <v>0</v>
      </c>
      <c r="P214" s="30" t="n">
        <f aca="false">R213</f>
        <v>1.30967237055302E-009</v>
      </c>
      <c r="Q214" s="30" t="n">
        <f aca="false">IF(A214&lt;=Inputs!$C$24,Inputs!$C$29/Inputs!$C$24,0)</f>
        <v>0</v>
      </c>
      <c r="R214" s="30" t="n">
        <f aca="false">P214-Q214</f>
        <v>1.30967237055302E-009</v>
      </c>
      <c r="S214" s="10" t="str">
        <f aca="false">"FY "&amp;(YEAR(B214)-(MONTH(B214)&lt;4))&amp;"-"&amp;RIGHT(YEAR(B214)-(MONTH(B214)&lt;4)+1,2)</f>
        <v>FY 2043-44</v>
      </c>
    </row>
    <row r="215" customFormat="false" ht="15" hidden="false" customHeight="false" outlineLevel="0" collapsed="false">
      <c r="A215" s="22" t="n">
        <v>207</v>
      </c>
      <c r="B215" s="24" t="n">
        <f aca="false">EDATE(Inputs!$C$6,A215-1)</f>
        <v>52383</v>
      </c>
      <c r="C215" s="24" t="n">
        <f aca="false">EDATE(Inputs!$C$6,A215)-1</f>
        <v>52412</v>
      </c>
      <c r="D215" s="10" t="str">
        <f aca="false">IF(A215&lt;=Inputs!$C$7,"Yes","No")</f>
        <v>No</v>
      </c>
      <c r="E215" s="27" t="n">
        <f aca="false">IF(N(Inputs!$C$12)=0,1,(1+Inputs!$C$11)^INT((A215-1)/Inputs!$C$12))</f>
        <v>2.29201831780103</v>
      </c>
      <c r="F215" s="28" t="n">
        <f aca="false">IF(AND(D215="Yes",Inputs!$C$10="Advance",MOD(A215-1,Inputs!$C$22)=0),Inputs!$C$8*E215,0)</f>
        <v>0</v>
      </c>
      <c r="G215" s="28" t="n">
        <f aca="false">IF(AND(D215="Yes",Inputs!$C$10="Arrears",MOD(A215,Inputs!$C$22)=0),Inputs!$C$8*IF(N(Inputs!$C$12)=0,1,(1+Inputs!$C$11)^INT((A215-Inputs!$C$22)/Inputs!$C$12)),0)</f>
        <v>0</v>
      </c>
      <c r="H215" s="29" t="n">
        <f aca="false">1/(1+Inputs!$C$23)^(A215-1)</f>
        <v>0.210567312469371</v>
      </c>
      <c r="I215" s="29" t="n">
        <f aca="false">1/(1+Inputs!$C$23)^A215</f>
        <v>0.208980827352451</v>
      </c>
      <c r="J215" s="30" t="n">
        <f aca="false">F215*H215+G215*I215</f>
        <v>0</v>
      </c>
      <c r="K215" s="30" t="n">
        <f aca="false">M214</f>
        <v>-2.31665708150703E-009</v>
      </c>
      <c r="L215" s="30" t="n">
        <f aca="false">IF(D215="Yes",(K215-F215)*Inputs!$C$23,0)</f>
        <v>0</v>
      </c>
      <c r="M215" s="30" t="n">
        <f aca="false">K215-F215+L215-G215</f>
        <v>-2.31665708150703E-009</v>
      </c>
      <c r="N215" s="30" t="n">
        <f aca="false">F215+G215</f>
        <v>0</v>
      </c>
      <c r="O215" s="30" t="n">
        <f aca="false">N215-L215</f>
        <v>0</v>
      </c>
      <c r="P215" s="30" t="n">
        <f aca="false">R214</f>
        <v>1.30967237055302E-009</v>
      </c>
      <c r="Q215" s="30" t="n">
        <f aca="false">IF(A215&lt;=Inputs!$C$24,Inputs!$C$29/Inputs!$C$24,0)</f>
        <v>0</v>
      </c>
      <c r="R215" s="30" t="n">
        <f aca="false">P215-Q215</f>
        <v>1.30967237055302E-009</v>
      </c>
      <c r="S215" s="10" t="str">
        <f aca="false">"FY "&amp;(YEAR(B215)-(MONTH(B215)&lt;4))&amp;"-"&amp;RIGHT(YEAR(B215)-(MONTH(B215)&lt;4)+1,2)</f>
        <v>FY 2043-44</v>
      </c>
    </row>
    <row r="216" customFormat="false" ht="15" hidden="false" customHeight="false" outlineLevel="0" collapsed="false">
      <c r="A216" s="22" t="n">
        <v>208</v>
      </c>
      <c r="B216" s="24" t="n">
        <f aca="false">EDATE(Inputs!$C$6,A216-1)</f>
        <v>52413</v>
      </c>
      <c r="C216" s="24" t="n">
        <f aca="false">EDATE(Inputs!$C$6,A216)-1</f>
        <v>52443</v>
      </c>
      <c r="D216" s="10" t="str">
        <f aca="false">IF(A216&lt;=Inputs!$C$7,"Yes","No")</f>
        <v>No</v>
      </c>
      <c r="E216" s="27" t="n">
        <f aca="false">IF(N(Inputs!$C$12)=0,1,(1+Inputs!$C$11)^INT((A216-1)/Inputs!$C$12))</f>
        <v>2.29201831780103</v>
      </c>
      <c r="F216" s="28" t="n">
        <f aca="false">IF(AND(D216="Yes",Inputs!$C$10="Advance",MOD(A216-1,Inputs!$C$22)=0),Inputs!$C$8*E216,0)</f>
        <v>0</v>
      </c>
      <c r="G216" s="28" t="n">
        <f aca="false">IF(AND(D216="Yes",Inputs!$C$10="Arrears",MOD(A216,Inputs!$C$22)=0),Inputs!$C$8*IF(N(Inputs!$C$12)=0,1,(1+Inputs!$C$11)^INT((A216-Inputs!$C$22)/Inputs!$C$12)),0)</f>
        <v>0</v>
      </c>
      <c r="H216" s="29" t="n">
        <f aca="false">1/(1+Inputs!$C$23)^(A216-1)</f>
        <v>0.208980827352451</v>
      </c>
      <c r="I216" s="29" t="n">
        <f aca="false">1/(1+Inputs!$C$23)^A216</f>
        <v>0.207406295349224</v>
      </c>
      <c r="J216" s="30" t="n">
        <f aca="false">F216*H216+G216*I216</f>
        <v>0</v>
      </c>
      <c r="K216" s="30" t="n">
        <f aca="false">M215</f>
        <v>-2.31665708150703E-009</v>
      </c>
      <c r="L216" s="30" t="n">
        <f aca="false">IF(D216="Yes",(K216-F216)*Inputs!$C$23,0)</f>
        <v>0</v>
      </c>
      <c r="M216" s="30" t="n">
        <f aca="false">K216-F216+L216-G216</f>
        <v>-2.31665708150703E-009</v>
      </c>
      <c r="N216" s="30" t="n">
        <f aca="false">F216+G216</f>
        <v>0</v>
      </c>
      <c r="O216" s="30" t="n">
        <f aca="false">N216-L216</f>
        <v>0</v>
      </c>
      <c r="P216" s="30" t="n">
        <f aca="false">R215</f>
        <v>1.30967237055302E-009</v>
      </c>
      <c r="Q216" s="30" t="n">
        <f aca="false">IF(A216&lt;=Inputs!$C$24,Inputs!$C$29/Inputs!$C$24,0)</f>
        <v>0</v>
      </c>
      <c r="R216" s="30" t="n">
        <f aca="false">P216-Q216</f>
        <v>1.30967237055302E-009</v>
      </c>
      <c r="S216" s="10" t="str">
        <f aca="false">"FY "&amp;(YEAR(B216)-(MONTH(B216)&lt;4))&amp;"-"&amp;RIGHT(YEAR(B216)-(MONTH(B216)&lt;4)+1,2)</f>
        <v>FY 2043-44</v>
      </c>
    </row>
    <row r="217" customFormat="false" ht="15" hidden="false" customHeight="false" outlineLevel="0" collapsed="false">
      <c r="A217" s="22" t="n">
        <v>209</v>
      </c>
      <c r="B217" s="24" t="n">
        <f aca="false">EDATE(Inputs!$C$6,A217-1)</f>
        <v>52444</v>
      </c>
      <c r="C217" s="24" t="n">
        <f aca="false">EDATE(Inputs!$C$6,A217)-1</f>
        <v>52474</v>
      </c>
      <c r="D217" s="10" t="str">
        <f aca="false">IF(A217&lt;=Inputs!$C$7,"Yes","No")</f>
        <v>No</v>
      </c>
      <c r="E217" s="27" t="n">
        <f aca="false">IF(N(Inputs!$C$12)=0,1,(1+Inputs!$C$11)^INT((A217-1)/Inputs!$C$12))</f>
        <v>2.29201831780103</v>
      </c>
      <c r="F217" s="28" t="n">
        <f aca="false">IF(AND(D217="Yes",Inputs!$C$10="Advance",MOD(A217-1,Inputs!$C$22)=0),Inputs!$C$8*E217,0)</f>
        <v>0</v>
      </c>
      <c r="G217" s="28" t="n">
        <f aca="false">IF(AND(D217="Yes",Inputs!$C$10="Arrears",MOD(A217,Inputs!$C$22)=0),Inputs!$C$8*IF(N(Inputs!$C$12)=0,1,(1+Inputs!$C$11)^INT((A217-Inputs!$C$22)/Inputs!$C$12)),0)</f>
        <v>0</v>
      </c>
      <c r="H217" s="29" t="n">
        <f aca="false">1/(1+Inputs!$C$23)^(A217-1)</f>
        <v>0.207406295349224</v>
      </c>
      <c r="I217" s="29" t="n">
        <f aca="false">1/(1+Inputs!$C$23)^A217</f>
        <v>0.205843626400904</v>
      </c>
      <c r="J217" s="30" t="n">
        <f aca="false">F217*H217+G217*I217</f>
        <v>0</v>
      </c>
      <c r="K217" s="30" t="n">
        <f aca="false">M216</f>
        <v>-2.31665708150703E-009</v>
      </c>
      <c r="L217" s="30" t="n">
        <f aca="false">IF(D217="Yes",(K217-F217)*Inputs!$C$23,0)</f>
        <v>0</v>
      </c>
      <c r="M217" s="30" t="n">
        <f aca="false">K217-F217+L217-G217</f>
        <v>-2.31665708150703E-009</v>
      </c>
      <c r="N217" s="30" t="n">
        <f aca="false">F217+G217</f>
        <v>0</v>
      </c>
      <c r="O217" s="30" t="n">
        <f aca="false">N217-L217</f>
        <v>0</v>
      </c>
      <c r="P217" s="30" t="n">
        <f aca="false">R216</f>
        <v>1.30967237055302E-009</v>
      </c>
      <c r="Q217" s="30" t="n">
        <f aca="false">IF(A217&lt;=Inputs!$C$24,Inputs!$C$29/Inputs!$C$24,0)</f>
        <v>0</v>
      </c>
      <c r="R217" s="30" t="n">
        <f aca="false">P217-Q217</f>
        <v>1.30967237055302E-009</v>
      </c>
      <c r="S217" s="10" t="str">
        <f aca="false">"FY "&amp;(YEAR(B217)-(MONTH(B217)&lt;4))&amp;"-"&amp;RIGHT(YEAR(B217)-(MONTH(B217)&lt;4)+1,2)</f>
        <v>FY 2043-44</v>
      </c>
    </row>
    <row r="218" customFormat="false" ht="15" hidden="false" customHeight="false" outlineLevel="0" collapsed="false">
      <c r="A218" s="22" t="n">
        <v>210</v>
      </c>
      <c r="B218" s="24" t="n">
        <f aca="false">EDATE(Inputs!$C$6,A218-1)</f>
        <v>52475</v>
      </c>
      <c r="C218" s="24" t="n">
        <f aca="false">EDATE(Inputs!$C$6,A218)-1</f>
        <v>52504</v>
      </c>
      <c r="D218" s="10" t="str">
        <f aca="false">IF(A218&lt;=Inputs!$C$7,"Yes","No")</f>
        <v>No</v>
      </c>
      <c r="E218" s="27" t="n">
        <f aca="false">IF(N(Inputs!$C$12)=0,1,(1+Inputs!$C$11)^INT((A218-1)/Inputs!$C$12))</f>
        <v>2.29201831780103</v>
      </c>
      <c r="F218" s="28" t="n">
        <f aca="false">IF(AND(D218="Yes",Inputs!$C$10="Advance",MOD(A218-1,Inputs!$C$22)=0),Inputs!$C$8*E218,0)</f>
        <v>0</v>
      </c>
      <c r="G218" s="28" t="n">
        <f aca="false">IF(AND(D218="Yes",Inputs!$C$10="Arrears",MOD(A218,Inputs!$C$22)=0),Inputs!$C$8*IF(N(Inputs!$C$12)=0,1,(1+Inputs!$C$11)^INT((A218-Inputs!$C$22)/Inputs!$C$12)),0)</f>
        <v>0</v>
      </c>
      <c r="H218" s="29" t="n">
        <f aca="false">1/(1+Inputs!$C$23)^(A218-1)</f>
        <v>0.205843626400904</v>
      </c>
      <c r="I218" s="29" t="n">
        <f aca="false">1/(1+Inputs!$C$23)^A218</f>
        <v>0.204292731127235</v>
      </c>
      <c r="J218" s="30" t="n">
        <f aca="false">F218*H218+G218*I218</f>
        <v>0</v>
      </c>
      <c r="K218" s="30" t="n">
        <f aca="false">M217</f>
        <v>-2.31665708150703E-009</v>
      </c>
      <c r="L218" s="30" t="n">
        <f aca="false">IF(D218="Yes",(K218-F218)*Inputs!$C$23,0)</f>
        <v>0</v>
      </c>
      <c r="M218" s="30" t="n">
        <f aca="false">K218-F218+L218-G218</f>
        <v>-2.31665708150703E-009</v>
      </c>
      <c r="N218" s="30" t="n">
        <f aca="false">F218+G218</f>
        <v>0</v>
      </c>
      <c r="O218" s="30" t="n">
        <f aca="false">N218-L218</f>
        <v>0</v>
      </c>
      <c r="P218" s="30" t="n">
        <f aca="false">R217</f>
        <v>1.30967237055302E-009</v>
      </c>
      <c r="Q218" s="30" t="n">
        <f aca="false">IF(A218&lt;=Inputs!$C$24,Inputs!$C$29/Inputs!$C$24,0)</f>
        <v>0</v>
      </c>
      <c r="R218" s="30" t="n">
        <f aca="false">P218-Q218</f>
        <v>1.30967237055302E-009</v>
      </c>
      <c r="S218" s="10" t="str">
        <f aca="false">"FY "&amp;(YEAR(B218)-(MONTH(B218)&lt;4))&amp;"-"&amp;RIGHT(YEAR(B218)-(MONTH(B218)&lt;4)+1,2)</f>
        <v>FY 2043-44</v>
      </c>
    </row>
    <row r="219" customFormat="false" ht="15" hidden="false" customHeight="false" outlineLevel="0" collapsed="false">
      <c r="A219" s="22" t="n">
        <v>211</v>
      </c>
      <c r="B219" s="24" t="n">
        <f aca="false">EDATE(Inputs!$C$6,A219-1)</f>
        <v>52505</v>
      </c>
      <c r="C219" s="24" t="n">
        <f aca="false">EDATE(Inputs!$C$6,A219)-1</f>
        <v>52535</v>
      </c>
      <c r="D219" s="10" t="str">
        <f aca="false">IF(A219&lt;=Inputs!$C$7,"Yes","No")</f>
        <v>No</v>
      </c>
      <c r="E219" s="27" t="n">
        <f aca="false">IF(N(Inputs!$C$12)=0,1,(1+Inputs!$C$11)^INT((A219-1)/Inputs!$C$12))</f>
        <v>2.29201831780103</v>
      </c>
      <c r="F219" s="28" t="n">
        <f aca="false">IF(AND(D219="Yes",Inputs!$C$10="Advance",MOD(A219-1,Inputs!$C$22)=0),Inputs!$C$8*E219,0)</f>
        <v>0</v>
      </c>
      <c r="G219" s="28" t="n">
        <f aca="false">IF(AND(D219="Yes",Inputs!$C$10="Arrears",MOD(A219,Inputs!$C$22)=0),Inputs!$C$8*IF(N(Inputs!$C$12)=0,1,(1+Inputs!$C$11)^INT((A219-Inputs!$C$22)/Inputs!$C$12)),0)</f>
        <v>0</v>
      </c>
      <c r="H219" s="29" t="n">
        <f aca="false">1/(1+Inputs!$C$23)^(A219-1)</f>
        <v>0.204292731127235</v>
      </c>
      <c r="I219" s="29" t="n">
        <f aca="false">1/(1+Inputs!$C$23)^A219</f>
        <v>0.202753520821383</v>
      </c>
      <c r="J219" s="30" t="n">
        <f aca="false">F219*H219+G219*I219</f>
        <v>0</v>
      </c>
      <c r="K219" s="30" t="n">
        <f aca="false">M218</f>
        <v>-2.31665708150703E-009</v>
      </c>
      <c r="L219" s="30" t="n">
        <f aca="false">IF(D219="Yes",(K219-F219)*Inputs!$C$23,0)</f>
        <v>0</v>
      </c>
      <c r="M219" s="30" t="n">
        <f aca="false">K219-F219+L219-G219</f>
        <v>-2.31665708150703E-009</v>
      </c>
      <c r="N219" s="30" t="n">
        <f aca="false">F219+G219</f>
        <v>0</v>
      </c>
      <c r="O219" s="30" t="n">
        <f aca="false">N219-L219</f>
        <v>0</v>
      </c>
      <c r="P219" s="30" t="n">
        <f aca="false">R218</f>
        <v>1.30967237055302E-009</v>
      </c>
      <c r="Q219" s="30" t="n">
        <f aca="false">IF(A219&lt;=Inputs!$C$24,Inputs!$C$29/Inputs!$C$24,0)</f>
        <v>0</v>
      </c>
      <c r="R219" s="30" t="n">
        <f aca="false">P219-Q219</f>
        <v>1.30967237055302E-009</v>
      </c>
      <c r="S219" s="10" t="str">
        <f aca="false">"FY "&amp;(YEAR(B219)-(MONTH(B219)&lt;4))&amp;"-"&amp;RIGHT(YEAR(B219)-(MONTH(B219)&lt;4)+1,2)</f>
        <v>FY 2043-44</v>
      </c>
    </row>
    <row r="220" customFormat="false" ht="15" hidden="false" customHeight="false" outlineLevel="0" collapsed="false">
      <c r="A220" s="22" t="n">
        <v>212</v>
      </c>
      <c r="B220" s="24" t="n">
        <f aca="false">EDATE(Inputs!$C$6,A220-1)</f>
        <v>52536</v>
      </c>
      <c r="C220" s="24" t="n">
        <f aca="false">EDATE(Inputs!$C$6,A220)-1</f>
        <v>52565</v>
      </c>
      <c r="D220" s="10" t="str">
        <f aca="false">IF(A220&lt;=Inputs!$C$7,"Yes","No")</f>
        <v>No</v>
      </c>
      <c r="E220" s="27" t="n">
        <f aca="false">IF(N(Inputs!$C$12)=0,1,(1+Inputs!$C$11)^INT((A220-1)/Inputs!$C$12))</f>
        <v>2.29201831780103</v>
      </c>
      <c r="F220" s="28" t="n">
        <f aca="false">IF(AND(D220="Yes",Inputs!$C$10="Advance",MOD(A220-1,Inputs!$C$22)=0),Inputs!$C$8*E220,0)</f>
        <v>0</v>
      </c>
      <c r="G220" s="28" t="n">
        <f aca="false">IF(AND(D220="Yes",Inputs!$C$10="Arrears",MOD(A220,Inputs!$C$22)=0),Inputs!$C$8*IF(N(Inputs!$C$12)=0,1,(1+Inputs!$C$11)^INT((A220-Inputs!$C$22)/Inputs!$C$12)),0)</f>
        <v>0</v>
      </c>
      <c r="H220" s="29" t="n">
        <f aca="false">1/(1+Inputs!$C$23)^(A220-1)</f>
        <v>0.202753520821383</v>
      </c>
      <c r="I220" s="29" t="n">
        <f aca="false">1/(1+Inputs!$C$23)^A220</f>
        <v>0.201225907444862</v>
      </c>
      <c r="J220" s="30" t="n">
        <f aca="false">F220*H220+G220*I220</f>
        <v>0</v>
      </c>
      <c r="K220" s="30" t="n">
        <f aca="false">M219</f>
        <v>-2.31665708150703E-009</v>
      </c>
      <c r="L220" s="30" t="n">
        <f aca="false">IF(D220="Yes",(K220-F220)*Inputs!$C$23,0)</f>
        <v>0</v>
      </c>
      <c r="M220" s="30" t="n">
        <f aca="false">K220-F220+L220-G220</f>
        <v>-2.31665708150703E-009</v>
      </c>
      <c r="N220" s="30" t="n">
        <f aca="false">F220+G220</f>
        <v>0</v>
      </c>
      <c r="O220" s="30" t="n">
        <f aca="false">N220-L220</f>
        <v>0</v>
      </c>
      <c r="P220" s="30" t="n">
        <f aca="false">R219</f>
        <v>1.30967237055302E-009</v>
      </c>
      <c r="Q220" s="30" t="n">
        <f aca="false">IF(A220&lt;=Inputs!$C$24,Inputs!$C$29/Inputs!$C$24,0)</f>
        <v>0</v>
      </c>
      <c r="R220" s="30" t="n">
        <f aca="false">P220-Q220</f>
        <v>1.30967237055302E-009</v>
      </c>
      <c r="S220" s="10" t="str">
        <f aca="false">"FY "&amp;(YEAR(B220)-(MONTH(B220)&lt;4))&amp;"-"&amp;RIGHT(YEAR(B220)-(MONTH(B220)&lt;4)+1,2)</f>
        <v>FY 2043-44</v>
      </c>
    </row>
    <row r="221" customFormat="false" ht="15" hidden="false" customHeight="false" outlineLevel="0" collapsed="false">
      <c r="A221" s="22" t="n">
        <v>213</v>
      </c>
      <c r="B221" s="24" t="n">
        <f aca="false">EDATE(Inputs!$C$6,A221-1)</f>
        <v>52566</v>
      </c>
      <c r="C221" s="24" t="n">
        <f aca="false">EDATE(Inputs!$C$6,A221)-1</f>
        <v>52596</v>
      </c>
      <c r="D221" s="10" t="str">
        <f aca="false">IF(A221&lt;=Inputs!$C$7,"Yes","No")</f>
        <v>No</v>
      </c>
      <c r="E221" s="27" t="n">
        <f aca="false">IF(N(Inputs!$C$12)=0,1,(1+Inputs!$C$11)^INT((A221-1)/Inputs!$C$12))</f>
        <v>2.29201831780103</v>
      </c>
      <c r="F221" s="28" t="n">
        <f aca="false">IF(AND(D221="Yes",Inputs!$C$10="Advance",MOD(A221-1,Inputs!$C$22)=0),Inputs!$C$8*E221,0)</f>
        <v>0</v>
      </c>
      <c r="G221" s="28" t="n">
        <f aca="false">IF(AND(D221="Yes",Inputs!$C$10="Arrears",MOD(A221,Inputs!$C$22)=0),Inputs!$C$8*IF(N(Inputs!$C$12)=0,1,(1+Inputs!$C$11)^INT((A221-Inputs!$C$22)/Inputs!$C$12)),0)</f>
        <v>0</v>
      </c>
      <c r="H221" s="29" t="n">
        <f aca="false">1/(1+Inputs!$C$23)^(A221-1)</f>
        <v>0.201225907444862</v>
      </c>
      <c r="I221" s="29" t="n">
        <f aca="false">1/(1+Inputs!$C$23)^A221</f>
        <v>0.199709803622496</v>
      </c>
      <c r="J221" s="30" t="n">
        <f aca="false">F221*H221+G221*I221</f>
        <v>0</v>
      </c>
      <c r="K221" s="30" t="n">
        <f aca="false">M220</f>
        <v>-2.31665708150703E-009</v>
      </c>
      <c r="L221" s="30" t="n">
        <f aca="false">IF(D221="Yes",(K221-F221)*Inputs!$C$23,0)</f>
        <v>0</v>
      </c>
      <c r="M221" s="30" t="n">
        <f aca="false">K221-F221+L221-G221</f>
        <v>-2.31665708150703E-009</v>
      </c>
      <c r="N221" s="30" t="n">
        <f aca="false">F221+G221</f>
        <v>0</v>
      </c>
      <c r="O221" s="30" t="n">
        <f aca="false">N221-L221</f>
        <v>0</v>
      </c>
      <c r="P221" s="30" t="n">
        <f aca="false">R220</f>
        <v>1.30967237055302E-009</v>
      </c>
      <c r="Q221" s="30" t="n">
        <f aca="false">IF(A221&lt;=Inputs!$C$24,Inputs!$C$29/Inputs!$C$24,0)</f>
        <v>0</v>
      </c>
      <c r="R221" s="30" t="n">
        <f aca="false">P221-Q221</f>
        <v>1.30967237055302E-009</v>
      </c>
      <c r="S221" s="10" t="str">
        <f aca="false">"FY "&amp;(YEAR(B221)-(MONTH(B221)&lt;4))&amp;"-"&amp;RIGHT(YEAR(B221)-(MONTH(B221)&lt;4)+1,2)</f>
        <v>FY 2043-44</v>
      </c>
    </row>
    <row r="222" customFormat="false" ht="15" hidden="false" customHeight="false" outlineLevel="0" collapsed="false">
      <c r="A222" s="22" t="n">
        <v>214</v>
      </c>
      <c r="B222" s="24" t="n">
        <f aca="false">EDATE(Inputs!$C$6,A222-1)</f>
        <v>52597</v>
      </c>
      <c r="C222" s="24" t="n">
        <f aca="false">EDATE(Inputs!$C$6,A222)-1</f>
        <v>52627</v>
      </c>
      <c r="D222" s="10" t="str">
        <f aca="false">IF(A222&lt;=Inputs!$C$7,"Yes","No")</f>
        <v>No</v>
      </c>
      <c r="E222" s="27" t="n">
        <f aca="false">IF(N(Inputs!$C$12)=0,1,(1+Inputs!$C$11)^INT((A222-1)/Inputs!$C$12))</f>
        <v>2.29201831780103</v>
      </c>
      <c r="F222" s="28" t="n">
        <f aca="false">IF(AND(D222="Yes",Inputs!$C$10="Advance",MOD(A222-1,Inputs!$C$22)=0),Inputs!$C$8*E222,0)</f>
        <v>0</v>
      </c>
      <c r="G222" s="28" t="n">
        <f aca="false">IF(AND(D222="Yes",Inputs!$C$10="Arrears",MOD(A222,Inputs!$C$22)=0),Inputs!$C$8*IF(N(Inputs!$C$12)=0,1,(1+Inputs!$C$11)^INT((A222-Inputs!$C$22)/Inputs!$C$12)),0)</f>
        <v>0</v>
      </c>
      <c r="H222" s="29" t="n">
        <f aca="false">1/(1+Inputs!$C$23)^(A222-1)</f>
        <v>0.199709803622496</v>
      </c>
      <c r="I222" s="29" t="n">
        <f aca="false">1/(1+Inputs!$C$23)^A222</f>
        <v>0.198205122637425</v>
      </c>
      <c r="J222" s="30" t="n">
        <f aca="false">F222*H222+G222*I222</f>
        <v>0</v>
      </c>
      <c r="K222" s="30" t="n">
        <f aca="false">M221</f>
        <v>-2.31665708150703E-009</v>
      </c>
      <c r="L222" s="30" t="n">
        <f aca="false">IF(D222="Yes",(K222-F222)*Inputs!$C$23,0)</f>
        <v>0</v>
      </c>
      <c r="M222" s="30" t="n">
        <f aca="false">K222-F222+L222-G222</f>
        <v>-2.31665708150703E-009</v>
      </c>
      <c r="N222" s="30" t="n">
        <f aca="false">F222+G222</f>
        <v>0</v>
      </c>
      <c r="O222" s="30" t="n">
        <f aca="false">N222-L222</f>
        <v>0</v>
      </c>
      <c r="P222" s="30" t="n">
        <f aca="false">R221</f>
        <v>1.30967237055302E-009</v>
      </c>
      <c r="Q222" s="30" t="n">
        <f aca="false">IF(A222&lt;=Inputs!$C$24,Inputs!$C$29/Inputs!$C$24,0)</f>
        <v>0</v>
      </c>
      <c r="R222" s="30" t="n">
        <f aca="false">P222-Q222</f>
        <v>1.30967237055302E-009</v>
      </c>
      <c r="S222" s="10" t="str">
        <f aca="false">"FY "&amp;(YEAR(B222)-(MONTH(B222)&lt;4))&amp;"-"&amp;RIGHT(YEAR(B222)-(MONTH(B222)&lt;4)+1,2)</f>
        <v>FY 2043-44</v>
      </c>
    </row>
    <row r="223" customFormat="false" ht="15" hidden="false" customHeight="false" outlineLevel="0" collapsed="false">
      <c r="A223" s="22" t="n">
        <v>215</v>
      </c>
      <c r="B223" s="24" t="n">
        <f aca="false">EDATE(Inputs!$C$6,A223-1)</f>
        <v>52628</v>
      </c>
      <c r="C223" s="24" t="n">
        <f aca="false">EDATE(Inputs!$C$6,A223)-1</f>
        <v>52656</v>
      </c>
      <c r="D223" s="10" t="str">
        <f aca="false">IF(A223&lt;=Inputs!$C$7,"Yes","No")</f>
        <v>No</v>
      </c>
      <c r="E223" s="27" t="n">
        <f aca="false">IF(N(Inputs!$C$12)=0,1,(1+Inputs!$C$11)^INT((A223-1)/Inputs!$C$12))</f>
        <v>2.29201831780103</v>
      </c>
      <c r="F223" s="28" t="n">
        <f aca="false">IF(AND(D223="Yes",Inputs!$C$10="Advance",MOD(A223-1,Inputs!$C$22)=0),Inputs!$C$8*E223,0)</f>
        <v>0</v>
      </c>
      <c r="G223" s="28" t="n">
        <f aca="false">IF(AND(D223="Yes",Inputs!$C$10="Arrears",MOD(A223,Inputs!$C$22)=0),Inputs!$C$8*IF(N(Inputs!$C$12)=0,1,(1+Inputs!$C$11)^INT((A223-Inputs!$C$22)/Inputs!$C$12)),0)</f>
        <v>0</v>
      </c>
      <c r="H223" s="29" t="n">
        <f aca="false">1/(1+Inputs!$C$23)^(A223-1)</f>
        <v>0.198205122637425</v>
      </c>
      <c r="I223" s="29" t="n">
        <f aca="false">1/(1+Inputs!$C$23)^A223</f>
        <v>0.196711778426141</v>
      </c>
      <c r="J223" s="30" t="n">
        <f aca="false">F223*H223+G223*I223</f>
        <v>0</v>
      </c>
      <c r="K223" s="30" t="n">
        <f aca="false">M222</f>
        <v>-2.31665708150703E-009</v>
      </c>
      <c r="L223" s="30" t="n">
        <f aca="false">IF(D223="Yes",(K223-F223)*Inputs!$C$23,0)</f>
        <v>0</v>
      </c>
      <c r="M223" s="30" t="n">
        <f aca="false">K223-F223+L223-G223</f>
        <v>-2.31665708150703E-009</v>
      </c>
      <c r="N223" s="30" t="n">
        <f aca="false">F223+G223</f>
        <v>0</v>
      </c>
      <c r="O223" s="30" t="n">
        <f aca="false">N223-L223</f>
        <v>0</v>
      </c>
      <c r="P223" s="30" t="n">
        <f aca="false">R222</f>
        <v>1.30967237055302E-009</v>
      </c>
      <c r="Q223" s="30" t="n">
        <f aca="false">IF(A223&lt;=Inputs!$C$24,Inputs!$C$29/Inputs!$C$24,0)</f>
        <v>0</v>
      </c>
      <c r="R223" s="30" t="n">
        <f aca="false">P223-Q223</f>
        <v>1.30967237055302E-009</v>
      </c>
      <c r="S223" s="10" t="str">
        <f aca="false">"FY "&amp;(YEAR(B223)-(MONTH(B223)&lt;4))&amp;"-"&amp;RIGHT(YEAR(B223)-(MONTH(B223)&lt;4)+1,2)</f>
        <v>FY 2043-44</v>
      </c>
    </row>
    <row r="224" customFormat="false" ht="15" hidden="false" customHeight="false" outlineLevel="0" collapsed="false">
      <c r="A224" s="22" t="n">
        <v>216</v>
      </c>
      <c r="B224" s="24" t="n">
        <f aca="false">EDATE(Inputs!$C$6,A224-1)</f>
        <v>52657</v>
      </c>
      <c r="C224" s="24" t="n">
        <f aca="false">EDATE(Inputs!$C$6,A224)-1</f>
        <v>52687</v>
      </c>
      <c r="D224" s="10" t="str">
        <f aca="false">IF(A224&lt;=Inputs!$C$7,"Yes","No")</f>
        <v>No</v>
      </c>
      <c r="E224" s="27" t="n">
        <f aca="false">IF(N(Inputs!$C$12)=0,1,(1+Inputs!$C$11)^INT((A224-1)/Inputs!$C$12))</f>
        <v>2.29201831780103</v>
      </c>
      <c r="F224" s="28" t="n">
        <f aca="false">IF(AND(D224="Yes",Inputs!$C$10="Advance",MOD(A224-1,Inputs!$C$22)=0),Inputs!$C$8*E224,0)</f>
        <v>0</v>
      </c>
      <c r="G224" s="28" t="n">
        <f aca="false">IF(AND(D224="Yes",Inputs!$C$10="Arrears",MOD(A224,Inputs!$C$22)=0),Inputs!$C$8*IF(N(Inputs!$C$12)=0,1,(1+Inputs!$C$11)^INT((A224-Inputs!$C$22)/Inputs!$C$12)),0)</f>
        <v>0</v>
      </c>
      <c r="H224" s="29" t="n">
        <f aca="false">1/(1+Inputs!$C$23)^(A224-1)</f>
        <v>0.196711778426141</v>
      </c>
      <c r="I224" s="29" t="n">
        <f aca="false">1/(1+Inputs!$C$23)^A224</f>
        <v>0.19522968557357</v>
      </c>
      <c r="J224" s="30" t="n">
        <f aca="false">F224*H224+G224*I224</f>
        <v>0</v>
      </c>
      <c r="K224" s="30" t="n">
        <f aca="false">M223</f>
        <v>-2.31665708150703E-009</v>
      </c>
      <c r="L224" s="30" t="n">
        <f aca="false">IF(D224="Yes",(K224-F224)*Inputs!$C$23,0)</f>
        <v>0</v>
      </c>
      <c r="M224" s="30" t="n">
        <f aca="false">K224-F224+L224-G224</f>
        <v>-2.31665708150703E-009</v>
      </c>
      <c r="N224" s="30" t="n">
        <f aca="false">F224+G224</f>
        <v>0</v>
      </c>
      <c r="O224" s="30" t="n">
        <f aca="false">N224-L224</f>
        <v>0</v>
      </c>
      <c r="P224" s="30" t="n">
        <f aca="false">R223</f>
        <v>1.30967237055302E-009</v>
      </c>
      <c r="Q224" s="30" t="n">
        <f aca="false">IF(A224&lt;=Inputs!$C$24,Inputs!$C$29/Inputs!$C$24,0)</f>
        <v>0</v>
      </c>
      <c r="R224" s="30" t="n">
        <f aca="false">P224-Q224</f>
        <v>1.30967237055302E-009</v>
      </c>
      <c r="S224" s="10" t="str">
        <f aca="false">"FY "&amp;(YEAR(B224)-(MONTH(B224)&lt;4))&amp;"-"&amp;RIGHT(YEAR(B224)-(MONTH(B224)&lt;4)+1,2)</f>
        <v>FY 2043-44</v>
      </c>
    </row>
    <row r="225" customFormat="false" ht="15" hidden="false" customHeight="false" outlineLevel="0" collapsed="false">
      <c r="A225" s="22" t="n">
        <v>217</v>
      </c>
      <c r="B225" s="24" t="n">
        <f aca="false">EDATE(Inputs!$C$6,A225-1)</f>
        <v>52688</v>
      </c>
      <c r="C225" s="24" t="n">
        <f aca="false">EDATE(Inputs!$C$6,A225)-1</f>
        <v>52717</v>
      </c>
      <c r="D225" s="10" t="str">
        <f aca="false">IF(A225&lt;=Inputs!$C$7,"Yes","No")</f>
        <v>No</v>
      </c>
      <c r="E225" s="27" t="n">
        <f aca="false">IF(N(Inputs!$C$12)=0,1,(1+Inputs!$C$11)^INT((A225-1)/Inputs!$C$12))</f>
        <v>2.40661923369109</v>
      </c>
      <c r="F225" s="28" t="n">
        <f aca="false">IF(AND(D225="Yes",Inputs!$C$10="Advance",MOD(A225-1,Inputs!$C$22)=0),Inputs!$C$8*E225,0)</f>
        <v>0</v>
      </c>
      <c r="G225" s="28" t="n">
        <f aca="false">IF(AND(D225="Yes",Inputs!$C$10="Arrears",MOD(A225,Inputs!$C$22)=0),Inputs!$C$8*IF(N(Inputs!$C$12)=0,1,(1+Inputs!$C$11)^INT((A225-Inputs!$C$22)/Inputs!$C$12)),0)</f>
        <v>0</v>
      </c>
      <c r="H225" s="29" t="n">
        <f aca="false">1/(1+Inputs!$C$23)^(A225-1)</f>
        <v>0.19522968557357</v>
      </c>
      <c r="I225" s="29" t="n">
        <f aca="false">1/(1+Inputs!$C$23)^A225</f>
        <v>0.193758759308181</v>
      </c>
      <c r="J225" s="30" t="n">
        <f aca="false">F225*H225+G225*I225</f>
        <v>0</v>
      </c>
      <c r="K225" s="30" t="n">
        <f aca="false">M224</f>
        <v>-2.31665708150703E-009</v>
      </c>
      <c r="L225" s="30" t="n">
        <f aca="false">IF(D225="Yes",(K225-F225)*Inputs!$C$23,0)</f>
        <v>0</v>
      </c>
      <c r="M225" s="30" t="n">
        <f aca="false">K225-F225+L225-G225</f>
        <v>-2.31665708150703E-009</v>
      </c>
      <c r="N225" s="30" t="n">
        <f aca="false">F225+G225</f>
        <v>0</v>
      </c>
      <c r="O225" s="30" t="n">
        <f aca="false">N225-L225</f>
        <v>0</v>
      </c>
      <c r="P225" s="30" t="n">
        <f aca="false">R224</f>
        <v>1.30967237055302E-009</v>
      </c>
      <c r="Q225" s="30" t="n">
        <f aca="false">IF(A225&lt;=Inputs!$C$24,Inputs!$C$29/Inputs!$C$24,0)</f>
        <v>0</v>
      </c>
      <c r="R225" s="30" t="n">
        <f aca="false">P225-Q225</f>
        <v>1.30967237055302E-009</v>
      </c>
      <c r="S225" s="10" t="str">
        <f aca="false">"FY "&amp;(YEAR(B225)-(MONTH(B225)&lt;4))&amp;"-"&amp;RIGHT(YEAR(B225)-(MONTH(B225)&lt;4)+1,2)</f>
        <v>FY 2044-45</v>
      </c>
    </row>
    <row r="226" customFormat="false" ht="15" hidden="false" customHeight="false" outlineLevel="0" collapsed="false">
      <c r="A226" s="22" t="n">
        <v>218</v>
      </c>
      <c r="B226" s="24" t="n">
        <f aca="false">EDATE(Inputs!$C$6,A226-1)</f>
        <v>52718</v>
      </c>
      <c r="C226" s="24" t="n">
        <f aca="false">EDATE(Inputs!$C$6,A226)-1</f>
        <v>52748</v>
      </c>
      <c r="D226" s="10" t="str">
        <f aca="false">IF(A226&lt;=Inputs!$C$7,"Yes","No")</f>
        <v>No</v>
      </c>
      <c r="E226" s="27" t="n">
        <f aca="false">IF(N(Inputs!$C$12)=0,1,(1+Inputs!$C$11)^INT((A226-1)/Inputs!$C$12))</f>
        <v>2.40661923369109</v>
      </c>
      <c r="F226" s="28" t="n">
        <f aca="false">IF(AND(D226="Yes",Inputs!$C$10="Advance",MOD(A226-1,Inputs!$C$22)=0),Inputs!$C$8*E226,0)</f>
        <v>0</v>
      </c>
      <c r="G226" s="28" t="n">
        <f aca="false">IF(AND(D226="Yes",Inputs!$C$10="Arrears",MOD(A226,Inputs!$C$22)=0),Inputs!$C$8*IF(N(Inputs!$C$12)=0,1,(1+Inputs!$C$11)^INT((A226-Inputs!$C$22)/Inputs!$C$12)),0)</f>
        <v>0</v>
      </c>
      <c r="H226" s="29" t="n">
        <f aca="false">1/(1+Inputs!$C$23)^(A226-1)</f>
        <v>0.193758759308181</v>
      </c>
      <c r="I226" s="29" t="n">
        <f aca="false">1/(1+Inputs!$C$23)^A226</f>
        <v>0.192298915497143</v>
      </c>
      <c r="J226" s="30" t="n">
        <f aca="false">F226*H226+G226*I226</f>
        <v>0</v>
      </c>
      <c r="K226" s="30" t="n">
        <f aca="false">M225</f>
        <v>-2.31665708150703E-009</v>
      </c>
      <c r="L226" s="30" t="n">
        <f aca="false">IF(D226="Yes",(K226-F226)*Inputs!$C$23,0)</f>
        <v>0</v>
      </c>
      <c r="M226" s="30" t="n">
        <f aca="false">K226-F226+L226-G226</f>
        <v>-2.31665708150703E-009</v>
      </c>
      <c r="N226" s="30" t="n">
        <f aca="false">F226+G226</f>
        <v>0</v>
      </c>
      <c r="O226" s="30" t="n">
        <f aca="false">N226-L226</f>
        <v>0</v>
      </c>
      <c r="P226" s="30" t="n">
        <f aca="false">R225</f>
        <v>1.30967237055302E-009</v>
      </c>
      <c r="Q226" s="30" t="n">
        <f aca="false">IF(A226&lt;=Inputs!$C$24,Inputs!$C$29/Inputs!$C$24,0)</f>
        <v>0</v>
      </c>
      <c r="R226" s="30" t="n">
        <f aca="false">P226-Q226</f>
        <v>1.30967237055302E-009</v>
      </c>
      <c r="S226" s="10" t="str">
        <f aca="false">"FY "&amp;(YEAR(B226)-(MONTH(B226)&lt;4))&amp;"-"&amp;RIGHT(YEAR(B226)-(MONTH(B226)&lt;4)+1,2)</f>
        <v>FY 2044-45</v>
      </c>
    </row>
    <row r="227" customFormat="false" ht="15" hidden="false" customHeight="false" outlineLevel="0" collapsed="false">
      <c r="A227" s="22" t="n">
        <v>219</v>
      </c>
      <c r="B227" s="24" t="n">
        <f aca="false">EDATE(Inputs!$C$6,A227-1)</f>
        <v>52749</v>
      </c>
      <c r="C227" s="24" t="n">
        <f aca="false">EDATE(Inputs!$C$6,A227)-1</f>
        <v>52778</v>
      </c>
      <c r="D227" s="10" t="str">
        <f aca="false">IF(A227&lt;=Inputs!$C$7,"Yes","No")</f>
        <v>No</v>
      </c>
      <c r="E227" s="27" t="n">
        <f aca="false">IF(N(Inputs!$C$12)=0,1,(1+Inputs!$C$11)^INT((A227-1)/Inputs!$C$12))</f>
        <v>2.40661923369109</v>
      </c>
      <c r="F227" s="28" t="n">
        <f aca="false">IF(AND(D227="Yes",Inputs!$C$10="Advance",MOD(A227-1,Inputs!$C$22)=0),Inputs!$C$8*E227,0)</f>
        <v>0</v>
      </c>
      <c r="G227" s="28" t="n">
        <f aca="false">IF(AND(D227="Yes",Inputs!$C$10="Arrears",MOD(A227,Inputs!$C$22)=0),Inputs!$C$8*IF(N(Inputs!$C$12)=0,1,(1+Inputs!$C$11)^INT((A227-Inputs!$C$22)/Inputs!$C$12)),0)</f>
        <v>0</v>
      </c>
      <c r="H227" s="29" t="n">
        <f aca="false">1/(1+Inputs!$C$23)^(A227-1)</f>
        <v>0.192298915497143</v>
      </c>
      <c r="I227" s="29" t="n">
        <f aca="false">1/(1+Inputs!$C$23)^A227</f>
        <v>0.190850070641508</v>
      </c>
      <c r="J227" s="30" t="n">
        <f aca="false">F227*H227+G227*I227</f>
        <v>0</v>
      </c>
      <c r="K227" s="30" t="n">
        <f aca="false">M226</f>
        <v>-2.31665708150703E-009</v>
      </c>
      <c r="L227" s="30" t="n">
        <f aca="false">IF(D227="Yes",(K227-F227)*Inputs!$C$23,0)</f>
        <v>0</v>
      </c>
      <c r="M227" s="30" t="n">
        <f aca="false">K227-F227+L227-G227</f>
        <v>-2.31665708150703E-009</v>
      </c>
      <c r="N227" s="30" t="n">
        <f aca="false">F227+G227</f>
        <v>0</v>
      </c>
      <c r="O227" s="30" t="n">
        <f aca="false">N227-L227</f>
        <v>0</v>
      </c>
      <c r="P227" s="30" t="n">
        <f aca="false">R226</f>
        <v>1.30967237055302E-009</v>
      </c>
      <c r="Q227" s="30" t="n">
        <f aca="false">IF(A227&lt;=Inputs!$C$24,Inputs!$C$29/Inputs!$C$24,0)</f>
        <v>0</v>
      </c>
      <c r="R227" s="30" t="n">
        <f aca="false">P227-Q227</f>
        <v>1.30967237055302E-009</v>
      </c>
      <c r="S227" s="10" t="str">
        <f aca="false">"FY "&amp;(YEAR(B227)-(MONTH(B227)&lt;4))&amp;"-"&amp;RIGHT(YEAR(B227)-(MONTH(B227)&lt;4)+1,2)</f>
        <v>FY 2044-45</v>
      </c>
    </row>
    <row r="228" customFormat="false" ht="15" hidden="false" customHeight="false" outlineLevel="0" collapsed="false">
      <c r="A228" s="22" t="n">
        <v>220</v>
      </c>
      <c r="B228" s="24" t="n">
        <f aca="false">EDATE(Inputs!$C$6,A228-1)</f>
        <v>52779</v>
      </c>
      <c r="C228" s="24" t="n">
        <f aca="false">EDATE(Inputs!$C$6,A228)-1</f>
        <v>52809</v>
      </c>
      <c r="D228" s="10" t="str">
        <f aca="false">IF(A228&lt;=Inputs!$C$7,"Yes","No")</f>
        <v>No</v>
      </c>
      <c r="E228" s="27" t="n">
        <f aca="false">IF(N(Inputs!$C$12)=0,1,(1+Inputs!$C$11)^INT((A228-1)/Inputs!$C$12))</f>
        <v>2.40661923369109</v>
      </c>
      <c r="F228" s="28" t="n">
        <f aca="false">IF(AND(D228="Yes",Inputs!$C$10="Advance",MOD(A228-1,Inputs!$C$22)=0),Inputs!$C$8*E228,0)</f>
        <v>0</v>
      </c>
      <c r="G228" s="28" t="n">
        <f aca="false">IF(AND(D228="Yes",Inputs!$C$10="Arrears",MOD(A228,Inputs!$C$22)=0),Inputs!$C$8*IF(N(Inputs!$C$12)=0,1,(1+Inputs!$C$11)^INT((A228-Inputs!$C$22)/Inputs!$C$12)),0)</f>
        <v>0</v>
      </c>
      <c r="H228" s="29" t="n">
        <f aca="false">1/(1+Inputs!$C$23)^(A228-1)</f>
        <v>0.190850070641508</v>
      </c>
      <c r="I228" s="29" t="n">
        <f aca="false">1/(1+Inputs!$C$23)^A228</f>
        <v>0.189412141871438</v>
      </c>
      <c r="J228" s="30" t="n">
        <f aca="false">F228*H228+G228*I228</f>
        <v>0</v>
      </c>
      <c r="K228" s="30" t="n">
        <f aca="false">M227</f>
        <v>-2.31665708150703E-009</v>
      </c>
      <c r="L228" s="30" t="n">
        <f aca="false">IF(D228="Yes",(K228-F228)*Inputs!$C$23,0)</f>
        <v>0</v>
      </c>
      <c r="M228" s="30" t="n">
        <f aca="false">K228-F228+L228-G228</f>
        <v>-2.31665708150703E-009</v>
      </c>
      <c r="N228" s="30" t="n">
        <f aca="false">F228+G228</f>
        <v>0</v>
      </c>
      <c r="O228" s="30" t="n">
        <f aca="false">N228-L228</f>
        <v>0</v>
      </c>
      <c r="P228" s="30" t="n">
        <f aca="false">R227</f>
        <v>1.30967237055302E-009</v>
      </c>
      <c r="Q228" s="30" t="n">
        <f aca="false">IF(A228&lt;=Inputs!$C$24,Inputs!$C$29/Inputs!$C$24,0)</f>
        <v>0</v>
      </c>
      <c r="R228" s="30" t="n">
        <f aca="false">P228-Q228</f>
        <v>1.30967237055302E-009</v>
      </c>
      <c r="S228" s="10" t="str">
        <f aca="false">"FY "&amp;(YEAR(B228)-(MONTH(B228)&lt;4))&amp;"-"&amp;RIGHT(YEAR(B228)-(MONTH(B228)&lt;4)+1,2)</f>
        <v>FY 2044-45</v>
      </c>
    </row>
    <row r="229" customFormat="false" ht="15" hidden="false" customHeight="false" outlineLevel="0" collapsed="false">
      <c r="A229" s="22" t="n">
        <v>221</v>
      </c>
      <c r="B229" s="24" t="n">
        <f aca="false">EDATE(Inputs!$C$6,A229-1)</f>
        <v>52810</v>
      </c>
      <c r="C229" s="24" t="n">
        <f aca="false">EDATE(Inputs!$C$6,A229)-1</f>
        <v>52840</v>
      </c>
      <c r="D229" s="10" t="str">
        <f aca="false">IF(A229&lt;=Inputs!$C$7,"Yes","No")</f>
        <v>No</v>
      </c>
      <c r="E229" s="27" t="n">
        <f aca="false">IF(N(Inputs!$C$12)=0,1,(1+Inputs!$C$11)^INT((A229-1)/Inputs!$C$12))</f>
        <v>2.40661923369109</v>
      </c>
      <c r="F229" s="28" t="n">
        <f aca="false">IF(AND(D229="Yes",Inputs!$C$10="Advance",MOD(A229-1,Inputs!$C$22)=0),Inputs!$C$8*E229,0)</f>
        <v>0</v>
      </c>
      <c r="G229" s="28" t="n">
        <f aca="false">IF(AND(D229="Yes",Inputs!$C$10="Arrears",MOD(A229,Inputs!$C$22)=0),Inputs!$C$8*IF(N(Inputs!$C$12)=0,1,(1+Inputs!$C$11)^INT((A229-Inputs!$C$22)/Inputs!$C$12)),0)</f>
        <v>0</v>
      </c>
      <c r="H229" s="29" t="n">
        <f aca="false">1/(1+Inputs!$C$23)^(A229-1)</f>
        <v>0.189412141871438</v>
      </c>
      <c r="I229" s="29" t="n">
        <f aca="false">1/(1+Inputs!$C$23)^A229</f>
        <v>0.187985046941465</v>
      </c>
      <c r="J229" s="30" t="n">
        <f aca="false">F229*H229+G229*I229</f>
        <v>0</v>
      </c>
      <c r="K229" s="30" t="n">
        <f aca="false">M228</f>
        <v>-2.31665708150703E-009</v>
      </c>
      <c r="L229" s="30" t="n">
        <f aca="false">IF(D229="Yes",(K229-F229)*Inputs!$C$23,0)</f>
        <v>0</v>
      </c>
      <c r="M229" s="30" t="n">
        <f aca="false">K229-F229+L229-G229</f>
        <v>-2.31665708150703E-009</v>
      </c>
      <c r="N229" s="30" t="n">
        <f aca="false">F229+G229</f>
        <v>0</v>
      </c>
      <c r="O229" s="30" t="n">
        <f aca="false">N229-L229</f>
        <v>0</v>
      </c>
      <c r="P229" s="30" t="n">
        <f aca="false">R228</f>
        <v>1.30967237055302E-009</v>
      </c>
      <c r="Q229" s="30" t="n">
        <f aca="false">IF(A229&lt;=Inputs!$C$24,Inputs!$C$29/Inputs!$C$24,0)</f>
        <v>0</v>
      </c>
      <c r="R229" s="30" t="n">
        <f aca="false">P229-Q229</f>
        <v>1.30967237055302E-009</v>
      </c>
      <c r="S229" s="10" t="str">
        <f aca="false">"FY "&amp;(YEAR(B229)-(MONTH(B229)&lt;4))&amp;"-"&amp;RIGHT(YEAR(B229)-(MONTH(B229)&lt;4)+1,2)</f>
        <v>FY 2044-45</v>
      </c>
    </row>
    <row r="230" customFormat="false" ht="15" hidden="false" customHeight="false" outlineLevel="0" collapsed="false">
      <c r="A230" s="22" t="n">
        <v>222</v>
      </c>
      <c r="B230" s="24" t="n">
        <f aca="false">EDATE(Inputs!$C$6,A230-1)</f>
        <v>52841</v>
      </c>
      <c r="C230" s="24" t="n">
        <f aca="false">EDATE(Inputs!$C$6,A230)-1</f>
        <v>52870</v>
      </c>
      <c r="D230" s="10" t="str">
        <f aca="false">IF(A230&lt;=Inputs!$C$7,"Yes","No")</f>
        <v>No</v>
      </c>
      <c r="E230" s="27" t="n">
        <f aca="false">IF(N(Inputs!$C$12)=0,1,(1+Inputs!$C$11)^INT((A230-1)/Inputs!$C$12))</f>
        <v>2.40661923369109</v>
      </c>
      <c r="F230" s="28" t="n">
        <f aca="false">IF(AND(D230="Yes",Inputs!$C$10="Advance",MOD(A230-1,Inputs!$C$22)=0),Inputs!$C$8*E230,0)</f>
        <v>0</v>
      </c>
      <c r="G230" s="28" t="n">
        <f aca="false">IF(AND(D230="Yes",Inputs!$C$10="Arrears",MOD(A230,Inputs!$C$22)=0),Inputs!$C$8*IF(N(Inputs!$C$12)=0,1,(1+Inputs!$C$11)^INT((A230-Inputs!$C$22)/Inputs!$C$12)),0)</f>
        <v>0</v>
      </c>
      <c r="H230" s="29" t="n">
        <f aca="false">1/(1+Inputs!$C$23)^(A230-1)</f>
        <v>0.187985046941465</v>
      </c>
      <c r="I230" s="29" t="n">
        <f aca="false">1/(1+Inputs!$C$23)^A230</f>
        <v>0.186568704225786</v>
      </c>
      <c r="J230" s="30" t="n">
        <f aca="false">F230*H230+G230*I230</f>
        <v>0</v>
      </c>
      <c r="K230" s="30" t="n">
        <f aca="false">M229</f>
        <v>-2.31665708150703E-009</v>
      </c>
      <c r="L230" s="30" t="n">
        <f aca="false">IF(D230="Yes",(K230-F230)*Inputs!$C$23,0)</f>
        <v>0</v>
      </c>
      <c r="M230" s="30" t="n">
        <f aca="false">K230-F230+L230-G230</f>
        <v>-2.31665708150703E-009</v>
      </c>
      <c r="N230" s="30" t="n">
        <f aca="false">F230+G230</f>
        <v>0</v>
      </c>
      <c r="O230" s="30" t="n">
        <f aca="false">N230-L230</f>
        <v>0</v>
      </c>
      <c r="P230" s="30" t="n">
        <f aca="false">R229</f>
        <v>1.30967237055302E-009</v>
      </c>
      <c r="Q230" s="30" t="n">
        <f aca="false">IF(A230&lt;=Inputs!$C$24,Inputs!$C$29/Inputs!$C$24,0)</f>
        <v>0</v>
      </c>
      <c r="R230" s="30" t="n">
        <f aca="false">P230-Q230</f>
        <v>1.30967237055302E-009</v>
      </c>
      <c r="S230" s="10" t="str">
        <f aca="false">"FY "&amp;(YEAR(B230)-(MONTH(B230)&lt;4))&amp;"-"&amp;RIGHT(YEAR(B230)-(MONTH(B230)&lt;4)+1,2)</f>
        <v>FY 2044-45</v>
      </c>
    </row>
    <row r="231" customFormat="false" ht="15" hidden="false" customHeight="false" outlineLevel="0" collapsed="false">
      <c r="A231" s="22" t="n">
        <v>223</v>
      </c>
      <c r="B231" s="24" t="n">
        <f aca="false">EDATE(Inputs!$C$6,A231-1)</f>
        <v>52871</v>
      </c>
      <c r="C231" s="24" t="n">
        <f aca="false">EDATE(Inputs!$C$6,A231)-1</f>
        <v>52901</v>
      </c>
      <c r="D231" s="10" t="str">
        <f aca="false">IF(A231&lt;=Inputs!$C$7,"Yes","No")</f>
        <v>No</v>
      </c>
      <c r="E231" s="27" t="n">
        <f aca="false">IF(N(Inputs!$C$12)=0,1,(1+Inputs!$C$11)^INT((A231-1)/Inputs!$C$12))</f>
        <v>2.40661923369109</v>
      </c>
      <c r="F231" s="28" t="n">
        <f aca="false">IF(AND(D231="Yes",Inputs!$C$10="Advance",MOD(A231-1,Inputs!$C$22)=0),Inputs!$C$8*E231,0)</f>
        <v>0</v>
      </c>
      <c r="G231" s="28" t="n">
        <f aca="false">IF(AND(D231="Yes",Inputs!$C$10="Arrears",MOD(A231,Inputs!$C$22)=0),Inputs!$C$8*IF(N(Inputs!$C$12)=0,1,(1+Inputs!$C$11)^INT((A231-Inputs!$C$22)/Inputs!$C$12)),0)</f>
        <v>0</v>
      </c>
      <c r="H231" s="29" t="n">
        <f aca="false">1/(1+Inputs!$C$23)^(A231-1)</f>
        <v>0.186568704225786</v>
      </c>
      <c r="I231" s="29" t="n">
        <f aca="false">1/(1+Inputs!$C$23)^A231</f>
        <v>0.185163032713592</v>
      </c>
      <c r="J231" s="30" t="n">
        <f aca="false">F231*H231+G231*I231</f>
        <v>0</v>
      </c>
      <c r="K231" s="30" t="n">
        <f aca="false">M230</f>
        <v>-2.31665708150703E-009</v>
      </c>
      <c r="L231" s="30" t="n">
        <f aca="false">IF(D231="Yes",(K231-F231)*Inputs!$C$23,0)</f>
        <v>0</v>
      </c>
      <c r="M231" s="30" t="n">
        <f aca="false">K231-F231+L231-G231</f>
        <v>-2.31665708150703E-009</v>
      </c>
      <c r="N231" s="30" t="n">
        <f aca="false">F231+G231</f>
        <v>0</v>
      </c>
      <c r="O231" s="30" t="n">
        <f aca="false">N231-L231</f>
        <v>0</v>
      </c>
      <c r="P231" s="30" t="n">
        <f aca="false">R230</f>
        <v>1.30967237055302E-009</v>
      </c>
      <c r="Q231" s="30" t="n">
        <f aca="false">IF(A231&lt;=Inputs!$C$24,Inputs!$C$29/Inputs!$C$24,0)</f>
        <v>0</v>
      </c>
      <c r="R231" s="30" t="n">
        <f aca="false">P231-Q231</f>
        <v>1.30967237055302E-009</v>
      </c>
      <c r="S231" s="10" t="str">
        <f aca="false">"FY "&amp;(YEAR(B231)-(MONTH(B231)&lt;4))&amp;"-"&amp;RIGHT(YEAR(B231)-(MONTH(B231)&lt;4)+1,2)</f>
        <v>FY 2044-45</v>
      </c>
    </row>
    <row r="232" customFormat="false" ht="15" hidden="false" customHeight="false" outlineLevel="0" collapsed="false">
      <c r="A232" s="22" t="n">
        <v>224</v>
      </c>
      <c r="B232" s="24" t="n">
        <f aca="false">EDATE(Inputs!$C$6,A232-1)</f>
        <v>52902</v>
      </c>
      <c r="C232" s="24" t="n">
        <f aca="false">EDATE(Inputs!$C$6,A232)-1</f>
        <v>52931</v>
      </c>
      <c r="D232" s="10" t="str">
        <f aca="false">IF(A232&lt;=Inputs!$C$7,"Yes","No")</f>
        <v>No</v>
      </c>
      <c r="E232" s="27" t="n">
        <f aca="false">IF(N(Inputs!$C$12)=0,1,(1+Inputs!$C$11)^INT((A232-1)/Inputs!$C$12))</f>
        <v>2.40661923369109</v>
      </c>
      <c r="F232" s="28" t="n">
        <f aca="false">IF(AND(D232="Yes",Inputs!$C$10="Advance",MOD(A232-1,Inputs!$C$22)=0),Inputs!$C$8*E232,0)</f>
        <v>0</v>
      </c>
      <c r="G232" s="28" t="n">
        <f aca="false">IF(AND(D232="Yes",Inputs!$C$10="Arrears",MOD(A232,Inputs!$C$22)=0),Inputs!$C$8*IF(N(Inputs!$C$12)=0,1,(1+Inputs!$C$11)^INT((A232-Inputs!$C$22)/Inputs!$C$12)),0)</f>
        <v>0</v>
      </c>
      <c r="H232" s="29" t="n">
        <f aca="false">1/(1+Inputs!$C$23)^(A232-1)</f>
        <v>0.185163032713592</v>
      </c>
      <c r="I232" s="29" t="n">
        <f aca="false">1/(1+Inputs!$C$23)^A232</f>
        <v>0.18376795200444</v>
      </c>
      <c r="J232" s="30" t="n">
        <f aca="false">F232*H232+G232*I232</f>
        <v>0</v>
      </c>
      <c r="K232" s="30" t="n">
        <f aca="false">M231</f>
        <v>-2.31665708150703E-009</v>
      </c>
      <c r="L232" s="30" t="n">
        <f aca="false">IF(D232="Yes",(K232-F232)*Inputs!$C$23,0)</f>
        <v>0</v>
      </c>
      <c r="M232" s="30" t="n">
        <f aca="false">K232-F232+L232-G232</f>
        <v>-2.31665708150703E-009</v>
      </c>
      <c r="N232" s="30" t="n">
        <f aca="false">F232+G232</f>
        <v>0</v>
      </c>
      <c r="O232" s="30" t="n">
        <f aca="false">N232-L232</f>
        <v>0</v>
      </c>
      <c r="P232" s="30" t="n">
        <f aca="false">R231</f>
        <v>1.30967237055302E-009</v>
      </c>
      <c r="Q232" s="30" t="n">
        <f aca="false">IF(A232&lt;=Inputs!$C$24,Inputs!$C$29/Inputs!$C$24,0)</f>
        <v>0</v>
      </c>
      <c r="R232" s="30" t="n">
        <f aca="false">P232-Q232</f>
        <v>1.30967237055302E-009</v>
      </c>
      <c r="S232" s="10" t="str">
        <f aca="false">"FY "&amp;(YEAR(B232)-(MONTH(B232)&lt;4))&amp;"-"&amp;RIGHT(YEAR(B232)-(MONTH(B232)&lt;4)+1,2)</f>
        <v>FY 2044-45</v>
      </c>
    </row>
    <row r="233" customFormat="false" ht="15" hidden="false" customHeight="false" outlineLevel="0" collapsed="false">
      <c r="A233" s="22" t="n">
        <v>225</v>
      </c>
      <c r="B233" s="24" t="n">
        <f aca="false">EDATE(Inputs!$C$6,A233-1)</f>
        <v>52932</v>
      </c>
      <c r="C233" s="24" t="n">
        <f aca="false">EDATE(Inputs!$C$6,A233)-1</f>
        <v>52962</v>
      </c>
      <c r="D233" s="10" t="str">
        <f aca="false">IF(A233&lt;=Inputs!$C$7,"Yes","No")</f>
        <v>No</v>
      </c>
      <c r="E233" s="27" t="n">
        <f aca="false">IF(N(Inputs!$C$12)=0,1,(1+Inputs!$C$11)^INT((A233-1)/Inputs!$C$12))</f>
        <v>2.40661923369109</v>
      </c>
      <c r="F233" s="28" t="n">
        <f aca="false">IF(AND(D233="Yes",Inputs!$C$10="Advance",MOD(A233-1,Inputs!$C$22)=0),Inputs!$C$8*E233,0)</f>
        <v>0</v>
      </c>
      <c r="G233" s="28" t="n">
        <f aca="false">IF(AND(D233="Yes",Inputs!$C$10="Arrears",MOD(A233,Inputs!$C$22)=0),Inputs!$C$8*IF(N(Inputs!$C$12)=0,1,(1+Inputs!$C$11)^INT((A233-Inputs!$C$22)/Inputs!$C$12)),0)</f>
        <v>0</v>
      </c>
      <c r="H233" s="29" t="n">
        <f aca="false">1/(1+Inputs!$C$23)^(A233-1)</f>
        <v>0.18376795200444</v>
      </c>
      <c r="I233" s="29" t="n">
        <f aca="false">1/(1+Inputs!$C$23)^A233</f>
        <v>0.18238338230365</v>
      </c>
      <c r="J233" s="30" t="n">
        <f aca="false">F233*H233+G233*I233</f>
        <v>0</v>
      </c>
      <c r="K233" s="30" t="n">
        <f aca="false">M232</f>
        <v>-2.31665708150703E-009</v>
      </c>
      <c r="L233" s="30" t="n">
        <f aca="false">IF(D233="Yes",(K233-F233)*Inputs!$C$23,0)</f>
        <v>0</v>
      </c>
      <c r="M233" s="30" t="n">
        <f aca="false">K233-F233+L233-G233</f>
        <v>-2.31665708150703E-009</v>
      </c>
      <c r="N233" s="30" t="n">
        <f aca="false">F233+G233</f>
        <v>0</v>
      </c>
      <c r="O233" s="30" t="n">
        <f aca="false">N233-L233</f>
        <v>0</v>
      </c>
      <c r="P233" s="30" t="n">
        <f aca="false">R232</f>
        <v>1.30967237055302E-009</v>
      </c>
      <c r="Q233" s="30" t="n">
        <f aca="false">IF(A233&lt;=Inputs!$C$24,Inputs!$C$29/Inputs!$C$24,0)</f>
        <v>0</v>
      </c>
      <c r="R233" s="30" t="n">
        <f aca="false">P233-Q233</f>
        <v>1.30967237055302E-009</v>
      </c>
      <c r="S233" s="10" t="str">
        <f aca="false">"FY "&amp;(YEAR(B233)-(MONTH(B233)&lt;4))&amp;"-"&amp;RIGHT(YEAR(B233)-(MONTH(B233)&lt;4)+1,2)</f>
        <v>FY 2044-45</v>
      </c>
    </row>
    <row r="234" customFormat="false" ht="15" hidden="false" customHeight="false" outlineLevel="0" collapsed="false">
      <c r="A234" s="22" t="n">
        <v>226</v>
      </c>
      <c r="B234" s="24" t="n">
        <f aca="false">EDATE(Inputs!$C$6,A234-1)</f>
        <v>52963</v>
      </c>
      <c r="C234" s="24" t="n">
        <f aca="false">EDATE(Inputs!$C$6,A234)-1</f>
        <v>52993</v>
      </c>
      <c r="D234" s="10" t="str">
        <f aca="false">IF(A234&lt;=Inputs!$C$7,"Yes","No")</f>
        <v>No</v>
      </c>
      <c r="E234" s="27" t="n">
        <f aca="false">IF(N(Inputs!$C$12)=0,1,(1+Inputs!$C$11)^INT((A234-1)/Inputs!$C$12))</f>
        <v>2.40661923369109</v>
      </c>
      <c r="F234" s="28" t="n">
        <f aca="false">IF(AND(D234="Yes",Inputs!$C$10="Advance",MOD(A234-1,Inputs!$C$22)=0),Inputs!$C$8*E234,0)</f>
        <v>0</v>
      </c>
      <c r="G234" s="28" t="n">
        <f aca="false">IF(AND(D234="Yes",Inputs!$C$10="Arrears",MOD(A234,Inputs!$C$22)=0),Inputs!$C$8*IF(N(Inputs!$C$12)=0,1,(1+Inputs!$C$11)^INT((A234-Inputs!$C$22)/Inputs!$C$12)),0)</f>
        <v>0</v>
      </c>
      <c r="H234" s="29" t="n">
        <f aca="false">1/(1+Inputs!$C$23)^(A234-1)</f>
        <v>0.18238338230365</v>
      </c>
      <c r="I234" s="29" t="n">
        <f aca="false">1/(1+Inputs!$C$23)^A234</f>
        <v>0.18100924441774</v>
      </c>
      <c r="J234" s="30" t="n">
        <f aca="false">F234*H234+G234*I234</f>
        <v>0</v>
      </c>
      <c r="K234" s="30" t="n">
        <f aca="false">M233</f>
        <v>-2.31665708150703E-009</v>
      </c>
      <c r="L234" s="30" t="n">
        <f aca="false">IF(D234="Yes",(K234-F234)*Inputs!$C$23,0)</f>
        <v>0</v>
      </c>
      <c r="M234" s="30" t="n">
        <f aca="false">K234-F234+L234-G234</f>
        <v>-2.31665708150703E-009</v>
      </c>
      <c r="N234" s="30" t="n">
        <f aca="false">F234+G234</f>
        <v>0</v>
      </c>
      <c r="O234" s="30" t="n">
        <f aca="false">N234-L234</f>
        <v>0</v>
      </c>
      <c r="P234" s="30" t="n">
        <f aca="false">R233</f>
        <v>1.30967237055302E-009</v>
      </c>
      <c r="Q234" s="30" t="n">
        <f aca="false">IF(A234&lt;=Inputs!$C$24,Inputs!$C$29/Inputs!$C$24,0)</f>
        <v>0</v>
      </c>
      <c r="R234" s="30" t="n">
        <f aca="false">P234-Q234</f>
        <v>1.30967237055302E-009</v>
      </c>
      <c r="S234" s="10" t="str">
        <f aca="false">"FY "&amp;(YEAR(B234)-(MONTH(B234)&lt;4))&amp;"-"&amp;RIGHT(YEAR(B234)-(MONTH(B234)&lt;4)+1,2)</f>
        <v>FY 2044-45</v>
      </c>
    </row>
    <row r="235" customFormat="false" ht="15" hidden="false" customHeight="false" outlineLevel="0" collapsed="false">
      <c r="A235" s="22" t="n">
        <v>227</v>
      </c>
      <c r="B235" s="24" t="n">
        <f aca="false">EDATE(Inputs!$C$6,A235-1)</f>
        <v>52994</v>
      </c>
      <c r="C235" s="24" t="n">
        <f aca="false">EDATE(Inputs!$C$6,A235)-1</f>
        <v>53021</v>
      </c>
      <c r="D235" s="10" t="str">
        <f aca="false">IF(A235&lt;=Inputs!$C$7,"Yes","No")</f>
        <v>No</v>
      </c>
      <c r="E235" s="27" t="n">
        <f aca="false">IF(N(Inputs!$C$12)=0,1,(1+Inputs!$C$11)^INT((A235-1)/Inputs!$C$12))</f>
        <v>2.40661923369109</v>
      </c>
      <c r="F235" s="28" t="n">
        <f aca="false">IF(AND(D235="Yes",Inputs!$C$10="Advance",MOD(A235-1,Inputs!$C$22)=0),Inputs!$C$8*E235,0)</f>
        <v>0</v>
      </c>
      <c r="G235" s="28" t="n">
        <f aca="false">IF(AND(D235="Yes",Inputs!$C$10="Arrears",MOD(A235,Inputs!$C$22)=0),Inputs!$C$8*IF(N(Inputs!$C$12)=0,1,(1+Inputs!$C$11)^INT((A235-Inputs!$C$22)/Inputs!$C$12)),0)</f>
        <v>0</v>
      </c>
      <c r="H235" s="29" t="n">
        <f aca="false">1/(1+Inputs!$C$23)^(A235-1)</f>
        <v>0.18100924441774</v>
      </c>
      <c r="I235" s="29" t="n">
        <f aca="false">1/(1+Inputs!$C$23)^A235</f>
        <v>0.179645459749901</v>
      </c>
      <c r="J235" s="30" t="n">
        <f aca="false">F235*H235+G235*I235</f>
        <v>0</v>
      </c>
      <c r="K235" s="30" t="n">
        <f aca="false">M234</f>
        <v>-2.31665708150703E-009</v>
      </c>
      <c r="L235" s="30" t="n">
        <f aca="false">IF(D235="Yes",(K235-F235)*Inputs!$C$23,0)</f>
        <v>0</v>
      </c>
      <c r="M235" s="30" t="n">
        <f aca="false">K235-F235+L235-G235</f>
        <v>-2.31665708150703E-009</v>
      </c>
      <c r="N235" s="30" t="n">
        <f aca="false">F235+G235</f>
        <v>0</v>
      </c>
      <c r="O235" s="30" t="n">
        <f aca="false">N235-L235</f>
        <v>0</v>
      </c>
      <c r="P235" s="30" t="n">
        <f aca="false">R234</f>
        <v>1.30967237055302E-009</v>
      </c>
      <c r="Q235" s="30" t="n">
        <f aca="false">IF(A235&lt;=Inputs!$C$24,Inputs!$C$29/Inputs!$C$24,0)</f>
        <v>0</v>
      </c>
      <c r="R235" s="30" t="n">
        <f aca="false">P235-Q235</f>
        <v>1.30967237055302E-009</v>
      </c>
      <c r="S235" s="10" t="str">
        <f aca="false">"FY "&amp;(YEAR(B235)-(MONTH(B235)&lt;4))&amp;"-"&amp;RIGHT(YEAR(B235)-(MONTH(B235)&lt;4)+1,2)</f>
        <v>FY 2044-45</v>
      </c>
    </row>
    <row r="236" customFormat="false" ht="15" hidden="false" customHeight="false" outlineLevel="0" collapsed="false">
      <c r="A236" s="22" t="n">
        <v>228</v>
      </c>
      <c r="B236" s="24" t="n">
        <f aca="false">EDATE(Inputs!$C$6,A236-1)</f>
        <v>53022</v>
      </c>
      <c r="C236" s="24" t="n">
        <f aca="false">EDATE(Inputs!$C$6,A236)-1</f>
        <v>53052</v>
      </c>
      <c r="D236" s="10" t="str">
        <f aca="false">IF(A236&lt;=Inputs!$C$7,"Yes","No")</f>
        <v>No</v>
      </c>
      <c r="E236" s="27" t="n">
        <f aca="false">IF(N(Inputs!$C$12)=0,1,(1+Inputs!$C$11)^INT((A236-1)/Inputs!$C$12))</f>
        <v>2.40661923369109</v>
      </c>
      <c r="F236" s="28" t="n">
        <f aca="false">IF(AND(D236="Yes",Inputs!$C$10="Advance",MOD(A236-1,Inputs!$C$22)=0),Inputs!$C$8*E236,0)</f>
        <v>0</v>
      </c>
      <c r="G236" s="28" t="n">
        <f aca="false">IF(AND(D236="Yes",Inputs!$C$10="Arrears",MOD(A236,Inputs!$C$22)=0),Inputs!$C$8*IF(N(Inputs!$C$12)=0,1,(1+Inputs!$C$11)^INT((A236-Inputs!$C$22)/Inputs!$C$12)),0)</f>
        <v>0</v>
      </c>
      <c r="H236" s="29" t="n">
        <f aca="false">1/(1+Inputs!$C$23)^(A236-1)</f>
        <v>0.179645459749901</v>
      </c>
      <c r="I236" s="29" t="n">
        <f aca="false">1/(1+Inputs!$C$23)^A236</f>
        <v>0.178291950295498</v>
      </c>
      <c r="J236" s="30" t="n">
        <f aca="false">F236*H236+G236*I236</f>
        <v>0</v>
      </c>
      <c r="K236" s="30" t="n">
        <f aca="false">M235</f>
        <v>-2.31665708150703E-009</v>
      </c>
      <c r="L236" s="30" t="n">
        <f aca="false">IF(D236="Yes",(K236-F236)*Inputs!$C$23,0)</f>
        <v>0</v>
      </c>
      <c r="M236" s="30" t="n">
        <f aca="false">K236-F236+L236-G236</f>
        <v>-2.31665708150703E-009</v>
      </c>
      <c r="N236" s="30" t="n">
        <f aca="false">F236+G236</f>
        <v>0</v>
      </c>
      <c r="O236" s="30" t="n">
        <f aca="false">N236-L236</f>
        <v>0</v>
      </c>
      <c r="P236" s="30" t="n">
        <f aca="false">R235</f>
        <v>1.30967237055302E-009</v>
      </c>
      <c r="Q236" s="30" t="n">
        <f aca="false">IF(A236&lt;=Inputs!$C$24,Inputs!$C$29/Inputs!$C$24,0)</f>
        <v>0</v>
      </c>
      <c r="R236" s="30" t="n">
        <f aca="false">P236-Q236</f>
        <v>1.30967237055302E-009</v>
      </c>
      <c r="S236" s="10" t="str">
        <f aca="false">"FY "&amp;(YEAR(B236)-(MONTH(B236)&lt;4))&amp;"-"&amp;RIGHT(YEAR(B236)-(MONTH(B236)&lt;4)+1,2)</f>
        <v>FY 2044-45</v>
      </c>
    </row>
    <row r="237" customFormat="false" ht="15" hidden="false" customHeight="false" outlineLevel="0" collapsed="false">
      <c r="A237" s="22" t="n">
        <v>229</v>
      </c>
      <c r="B237" s="24" t="n">
        <f aca="false">EDATE(Inputs!$C$6,A237-1)</f>
        <v>53053</v>
      </c>
      <c r="C237" s="24" t="n">
        <f aca="false">EDATE(Inputs!$C$6,A237)-1</f>
        <v>53082</v>
      </c>
      <c r="D237" s="10" t="str">
        <f aca="false">IF(A237&lt;=Inputs!$C$7,"Yes","No")</f>
        <v>No</v>
      </c>
      <c r="E237" s="27" t="n">
        <f aca="false">IF(N(Inputs!$C$12)=0,1,(1+Inputs!$C$11)^INT((A237-1)/Inputs!$C$12))</f>
        <v>2.52695019537564</v>
      </c>
      <c r="F237" s="28" t="n">
        <f aca="false">IF(AND(D237="Yes",Inputs!$C$10="Advance",MOD(A237-1,Inputs!$C$22)=0),Inputs!$C$8*E237,0)</f>
        <v>0</v>
      </c>
      <c r="G237" s="28" t="n">
        <f aca="false">IF(AND(D237="Yes",Inputs!$C$10="Arrears",MOD(A237,Inputs!$C$22)=0),Inputs!$C$8*IF(N(Inputs!$C$12)=0,1,(1+Inputs!$C$11)^INT((A237-Inputs!$C$22)/Inputs!$C$12)),0)</f>
        <v>0</v>
      </c>
      <c r="H237" s="29" t="n">
        <f aca="false">1/(1+Inputs!$C$23)^(A237-1)</f>
        <v>0.178291950295498</v>
      </c>
      <c r="I237" s="29" t="n">
        <f aca="false">1/(1+Inputs!$C$23)^A237</f>
        <v>0.176948638637609</v>
      </c>
      <c r="J237" s="30" t="n">
        <f aca="false">F237*H237+G237*I237</f>
        <v>0</v>
      </c>
      <c r="K237" s="30" t="n">
        <f aca="false">M236</f>
        <v>-2.31665708150703E-009</v>
      </c>
      <c r="L237" s="30" t="n">
        <f aca="false">IF(D237="Yes",(K237-F237)*Inputs!$C$23,0)</f>
        <v>0</v>
      </c>
      <c r="M237" s="30" t="n">
        <f aca="false">K237-F237+L237-G237</f>
        <v>-2.31665708150703E-009</v>
      </c>
      <c r="N237" s="30" t="n">
        <f aca="false">F237+G237</f>
        <v>0</v>
      </c>
      <c r="O237" s="30" t="n">
        <f aca="false">N237-L237</f>
        <v>0</v>
      </c>
      <c r="P237" s="30" t="n">
        <f aca="false">R236</f>
        <v>1.30967237055302E-009</v>
      </c>
      <c r="Q237" s="30" t="n">
        <f aca="false">IF(A237&lt;=Inputs!$C$24,Inputs!$C$29/Inputs!$C$24,0)</f>
        <v>0</v>
      </c>
      <c r="R237" s="30" t="n">
        <f aca="false">P237-Q237</f>
        <v>1.30967237055302E-009</v>
      </c>
      <c r="S237" s="10" t="str">
        <f aca="false">"FY "&amp;(YEAR(B237)-(MONTH(B237)&lt;4))&amp;"-"&amp;RIGHT(YEAR(B237)-(MONTH(B237)&lt;4)+1,2)</f>
        <v>FY 2045-46</v>
      </c>
    </row>
    <row r="238" customFormat="false" ht="15" hidden="false" customHeight="false" outlineLevel="0" collapsed="false">
      <c r="A238" s="22" t="n">
        <v>230</v>
      </c>
      <c r="B238" s="24" t="n">
        <f aca="false">EDATE(Inputs!$C$6,A238-1)</f>
        <v>53083</v>
      </c>
      <c r="C238" s="24" t="n">
        <f aca="false">EDATE(Inputs!$C$6,A238)-1</f>
        <v>53113</v>
      </c>
      <c r="D238" s="10" t="str">
        <f aca="false">IF(A238&lt;=Inputs!$C$7,"Yes","No")</f>
        <v>No</v>
      </c>
      <c r="E238" s="27" t="n">
        <f aca="false">IF(N(Inputs!$C$12)=0,1,(1+Inputs!$C$11)^INT((A238-1)/Inputs!$C$12))</f>
        <v>2.52695019537564</v>
      </c>
      <c r="F238" s="28" t="n">
        <f aca="false">IF(AND(D238="Yes",Inputs!$C$10="Advance",MOD(A238-1,Inputs!$C$22)=0),Inputs!$C$8*E238,0)</f>
        <v>0</v>
      </c>
      <c r="G238" s="28" t="n">
        <f aca="false">IF(AND(D238="Yes",Inputs!$C$10="Arrears",MOD(A238,Inputs!$C$22)=0),Inputs!$C$8*IF(N(Inputs!$C$12)=0,1,(1+Inputs!$C$11)^INT((A238-Inputs!$C$22)/Inputs!$C$12)),0)</f>
        <v>0</v>
      </c>
      <c r="H238" s="29" t="n">
        <f aca="false">1/(1+Inputs!$C$23)^(A238-1)</f>
        <v>0.176948638637609</v>
      </c>
      <c r="I238" s="29" t="n">
        <f aca="false">1/(1+Inputs!$C$23)^A238</f>
        <v>0.175615447942596</v>
      </c>
      <c r="J238" s="30" t="n">
        <f aca="false">F238*H238+G238*I238</f>
        <v>0</v>
      </c>
      <c r="K238" s="30" t="n">
        <f aca="false">M237</f>
        <v>-2.31665708150703E-009</v>
      </c>
      <c r="L238" s="30" t="n">
        <f aca="false">IF(D238="Yes",(K238-F238)*Inputs!$C$23,0)</f>
        <v>0</v>
      </c>
      <c r="M238" s="30" t="n">
        <f aca="false">K238-F238+L238-G238</f>
        <v>-2.31665708150703E-009</v>
      </c>
      <c r="N238" s="30" t="n">
        <f aca="false">F238+G238</f>
        <v>0</v>
      </c>
      <c r="O238" s="30" t="n">
        <f aca="false">N238-L238</f>
        <v>0</v>
      </c>
      <c r="P238" s="30" t="n">
        <f aca="false">R237</f>
        <v>1.30967237055302E-009</v>
      </c>
      <c r="Q238" s="30" t="n">
        <f aca="false">IF(A238&lt;=Inputs!$C$24,Inputs!$C$29/Inputs!$C$24,0)</f>
        <v>0</v>
      </c>
      <c r="R238" s="30" t="n">
        <f aca="false">P238-Q238</f>
        <v>1.30967237055302E-009</v>
      </c>
      <c r="S238" s="10" t="str">
        <f aca="false">"FY "&amp;(YEAR(B238)-(MONTH(B238)&lt;4))&amp;"-"&amp;RIGHT(YEAR(B238)-(MONTH(B238)&lt;4)+1,2)</f>
        <v>FY 2045-46</v>
      </c>
    </row>
    <row r="239" customFormat="false" ht="15" hidden="false" customHeight="false" outlineLevel="0" collapsed="false">
      <c r="A239" s="22" t="n">
        <v>231</v>
      </c>
      <c r="B239" s="24" t="n">
        <f aca="false">EDATE(Inputs!$C$6,A239-1)</f>
        <v>53114</v>
      </c>
      <c r="C239" s="24" t="n">
        <f aca="false">EDATE(Inputs!$C$6,A239)-1</f>
        <v>53143</v>
      </c>
      <c r="D239" s="10" t="str">
        <f aca="false">IF(A239&lt;=Inputs!$C$7,"Yes","No")</f>
        <v>No</v>
      </c>
      <c r="E239" s="27" t="n">
        <f aca="false">IF(N(Inputs!$C$12)=0,1,(1+Inputs!$C$11)^INT((A239-1)/Inputs!$C$12))</f>
        <v>2.52695019537564</v>
      </c>
      <c r="F239" s="28" t="n">
        <f aca="false">IF(AND(D239="Yes",Inputs!$C$10="Advance",MOD(A239-1,Inputs!$C$22)=0),Inputs!$C$8*E239,0)</f>
        <v>0</v>
      </c>
      <c r="G239" s="28" t="n">
        <f aca="false">IF(AND(D239="Yes",Inputs!$C$10="Arrears",MOD(A239,Inputs!$C$22)=0),Inputs!$C$8*IF(N(Inputs!$C$12)=0,1,(1+Inputs!$C$11)^INT((A239-Inputs!$C$22)/Inputs!$C$12)),0)</f>
        <v>0</v>
      </c>
      <c r="H239" s="29" t="n">
        <f aca="false">1/(1+Inputs!$C$23)^(A239-1)</f>
        <v>0.175615447942596</v>
      </c>
      <c r="I239" s="29" t="n">
        <f aca="false">1/(1+Inputs!$C$23)^A239</f>
        <v>0.174292301955715</v>
      </c>
      <c r="J239" s="30" t="n">
        <f aca="false">F239*H239+G239*I239</f>
        <v>0</v>
      </c>
      <c r="K239" s="30" t="n">
        <f aca="false">M238</f>
        <v>-2.31665708150703E-009</v>
      </c>
      <c r="L239" s="30" t="n">
        <f aca="false">IF(D239="Yes",(K239-F239)*Inputs!$C$23,0)</f>
        <v>0</v>
      </c>
      <c r="M239" s="30" t="n">
        <f aca="false">K239-F239+L239-G239</f>
        <v>-2.31665708150703E-009</v>
      </c>
      <c r="N239" s="30" t="n">
        <f aca="false">F239+G239</f>
        <v>0</v>
      </c>
      <c r="O239" s="30" t="n">
        <f aca="false">N239-L239</f>
        <v>0</v>
      </c>
      <c r="P239" s="30" t="n">
        <f aca="false">R238</f>
        <v>1.30967237055302E-009</v>
      </c>
      <c r="Q239" s="30" t="n">
        <f aca="false">IF(A239&lt;=Inputs!$C$24,Inputs!$C$29/Inputs!$C$24,0)</f>
        <v>0</v>
      </c>
      <c r="R239" s="30" t="n">
        <f aca="false">P239-Q239</f>
        <v>1.30967237055302E-009</v>
      </c>
      <c r="S239" s="10" t="str">
        <f aca="false">"FY "&amp;(YEAR(B239)-(MONTH(B239)&lt;4))&amp;"-"&amp;RIGHT(YEAR(B239)-(MONTH(B239)&lt;4)+1,2)</f>
        <v>FY 2045-46</v>
      </c>
    </row>
    <row r="240" customFormat="false" ht="15" hidden="false" customHeight="false" outlineLevel="0" collapsed="false">
      <c r="A240" s="22" t="n">
        <v>232</v>
      </c>
      <c r="B240" s="24" t="n">
        <f aca="false">EDATE(Inputs!$C$6,A240-1)</f>
        <v>53144</v>
      </c>
      <c r="C240" s="24" t="n">
        <f aca="false">EDATE(Inputs!$C$6,A240)-1</f>
        <v>53174</v>
      </c>
      <c r="D240" s="10" t="str">
        <f aca="false">IF(A240&lt;=Inputs!$C$7,"Yes","No")</f>
        <v>No</v>
      </c>
      <c r="E240" s="27" t="n">
        <f aca="false">IF(N(Inputs!$C$12)=0,1,(1+Inputs!$C$11)^INT((A240-1)/Inputs!$C$12))</f>
        <v>2.52695019537564</v>
      </c>
      <c r="F240" s="28" t="n">
        <f aca="false">IF(AND(D240="Yes",Inputs!$C$10="Advance",MOD(A240-1,Inputs!$C$22)=0),Inputs!$C$8*E240,0)</f>
        <v>0</v>
      </c>
      <c r="G240" s="28" t="n">
        <f aca="false">IF(AND(D240="Yes",Inputs!$C$10="Arrears",MOD(A240,Inputs!$C$22)=0),Inputs!$C$8*IF(N(Inputs!$C$12)=0,1,(1+Inputs!$C$11)^INT((A240-Inputs!$C$22)/Inputs!$C$12)),0)</f>
        <v>0</v>
      </c>
      <c r="H240" s="29" t="n">
        <f aca="false">1/(1+Inputs!$C$23)^(A240-1)</f>
        <v>0.174292301955715</v>
      </c>
      <c r="I240" s="29" t="n">
        <f aca="false">1/(1+Inputs!$C$23)^A240</f>
        <v>0.172979124996747</v>
      </c>
      <c r="J240" s="30" t="n">
        <f aca="false">F240*H240+G240*I240</f>
        <v>0</v>
      </c>
      <c r="K240" s="30" t="n">
        <f aca="false">M239</f>
        <v>-2.31665708150703E-009</v>
      </c>
      <c r="L240" s="30" t="n">
        <f aca="false">IF(D240="Yes",(K240-F240)*Inputs!$C$23,0)</f>
        <v>0</v>
      </c>
      <c r="M240" s="30" t="n">
        <f aca="false">K240-F240+L240-G240</f>
        <v>-2.31665708150703E-009</v>
      </c>
      <c r="N240" s="30" t="n">
        <f aca="false">F240+G240</f>
        <v>0</v>
      </c>
      <c r="O240" s="30" t="n">
        <f aca="false">N240-L240</f>
        <v>0</v>
      </c>
      <c r="P240" s="30" t="n">
        <f aca="false">R239</f>
        <v>1.30967237055302E-009</v>
      </c>
      <c r="Q240" s="30" t="n">
        <f aca="false">IF(A240&lt;=Inputs!$C$24,Inputs!$C$29/Inputs!$C$24,0)</f>
        <v>0</v>
      </c>
      <c r="R240" s="30" t="n">
        <f aca="false">P240-Q240</f>
        <v>1.30967237055302E-009</v>
      </c>
      <c r="S240" s="10" t="str">
        <f aca="false">"FY "&amp;(YEAR(B240)-(MONTH(B240)&lt;4))&amp;"-"&amp;RIGHT(YEAR(B240)-(MONTH(B240)&lt;4)+1,2)</f>
        <v>FY 2045-46</v>
      </c>
    </row>
    <row r="241" customFormat="false" ht="15" hidden="false" customHeight="false" outlineLevel="0" collapsed="false">
      <c r="A241" s="22" t="n">
        <v>233</v>
      </c>
      <c r="B241" s="24" t="n">
        <f aca="false">EDATE(Inputs!$C$6,A241-1)</f>
        <v>53175</v>
      </c>
      <c r="C241" s="24" t="n">
        <f aca="false">EDATE(Inputs!$C$6,A241)-1</f>
        <v>53205</v>
      </c>
      <c r="D241" s="10" t="str">
        <f aca="false">IF(A241&lt;=Inputs!$C$7,"Yes","No")</f>
        <v>No</v>
      </c>
      <c r="E241" s="27" t="n">
        <f aca="false">IF(N(Inputs!$C$12)=0,1,(1+Inputs!$C$11)^INT((A241-1)/Inputs!$C$12))</f>
        <v>2.52695019537564</v>
      </c>
      <c r="F241" s="28" t="n">
        <f aca="false">IF(AND(D241="Yes",Inputs!$C$10="Advance",MOD(A241-1,Inputs!$C$22)=0),Inputs!$C$8*E241,0)</f>
        <v>0</v>
      </c>
      <c r="G241" s="28" t="n">
        <f aca="false">IF(AND(D241="Yes",Inputs!$C$10="Arrears",MOD(A241,Inputs!$C$22)=0),Inputs!$C$8*IF(N(Inputs!$C$12)=0,1,(1+Inputs!$C$11)^INT((A241-Inputs!$C$22)/Inputs!$C$12)),0)</f>
        <v>0</v>
      </c>
      <c r="H241" s="29" t="n">
        <f aca="false">1/(1+Inputs!$C$23)^(A241-1)</f>
        <v>0.172979124996747</v>
      </c>
      <c r="I241" s="29" t="n">
        <f aca="false">1/(1+Inputs!$C$23)^A241</f>
        <v>0.171675841955676</v>
      </c>
      <c r="J241" s="30" t="n">
        <f aca="false">F241*H241+G241*I241</f>
        <v>0</v>
      </c>
      <c r="K241" s="30" t="n">
        <f aca="false">M240</f>
        <v>-2.31665708150703E-009</v>
      </c>
      <c r="L241" s="30" t="n">
        <f aca="false">IF(D241="Yes",(K241-F241)*Inputs!$C$23,0)</f>
        <v>0</v>
      </c>
      <c r="M241" s="30" t="n">
        <f aca="false">K241-F241+L241-G241</f>
        <v>-2.31665708150703E-009</v>
      </c>
      <c r="N241" s="30" t="n">
        <f aca="false">F241+G241</f>
        <v>0</v>
      </c>
      <c r="O241" s="30" t="n">
        <f aca="false">N241-L241</f>
        <v>0</v>
      </c>
      <c r="P241" s="30" t="n">
        <f aca="false">R240</f>
        <v>1.30967237055302E-009</v>
      </c>
      <c r="Q241" s="30" t="n">
        <f aca="false">IF(A241&lt;=Inputs!$C$24,Inputs!$C$29/Inputs!$C$24,0)</f>
        <v>0</v>
      </c>
      <c r="R241" s="30" t="n">
        <f aca="false">P241-Q241</f>
        <v>1.30967237055302E-009</v>
      </c>
      <c r="S241" s="10" t="str">
        <f aca="false">"FY "&amp;(YEAR(B241)-(MONTH(B241)&lt;4))&amp;"-"&amp;RIGHT(YEAR(B241)-(MONTH(B241)&lt;4)+1,2)</f>
        <v>FY 2045-46</v>
      </c>
    </row>
    <row r="242" customFormat="false" ht="15" hidden="false" customHeight="false" outlineLevel="0" collapsed="false">
      <c r="A242" s="22" t="n">
        <v>234</v>
      </c>
      <c r="B242" s="24" t="n">
        <f aca="false">EDATE(Inputs!$C$6,A242-1)</f>
        <v>53206</v>
      </c>
      <c r="C242" s="24" t="n">
        <f aca="false">EDATE(Inputs!$C$6,A242)-1</f>
        <v>53235</v>
      </c>
      <c r="D242" s="10" t="str">
        <f aca="false">IF(A242&lt;=Inputs!$C$7,"Yes","No")</f>
        <v>No</v>
      </c>
      <c r="E242" s="27" t="n">
        <f aca="false">IF(N(Inputs!$C$12)=0,1,(1+Inputs!$C$11)^INT((A242-1)/Inputs!$C$12))</f>
        <v>2.52695019537564</v>
      </c>
      <c r="F242" s="28" t="n">
        <f aca="false">IF(AND(D242="Yes",Inputs!$C$10="Advance",MOD(A242-1,Inputs!$C$22)=0),Inputs!$C$8*E242,0)</f>
        <v>0</v>
      </c>
      <c r="G242" s="28" t="n">
        <f aca="false">IF(AND(D242="Yes",Inputs!$C$10="Arrears",MOD(A242,Inputs!$C$22)=0),Inputs!$C$8*IF(N(Inputs!$C$12)=0,1,(1+Inputs!$C$11)^INT((A242-Inputs!$C$22)/Inputs!$C$12)),0)</f>
        <v>0</v>
      </c>
      <c r="H242" s="29" t="n">
        <f aca="false">1/(1+Inputs!$C$23)^(A242-1)</f>
        <v>0.171675841955676</v>
      </c>
      <c r="I242" s="29" t="n">
        <f aca="false">1/(1+Inputs!$C$23)^A242</f>
        <v>0.170382378288389</v>
      </c>
      <c r="J242" s="30" t="n">
        <f aca="false">F242*H242+G242*I242</f>
        <v>0</v>
      </c>
      <c r="K242" s="30" t="n">
        <f aca="false">M241</f>
        <v>-2.31665708150703E-009</v>
      </c>
      <c r="L242" s="30" t="n">
        <f aca="false">IF(D242="Yes",(K242-F242)*Inputs!$C$23,0)</f>
        <v>0</v>
      </c>
      <c r="M242" s="30" t="n">
        <f aca="false">K242-F242+L242-G242</f>
        <v>-2.31665708150703E-009</v>
      </c>
      <c r="N242" s="30" t="n">
        <f aca="false">F242+G242</f>
        <v>0</v>
      </c>
      <c r="O242" s="30" t="n">
        <f aca="false">N242-L242</f>
        <v>0</v>
      </c>
      <c r="P242" s="30" t="n">
        <f aca="false">R241</f>
        <v>1.30967237055302E-009</v>
      </c>
      <c r="Q242" s="30" t="n">
        <f aca="false">IF(A242&lt;=Inputs!$C$24,Inputs!$C$29/Inputs!$C$24,0)</f>
        <v>0</v>
      </c>
      <c r="R242" s="30" t="n">
        <f aca="false">P242-Q242</f>
        <v>1.30967237055302E-009</v>
      </c>
      <c r="S242" s="10" t="str">
        <f aca="false">"FY "&amp;(YEAR(B242)-(MONTH(B242)&lt;4))&amp;"-"&amp;RIGHT(YEAR(B242)-(MONTH(B242)&lt;4)+1,2)</f>
        <v>FY 2045-46</v>
      </c>
    </row>
    <row r="243" customFormat="false" ht="15" hidden="false" customHeight="false" outlineLevel="0" collapsed="false">
      <c r="A243" s="22" t="n">
        <v>235</v>
      </c>
      <c r="B243" s="24" t="n">
        <f aca="false">EDATE(Inputs!$C$6,A243-1)</f>
        <v>53236</v>
      </c>
      <c r="C243" s="24" t="n">
        <f aca="false">EDATE(Inputs!$C$6,A243)-1</f>
        <v>53266</v>
      </c>
      <c r="D243" s="10" t="str">
        <f aca="false">IF(A243&lt;=Inputs!$C$7,"Yes","No")</f>
        <v>No</v>
      </c>
      <c r="E243" s="27" t="n">
        <f aca="false">IF(N(Inputs!$C$12)=0,1,(1+Inputs!$C$11)^INT((A243-1)/Inputs!$C$12))</f>
        <v>2.52695019537564</v>
      </c>
      <c r="F243" s="28" t="n">
        <f aca="false">IF(AND(D243="Yes",Inputs!$C$10="Advance",MOD(A243-1,Inputs!$C$22)=0),Inputs!$C$8*E243,0)</f>
        <v>0</v>
      </c>
      <c r="G243" s="28" t="n">
        <f aca="false">IF(AND(D243="Yes",Inputs!$C$10="Arrears",MOD(A243,Inputs!$C$22)=0),Inputs!$C$8*IF(N(Inputs!$C$12)=0,1,(1+Inputs!$C$11)^INT((A243-Inputs!$C$22)/Inputs!$C$12)),0)</f>
        <v>0</v>
      </c>
      <c r="H243" s="29" t="n">
        <f aca="false">1/(1+Inputs!$C$23)^(A243-1)</f>
        <v>0.170382378288389</v>
      </c>
      <c r="I243" s="29" t="n">
        <f aca="false">1/(1+Inputs!$C$23)^A243</f>
        <v>0.169098660012413</v>
      </c>
      <c r="J243" s="30" t="n">
        <f aca="false">F243*H243+G243*I243</f>
        <v>0</v>
      </c>
      <c r="K243" s="30" t="n">
        <f aca="false">M242</f>
        <v>-2.31665708150703E-009</v>
      </c>
      <c r="L243" s="30" t="n">
        <f aca="false">IF(D243="Yes",(K243-F243)*Inputs!$C$23,0)</f>
        <v>0</v>
      </c>
      <c r="M243" s="30" t="n">
        <f aca="false">K243-F243+L243-G243</f>
        <v>-2.31665708150703E-009</v>
      </c>
      <c r="N243" s="30" t="n">
        <f aca="false">F243+G243</f>
        <v>0</v>
      </c>
      <c r="O243" s="30" t="n">
        <f aca="false">N243-L243</f>
        <v>0</v>
      </c>
      <c r="P243" s="30" t="n">
        <f aca="false">R242</f>
        <v>1.30967237055302E-009</v>
      </c>
      <c r="Q243" s="30" t="n">
        <f aca="false">IF(A243&lt;=Inputs!$C$24,Inputs!$C$29/Inputs!$C$24,0)</f>
        <v>0</v>
      </c>
      <c r="R243" s="30" t="n">
        <f aca="false">P243-Q243</f>
        <v>1.30967237055302E-009</v>
      </c>
      <c r="S243" s="10" t="str">
        <f aca="false">"FY "&amp;(YEAR(B243)-(MONTH(B243)&lt;4))&amp;"-"&amp;RIGHT(YEAR(B243)-(MONTH(B243)&lt;4)+1,2)</f>
        <v>FY 2045-46</v>
      </c>
    </row>
    <row r="244" customFormat="false" ht="15" hidden="false" customHeight="false" outlineLevel="0" collapsed="false">
      <c r="A244" s="22" t="n">
        <v>236</v>
      </c>
      <c r="B244" s="24" t="n">
        <f aca="false">EDATE(Inputs!$C$6,A244-1)</f>
        <v>53267</v>
      </c>
      <c r="C244" s="24" t="n">
        <f aca="false">EDATE(Inputs!$C$6,A244)-1</f>
        <v>53296</v>
      </c>
      <c r="D244" s="10" t="str">
        <f aca="false">IF(A244&lt;=Inputs!$C$7,"Yes","No")</f>
        <v>No</v>
      </c>
      <c r="E244" s="27" t="n">
        <f aca="false">IF(N(Inputs!$C$12)=0,1,(1+Inputs!$C$11)^INT((A244-1)/Inputs!$C$12))</f>
        <v>2.52695019537564</v>
      </c>
      <c r="F244" s="28" t="n">
        <f aca="false">IF(AND(D244="Yes",Inputs!$C$10="Advance",MOD(A244-1,Inputs!$C$22)=0),Inputs!$C$8*E244,0)</f>
        <v>0</v>
      </c>
      <c r="G244" s="28" t="n">
        <f aca="false">IF(AND(D244="Yes",Inputs!$C$10="Arrears",MOD(A244,Inputs!$C$22)=0),Inputs!$C$8*IF(N(Inputs!$C$12)=0,1,(1+Inputs!$C$11)^INT((A244-Inputs!$C$22)/Inputs!$C$12)),0)</f>
        <v>0</v>
      </c>
      <c r="H244" s="29" t="n">
        <f aca="false">1/(1+Inputs!$C$23)^(A244-1)</f>
        <v>0.169098660012413</v>
      </c>
      <c r="I244" s="29" t="n">
        <f aca="false">1/(1+Inputs!$C$23)^A244</f>
        <v>0.167824613702685</v>
      </c>
      <c r="J244" s="30" t="n">
        <f aca="false">F244*H244+G244*I244</f>
        <v>0</v>
      </c>
      <c r="K244" s="30" t="n">
        <f aca="false">M243</f>
        <v>-2.31665708150703E-009</v>
      </c>
      <c r="L244" s="30" t="n">
        <f aca="false">IF(D244="Yes",(K244-F244)*Inputs!$C$23,0)</f>
        <v>0</v>
      </c>
      <c r="M244" s="30" t="n">
        <f aca="false">K244-F244+L244-G244</f>
        <v>-2.31665708150703E-009</v>
      </c>
      <c r="N244" s="30" t="n">
        <f aca="false">F244+G244</f>
        <v>0</v>
      </c>
      <c r="O244" s="30" t="n">
        <f aca="false">N244-L244</f>
        <v>0</v>
      </c>
      <c r="P244" s="30" t="n">
        <f aca="false">R243</f>
        <v>1.30967237055302E-009</v>
      </c>
      <c r="Q244" s="30" t="n">
        <f aca="false">IF(A244&lt;=Inputs!$C$24,Inputs!$C$29/Inputs!$C$24,0)</f>
        <v>0</v>
      </c>
      <c r="R244" s="30" t="n">
        <f aca="false">P244-Q244</f>
        <v>1.30967237055302E-009</v>
      </c>
      <c r="S244" s="10" t="str">
        <f aca="false">"FY "&amp;(YEAR(B244)-(MONTH(B244)&lt;4))&amp;"-"&amp;RIGHT(YEAR(B244)-(MONTH(B244)&lt;4)+1,2)</f>
        <v>FY 2045-46</v>
      </c>
    </row>
    <row r="245" customFormat="false" ht="15" hidden="false" customHeight="false" outlineLevel="0" collapsed="false">
      <c r="A245" s="22" t="n">
        <v>237</v>
      </c>
      <c r="B245" s="24" t="n">
        <f aca="false">EDATE(Inputs!$C$6,A245-1)</f>
        <v>53297</v>
      </c>
      <c r="C245" s="24" t="n">
        <f aca="false">EDATE(Inputs!$C$6,A245)-1</f>
        <v>53327</v>
      </c>
      <c r="D245" s="10" t="str">
        <f aca="false">IF(A245&lt;=Inputs!$C$7,"Yes","No")</f>
        <v>No</v>
      </c>
      <c r="E245" s="27" t="n">
        <f aca="false">IF(N(Inputs!$C$12)=0,1,(1+Inputs!$C$11)^INT((A245-1)/Inputs!$C$12))</f>
        <v>2.52695019537564</v>
      </c>
      <c r="F245" s="28" t="n">
        <f aca="false">IF(AND(D245="Yes",Inputs!$C$10="Advance",MOD(A245-1,Inputs!$C$22)=0),Inputs!$C$8*E245,0)</f>
        <v>0</v>
      </c>
      <c r="G245" s="28" t="n">
        <f aca="false">IF(AND(D245="Yes",Inputs!$C$10="Arrears",MOD(A245,Inputs!$C$22)=0),Inputs!$C$8*IF(N(Inputs!$C$12)=0,1,(1+Inputs!$C$11)^INT((A245-Inputs!$C$22)/Inputs!$C$12)),0)</f>
        <v>0</v>
      </c>
      <c r="H245" s="29" t="n">
        <f aca="false">1/(1+Inputs!$C$23)^(A245-1)</f>
        <v>0.167824613702685</v>
      </c>
      <c r="I245" s="29" t="n">
        <f aca="false">1/(1+Inputs!$C$23)^A245</f>
        <v>0.166560166487351</v>
      </c>
      <c r="J245" s="30" t="n">
        <f aca="false">F245*H245+G245*I245</f>
        <v>0</v>
      </c>
      <c r="K245" s="30" t="n">
        <f aca="false">M244</f>
        <v>-2.31665708150703E-009</v>
      </c>
      <c r="L245" s="30" t="n">
        <f aca="false">IF(D245="Yes",(K245-F245)*Inputs!$C$23,0)</f>
        <v>0</v>
      </c>
      <c r="M245" s="30" t="n">
        <f aca="false">K245-F245+L245-G245</f>
        <v>-2.31665708150703E-009</v>
      </c>
      <c r="N245" s="30" t="n">
        <f aca="false">F245+G245</f>
        <v>0</v>
      </c>
      <c r="O245" s="30" t="n">
        <f aca="false">N245-L245</f>
        <v>0</v>
      </c>
      <c r="P245" s="30" t="n">
        <f aca="false">R244</f>
        <v>1.30967237055302E-009</v>
      </c>
      <c r="Q245" s="30" t="n">
        <f aca="false">IF(A245&lt;=Inputs!$C$24,Inputs!$C$29/Inputs!$C$24,0)</f>
        <v>0</v>
      </c>
      <c r="R245" s="30" t="n">
        <f aca="false">P245-Q245</f>
        <v>1.30967237055302E-009</v>
      </c>
      <c r="S245" s="10" t="str">
        <f aca="false">"FY "&amp;(YEAR(B245)-(MONTH(B245)&lt;4))&amp;"-"&amp;RIGHT(YEAR(B245)-(MONTH(B245)&lt;4)+1,2)</f>
        <v>FY 2045-46</v>
      </c>
    </row>
    <row r="246" customFormat="false" ht="15" hidden="false" customHeight="false" outlineLevel="0" collapsed="false">
      <c r="A246" s="22" t="n">
        <v>238</v>
      </c>
      <c r="B246" s="24" t="n">
        <f aca="false">EDATE(Inputs!$C$6,A246-1)</f>
        <v>53328</v>
      </c>
      <c r="C246" s="24" t="n">
        <f aca="false">EDATE(Inputs!$C$6,A246)-1</f>
        <v>53358</v>
      </c>
      <c r="D246" s="10" t="str">
        <f aca="false">IF(A246&lt;=Inputs!$C$7,"Yes","No")</f>
        <v>No</v>
      </c>
      <c r="E246" s="27" t="n">
        <f aca="false">IF(N(Inputs!$C$12)=0,1,(1+Inputs!$C$11)^INT((A246-1)/Inputs!$C$12))</f>
        <v>2.52695019537564</v>
      </c>
      <c r="F246" s="28" t="n">
        <f aca="false">IF(AND(D246="Yes",Inputs!$C$10="Advance",MOD(A246-1,Inputs!$C$22)=0),Inputs!$C$8*E246,0)</f>
        <v>0</v>
      </c>
      <c r="G246" s="28" t="n">
        <f aca="false">IF(AND(D246="Yes",Inputs!$C$10="Arrears",MOD(A246,Inputs!$C$22)=0),Inputs!$C$8*IF(N(Inputs!$C$12)=0,1,(1+Inputs!$C$11)^INT((A246-Inputs!$C$22)/Inputs!$C$12)),0)</f>
        <v>0</v>
      </c>
      <c r="H246" s="29" t="n">
        <f aca="false">1/(1+Inputs!$C$23)^(A246-1)</f>
        <v>0.166560166487351</v>
      </c>
      <c r="I246" s="29" t="n">
        <f aca="false">1/(1+Inputs!$C$23)^A246</f>
        <v>0.165305246043598</v>
      </c>
      <c r="J246" s="30" t="n">
        <f aca="false">F246*H246+G246*I246</f>
        <v>0</v>
      </c>
      <c r="K246" s="30" t="n">
        <f aca="false">M245</f>
        <v>-2.31665708150703E-009</v>
      </c>
      <c r="L246" s="30" t="n">
        <f aca="false">IF(D246="Yes",(K246-F246)*Inputs!$C$23,0)</f>
        <v>0</v>
      </c>
      <c r="M246" s="30" t="n">
        <f aca="false">K246-F246+L246-G246</f>
        <v>-2.31665708150703E-009</v>
      </c>
      <c r="N246" s="30" t="n">
        <f aca="false">F246+G246</f>
        <v>0</v>
      </c>
      <c r="O246" s="30" t="n">
        <f aca="false">N246-L246</f>
        <v>0</v>
      </c>
      <c r="P246" s="30" t="n">
        <f aca="false">R245</f>
        <v>1.30967237055302E-009</v>
      </c>
      <c r="Q246" s="30" t="n">
        <f aca="false">IF(A246&lt;=Inputs!$C$24,Inputs!$C$29/Inputs!$C$24,0)</f>
        <v>0</v>
      </c>
      <c r="R246" s="30" t="n">
        <f aca="false">P246-Q246</f>
        <v>1.30967237055302E-009</v>
      </c>
      <c r="S246" s="10" t="str">
        <f aca="false">"FY "&amp;(YEAR(B246)-(MONTH(B246)&lt;4))&amp;"-"&amp;RIGHT(YEAR(B246)-(MONTH(B246)&lt;4)+1,2)</f>
        <v>FY 2045-46</v>
      </c>
    </row>
    <row r="247" customFormat="false" ht="15" hidden="false" customHeight="false" outlineLevel="0" collapsed="false">
      <c r="A247" s="22" t="n">
        <v>239</v>
      </c>
      <c r="B247" s="24" t="n">
        <f aca="false">EDATE(Inputs!$C$6,A247-1)</f>
        <v>53359</v>
      </c>
      <c r="C247" s="24" t="n">
        <f aca="false">EDATE(Inputs!$C$6,A247)-1</f>
        <v>53386</v>
      </c>
      <c r="D247" s="10" t="str">
        <f aca="false">IF(A247&lt;=Inputs!$C$7,"Yes","No")</f>
        <v>No</v>
      </c>
      <c r="E247" s="27" t="n">
        <f aca="false">IF(N(Inputs!$C$12)=0,1,(1+Inputs!$C$11)^INT((A247-1)/Inputs!$C$12))</f>
        <v>2.52695019537564</v>
      </c>
      <c r="F247" s="28" t="n">
        <f aca="false">IF(AND(D247="Yes",Inputs!$C$10="Advance",MOD(A247-1,Inputs!$C$22)=0),Inputs!$C$8*E247,0)</f>
        <v>0</v>
      </c>
      <c r="G247" s="28" t="n">
        <f aca="false">IF(AND(D247="Yes",Inputs!$C$10="Arrears",MOD(A247,Inputs!$C$22)=0),Inputs!$C$8*IF(N(Inputs!$C$12)=0,1,(1+Inputs!$C$11)^INT((A247-Inputs!$C$22)/Inputs!$C$12)),0)</f>
        <v>0</v>
      </c>
      <c r="H247" s="29" t="n">
        <f aca="false">1/(1+Inputs!$C$23)^(A247-1)</f>
        <v>0.165305246043598</v>
      </c>
      <c r="I247" s="29" t="n">
        <f aca="false">1/(1+Inputs!$C$23)^A247</f>
        <v>0.164059780593517</v>
      </c>
      <c r="J247" s="30" t="n">
        <f aca="false">F247*H247+G247*I247</f>
        <v>0</v>
      </c>
      <c r="K247" s="30" t="n">
        <f aca="false">M246</f>
        <v>-2.31665708150703E-009</v>
      </c>
      <c r="L247" s="30" t="n">
        <f aca="false">IF(D247="Yes",(K247-F247)*Inputs!$C$23,0)</f>
        <v>0</v>
      </c>
      <c r="M247" s="30" t="n">
        <f aca="false">K247-F247+L247-G247</f>
        <v>-2.31665708150703E-009</v>
      </c>
      <c r="N247" s="30" t="n">
        <f aca="false">F247+G247</f>
        <v>0</v>
      </c>
      <c r="O247" s="30" t="n">
        <f aca="false">N247-L247</f>
        <v>0</v>
      </c>
      <c r="P247" s="30" t="n">
        <f aca="false">R246</f>
        <v>1.30967237055302E-009</v>
      </c>
      <c r="Q247" s="30" t="n">
        <f aca="false">IF(A247&lt;=Inputs!$C$24,Inputs!$C$29/Inputs!$C$24,0)</f>
        <v>0</v>
      </c>
      <c r="R247" s="30" t="n">
        <f aca="false">P247-Q247</f>
        <v>1.30967237055302E-009</v>
      </c>
      <c r="S247" s="10" t="str">
        <f aca="false">"FY "&amp;(YEAR(B247)-(MONTH(B247)&lt;4))&amp;"-"&amp;RIGHT(YEAR(B247)-(MONTH(B247)&lt;4)+1,2)</f>
        <v>FY 2045-46</v>
      </c>
    </row>
    <row r="248" customFormat="false" ht="15" hidden="false" customHeight="false" outlineLevel="0" collapsed="false">
      <c r="A248" s="22" t="n">
        <v>240</v>
      </c>
      <c r="B248" s="24" t="n">
        <f aca="false">EDATE(Inputs!$C$6,A248-1)</f>
        <v>53387</v>
      </c>
      <c r="C248" s="24" t="n">
        <f aca="false">EDATE(Inputs!$C$6,A248)-1</f>
        <v>53417</v>
      </c>
      <c r="D248" s="10" t="str">
        <f aca="false">IF(A248&lt;=Inputs!$C$7,"Yes","No")</f>
        <v>No</v>
      </c>
      <c r="E248" s="27" t="n">
        <f aca="false">IF(N(Inputs!$C$12)=0,1,(1+Inputs!$C$11)^INT((A248-1)/Inputs!$C$12))</f>
        <v>2.52695019537564</v>
      </c>
      <c r="F248" s="28" t="n">
        <f aca="false">IF(AND(D248="Yes",Inputs!$C$10="Advance",MOD(A248-1,Inputs!$C$22)=0),Inputs!$C$8*E248,0)</f>
        <v>0</v>
      </c>
      <c r="G248" s="28" t="n">
        <f aca="false">IF(AND(D248="Yes",Inputs!$C$10="Arrears",MOD(A248,Inputs!$C$22)=0),Inputs!$C$8*IF(N(Inputs!$C$12)=0,1,(1+Inputs!$C$11)^INT((A248-Inputs!$C$22)/Inputs!$C$12)),0)</f>
        <v>0</v>
      </c>
      <c r="H248" s="29" t="n">
        <f aca="false">1/(1+Inputs!$C$23)^(A248-1)</f>
        <v>0.164059780593517</v>
      </c>
      <c r="I248" s="29" t="n">
        <f aca="false">1/(1+Inputs!$C$23)^A248</f>
        <v>0.162823698899998</v>
      </c>
      <c r="J248" s="30" t="n">
        <f aca="false">F248*H248+G248*I248</f>
        <v>0</v>
      </c>
      <c r="K248" s="30" t="n">
        <f aca="false">M247</f>
        <v>-2.31665708150703E-009</v>
      </c>
      <c r="L248" s="30" t="n">
        <f aca="false">IF(D248="Yes",(K248-F248)*Inputs!$C$23,0)</f>
        <v>0</v>
      </c>
      <c r="M248" s="30" t="n">
        <f aca="false">K248-F248+L248-G248</f>
        <v>-2.31665708150703E-009</v>
      </c>
      <c r="N248" s="30" t="n">
        <f aca="false">F248+G248</f>
        <v>0</v>
      </c>
      <c r="O248" s="30" t="n">
        <f aca="false">N248-L248</f>
        <v>0</v>
      </c>
      <c r="P248" s="30" t="n">
        <f aca="false">R247</f>
        <v>1.30967237055302E-009</v>
      </c>
      <c r="Q248" s="30" t="n">
        <f aca="false">IF(A248&lt;=Inputs!$C$24,Inputs!$C$29/Inputs!$C$24,0)</f>
        <v>0</v>
      </c>
      <c r="R248" s="30" t="n">
        <f aca="false">P248-Q248</f>
        <v>1.30967237055302E-009</v>
      </c>
      <c r="S248" s="10" t="str">
        <f aca="false">"FY "&amp;(YEAR(B248)-(MONTH(B248)&lt;4))&amp;"-"&amp;RIGHT(YEAR(B248)-(MONTH(B248)&lt;4)+1,2)</f>
        <v>FY 2045-46</v>
      </c>
    </row>
    <row r="249" customFormat="false" ht="15" hidden="false" customHeight="false" outlineLevel="0" collapsed="false">
      <c r="A249" s="22" t="n">
        <v>241</v>
      </c>
      <c r="B249" s="24" t="n">
        <f aca="false">EDATE(Inputs!$C$6,A249-1)</f>
        <v>53418</v>
      </c>
      <c r="C249" s="24" t="n">
        <f aca="false">EDATE(Inputs!$C$6,A249)-1</f>
        <v>53447</v>
      </c>
      <c r="D249" s="10" t="str">
        <f aca="false">IF(A249&lt;=Inputs!$C$7,"Yes","No")</f>
        <v>No</v>
      </c>
      <c r="E249" s="27" t="n">
        <f aca="false">IF(N(Inputs!$C$12)=0,1,(1+Inputs!$C$11)^INT((A249-1)/Inputs!$C$12))</f>
        <v>2.65329770514442</v>
      </c>
      <c r="F249" s="28" t="n">
        <f aca="false">IF(AND(D249="Yes",Inputs!$C$10="Advance",MOD(A249-1,Inputs!$C$22)=0),Inputs!$C$8*E249,0)</f>
        <v>0</v>
      </c>
      <c r="G249" s="28" t="n">
        <f aca="false">IF(AND(D249="Yes",Inputs!$C$10="Arrears",MOD(A249,Inputs!$C$22)=0),Inputs!$C$8*IF(N(Inputs!$C$12)=0,1,(1+Inputs!$C$11)^INT((A249-Inputs!$C$22)/Inputs!$C$12)),0)</f>
        <v>0</v>
      </c>
      <c r="H249" s="29" t="n">
        <f aca="false">1/(1+Inputs!$C$23)^(A249-1)</f>
        <v>0.162823698899998</v>
      </c>
      <c r="I249" s="29" t="n">
        <f aca="false">1/(1+Inputs!$C$23)^A249</f>
        <v>0.161596930262656</v>
      </c>
      <c r="J249" s="30" t="n">
        <f aca="false">F249*H249+G249*I249</f>
        <v>0</v>
      </c>
      <c r="K249" s="30" t="n">
        <f aca="false">M248</f>
        <v>-2.31665708150703E-009</v>
      </c>
      <c r="L249" s="30" t="n">
        <f aca="false">IF(D249="Yes",(K249-F249)*Inputs!$C$23,0)</f>
        <v>0</v>
      </c>
      <c r="M249" s="30" t="n">
        <f aca="false">K249-F249+L249-G249</f>
        <v>-2.31665708150703E-009</v>
      </c>
      <c r="N249" s="30" t="n">
        <f aca="false">F249+G249</f>
        <v>0</v>
      </c>
      <c r="O249" s="30" t="n">
        <f aca="false">N249-L249</f>
        <v>0</v>
      </c>
      <c r="P249" s="30" t="n">
        <f aca="false">R248</f>
        <v>1.30967237055302E-009</v>
      </c>
      <c r="Q249" s="30" t="n">
        <f aca="false">IF(A249&lt;=Inputs!$C$24,Inputs!$C$29/Inputs!$C$24,0)</f>
        <v>0</v>
      </c>
      <c r="R249" s="30" t="n">
        <f aca="false">P249-Q249</f>
        <v>1.30967237055302E-009</v>
      </c>
      <c r="S249" s="10" t="str">
        <f aca="false">"FY "&amp;(YEAR(B249)-(MONTH(B249)&lt;4))&amp;"-"&amp;RIGHT(YEAR(B249)-(MONTH(B249)&lt;4)+1,2)</f>
        <v>FY 2046-47</v>
      </c>
    </row>
    <row r="250" customFormat="false" ht="15" hidden="false" customHeight="false" outlineLevel="0" collapsed="false">
      <c r="A250" s="22" t="n">
        <v>242</v>
      </c>
      <c r="B250" s="24" t="n">
        <f aca="false">EDATE(Inputs!$C$6,A250-1)</f>
        <v>53448</v>
      </c>
      <c r="C250" s="24" t="n">
        <f aca="false">EDATE(Inputs!$C$6,A250)-1</f>
        <v>53478</v>
      </c>
      <c r="D250" s="10" t="str">
        <f aca="false">IF(A250&lt;=Inputs!$C$7,"Yes","No")</f>
        <v>No</v>
      </c>
      <c r="E250" s="27" t="n">
        <f aca="false">IF(N(Inputs!$C$12)=0,1,(1+Inputs!$C$11)^INT((A250-1)/Inputs!$C$12))</f>
        <v>2.65329770514442</v>
      </c>
      <c r="F250" s="28" t="n">
        <f aca="false">IF(AND(D250="Yes",Inputs!$C$10="Advance",MOD(A250-1,Inputs!$C$22)=0),Inputs!$C$8*E250,0)</f>
        <v>0</v>
      </c>
      <c r="G250" s="28" t="n">
        <f aca="false">IF(AND(D250="Yes",Inputs!$C$10="Arrears",MOD(A250,Inputs!$C$22)=0),Inputs!$C$8*IF(N(Inputs!$C$12)=0,1,(1+Inputs!$C$11)^INT((A250-Inputs!$C$22)/Inputs!$C$12)),0)</f>
        <v>0</v>
      </c>
      <c r="H250" s="29" t="n">
        <f aca="false">1/(1+Inputs!$C$23)^(A250-1)</f>
        <v>0.161596930262656</v>
      </c>
      <c r="I250" s="29" t="n">
        <f aca="false">1/(1+Inputs!$C$23)^A250</f>
        <v>0.160379404513787</v>
      </c>
      <c r="J250" s="30" t="n">
        <f aca="false">F250*H250+G250*I250</f>
        <v>0</v>
      </c>
      <c r="K250" s="30" t="n">
        <f aca="false">M249</f>
        <v>-2.31665708150703E-009</v>
      </c>
      <c r="L250" s="30" t="n">
        <f aca="false">IF(D250="Yes",(K250-F250)*Inputs!$C$23,0)</f>
        <v>0</v>
      </c>
      <c r="M250" s="30" t="n">
        <f aca="false">K250-F250+L250-G250</f>
        <v>-2.31665708150703E-009</v>
      </c>
      <c r="N250" s="30" t="n">
        <f aca="false">F250+G250</f>
        <v>0</v>
      </c>
      <c r="O250" s="30" t="n">
        <f aca="false">N250-L250</f>
        <v>0</v>
      </c>
      <c r="P250" s="30" t="n">
        <f aca="false">R249</f>
        <v>1.30967237055302E-009</v>
      </c>
      <c r="Q250" s="30" t="n">
        <f aca="false">IF(A250&lt;=Inputs!$C$24,Inputs!$C$29/Inputs!$C$24,0)</f>
        <v>0</v>
      </c>
      <c r="R250" s="30" t="n">
        <f aca="false">P250-Q250</f>
        <v>1.30967237055302E-009</v>
      </c>
      <c r="S250" s="10" t="str">
        <f aca="false">"FY "&amp;(YEAR(B250)-(MONTH(B250)&lt;4))&amp;"-"&amp;RIGHT(YEAR(B250)-(MONTH(B250)&lt;4)+1,2)</f>
        <v>FY 2046-47</v>
      </c>
    </row>
    <row r="251" customFormat="false" ht="15" hidden="false" customHeight="false" outlineLevel="0" collapsed="false">
      <c r="A251" s="22" t="n">
        <v>243</v>
      </c>
      <c r="B251" s="24" t="n">
        <f aca="false">EDATE(Inputs!$C$6,A251-1)</f>
        <v>53479</v>
      </c>
      <c r="C251" s="24" t="n">
        <f aca="false">EDATE(Inputs!$C$6,A251)-1</f>
        <v>53508</v>
      </c>
      <c r="D251" s="10" t="str">
        <f aca="false">IF(A251&lt;=Inputs!$C$7,"Yes","No")</f>
        <v>No</v>
      </c>
      <c r="E251" s="27" t="n">
        <f aca="false">IF(N(Inputs!$C$12)=0,1,(1+Inputs!$C$11)^INT((A251-1)/Inputs!$C$12))</f>
        <v>2.65329770514442</v>
      </c>
      <c r="F251" s="28" t="n">
        <f aca="false">IF(AND(D251="Yes",Inputs!$C$10="Advance",MOD(A251-1,Inputs!$C$22)=0),Inputs!$C$8*E251,0)</f>
        <v>0</v>
      </c>
      <c r="G251" s="28" t="n">
        <f aca="false">IF(AND(D251="Yes",Inputs!$C$10="Arrears",MOD(A251,Inputs!$C$22)=0),Inputs!$C$8*IF(N(Inputs!$C$12)=0,1,(1+Inputs!$C$11)^INT((A251-Inputs!$C$22)/Inputs!$C$12)),0)</f>
        <v>0</v>
      </c>
      <c r="H251" s="29" t="n">
        <f aca="false">1/(1+Inputs!$C$23)^(A251-1)</f>
        <v>0.160379404513787</v>
      </c>
      <c r="I251" s="29" t="n">
        <f aca="false">1/(1+Inputs!$C$23)^A251</f>
        <v>0.159171052014352</v>
      </c>
      <c r="J251" s="30" t="n">
        <f aca="false">F251*H251+G251*I251</f>
        <v>0</v>
      </c>
      <c r="K251" s="30" t="n">
        <f aca="false">M250</f>
        <v>-2.31665708150703E-009</v>
      </c>
      <c r="L251" s="30" t="n">
        <f aca="false">IF(D251="Yes",(K251-F251)*Inputs!$C$23,0)</f>
        <v>0</v>
      </c>
      <c r="M251" s="30" t="n">
        <f aca="false">K251-F251+L251-G251</f>
        <v>-2.31665708150703E-009</v>
      </c>
      <c r="N251" s="30" t="n">
        <f aca="false">F251+G251</f>
        <v>0</v>
      </c>
      <c r="O251" s="30" t="n">
        <f aca="false">N251-L251</f>
        <v>0</v>
      </c>
      <c r="P251" s="30" t="n">
        <f aca="false">R250</f>
        <v>1.30967237055302E-009</v>
      </c>
      <c r="Q251" s="30" t="n">
        <f aca="false">IF(A251&lt;=Inputs!$C$24,Inputs!$C$29/Inputs!$C$24,0)</f>
        <v>0</v>
      </c>
      <c r="R251" s="30" t="n">
        <f aca="false">P251-Q251</f>
        <v>1.30967237055302E-009</v>
      </c>
      <c r="S251" s="10" t="str">
        <f aca="false">"FY "&amp;(YEAR(B251)-(MONTH(B251)&lt;4))&amp;"-"&amp;RIGHT(YEAR(B251)-(MONTH(B251)&lt;4)+1,2)</f>
        <v>FY 2046-47</v>
      </c>
    </row>
    <row r="252" customFormat="false" ht="15" hidden="false" customHeight="false" outlineLevel="0" collapsed="false">
      <c r="A252" s="22" t="n">
        <v>244</v>
      </c>
      <c r="B252" s="24" t="n">
        <f aca="false">EDATE(Inputs!$C$6,A252-1)</f>
        <v>53509</v>
      </c>
      <c r="C252" s="24" t="n">
        <f aca="false">EDATE(Inputs!$C$6,A252)-1</f>
        <v>53539</v>
      </c>
      <c r="D252" s="10" t="str">
        <f aca="false">IF(A252&lt;=Inputs!$C$7,"Yes","No")</f>
        <v>No</v>
      </c>
      <c r="E252" s="27" t="n">
        <f aca="false">IF(N(Inputs!$C$12)=0,1,(1+Inputs!$C$11)^INT((A252-1)/Inputs!$C$12))</f>
        <v>2.65329770514442</v>
      </c>
      <c r="F252" s="28" t="n">
        <f aca="false">IF(AND(D252="Yes",Inputs!$C$10="Advance",MOD(A252-1,Inputs!$C$22)=0),Inputs!$C$8*E252,0)</f>
        <v>0</v>
      </c>
      <c r="G252" s="28" t="n">
        <f aca="false">IF(AND(D252="Yes",Inputs!$C$10="Arrears",MOD(A252,Inputs!$C$22)=0),Inputs!$C$8*IF(N(Inputs!$C$12)=0,1,(1+Inputs!$C$11)^INT((A252-Inputs!$C$22)/Inputs!$C$12)),0)</f>
        <v>0</v>
      </c>
      <c r="H252" s="29" t="n">
        <f aca="false">1/(1+Inputs!$C$23)^(A252-1)</f>
        <v>0.159171052014352</v>
      </c>
      <c r="I252" s="29" t="n">
        <f aca="false">1/(1+Inputs!$C$23)^A252</f>
        <v>0.157971803649998</v>
      </c>
      <c r="J252" s="30" t="n">
        <f aca="false">F252*H252+G252*I252</f>
        <v>0</v>
      </c>
      <c r="K252" s="30" t="n">
        <f aca="false">M251</f>
        <v>-2.31665708150703E-009</v>
      </c>
      <c r="L252" s="30" t="n">
        <f aca="false">IF(D252="Yes",(K252-F252)*Inputs!$C$23,0)</f>
        <v>0</v>
      </c>
      <c r="M252" s="30" t="n">
        <f aca="false">K252-F252+L252-G252</f>
        <v>-2.31665708150703E-009</v>
      </c>
      <c r="N252" s="30" t="n">
        <f aca="false">F252+G252</f>
        <v>0</v>
      </c>
      <c r="O252" s="30" t="n">
        <f aca="false">N252-L252</f>
        <v>0</v>
      </c>
      <c r="P252" s="30" t="n">
        <f aca="false">R251</f>
        <v>1.30967237055302E-009</v>
      </c>
      <c r="Q252" s="30" t="n">
        <f aca="false">IF(A252&lt;=Inputs!$C$24,Inputs!$C$29/Inputs!$C$24,0)</f>
        <v>0</v>
      </c>
      <c r="R252" s="30" t="n">
        <f aca="false">P252-Q252</f>
        <v>1.30967237055302E-009</v>
      </c>
      <c r="S252" s="10" t="str">
        <f aca="false">"FY "&amp;(YEAR(B252)-(MONTH(B252)&lt;4))&amp;"-"&amp;RIGHT(YEAR(B252)-(MONTH(B252)&lt;4)+1,2)</f>
        <v>FY 2046-47</v>
      </c>
    </row>
    <row r="253" customFormat="false" ht="15" hidden="false" customHeight="false" outlineLevel="0" collapsed="false">
      <c r="A253" s="22" t="n">
        <v>245</v>
      </c>
      <c r="B253" s="24" t="n">
        <f aca="false">EDATE(Inputs!$C$6,A253-1)</f>
        <v>53540</v>
      </c>
      <c r="C253" s="24" t="n">
        <f aca="false">EDATE(Inputs!$C$6,A253)-1</f>
        <v>53570</v>
      </c>
      <c r="D253" s="10" t="str">
        <f aca="false">IF(A253&lt;=Inputs!$C$7,"Yes","No")</f>
        <v>No</v>
      </c>
      <c r="E253" s="27" t="n">
        <f aca="false">IF(N(Inputs!$C$12)=0,1,(1+Inputs!$C$11)^INT((A253-1)/Inputs!$C$12))</f>
        <v>2.65329770514442</v>
      </c>
      <c r="F253" s="28" t="n">
        <f aca="false">IF(AND(D253="Yes",Inputs!$C$10="Advance",MOD(A253-1,Inputs!$C$22)=0),Inputs!$C$8*E253,0)</f>
        <v>0</v>
      </c>
      <c r="G253" s="28" t="n">
        <f aca="false">IF(AND(D253="Yes",Inputs!$C$10="Arrears",MOD(A253,Inputs!$C$22)=0),Inputs!$C$8*IF(N(Inputs!$C$12)=0,1,(1+Inputs!$C$11)^INT((A253-Inputs!$C$22)/Inputs!$C$12)),0)</f>
        <v>0</v>
      </c>
      <c r="H253" s="29" t="n">
        <f aca="false">1/(1+Inputs!$C$23)^(A253-1)</f>
        <v>0.157971803649998</v>
      </c>
      <c r="I253" s="29" t="n">
        <f aca="false">1/(1+Inputs!$C$23)^A253</f>
        <v>0.156781590827102</v>
      </c>
      <c r="J253" s="30" t="n">
        <f aca="false">F253*H253+G253*I253</f>
        <v>0</v>
      </c>
      <c r="K253" s="30" t="n">
        <f aca="false">M252</f>
        <v>-2.31665708150703E-009</v>
      </c>
      <c r="L253" s="30" t="n">
        <f aca="false">IF(D253="Yes",(K253-F253)*Inputs!$C$23,0)</f>
        <v>0</v>
      </c>
      <c r="M253" s="30" t="n">
        <f aca="false">K253-F253+L253-G253</f>
        <v>-2.31665708150703E-009</v>
      </c>
      <c r="N253" s="30" t="n">
        <f aca="false">F253+G253</f>
        <v>0</v>
      </c>
      <c r="O253" s="30" t="n">
        <f aca="false">N253-L253</f>
        <v>0</v>
      </c>
      <c r="P253" s="30" t="n">
        <f aca="false">R252</f>
        <v>1.30967237055302E-009</v>
      </c>
      <c r="Q253" s="30" t="n">
        <f aca="false">IF(A253&lt;=Inputs!$C$24,Inputs!$C$29/Inputs!$C$24,0)</f>
        <v>0</v>
      </c>
      <c r="R253" s="30" t="n">
        <f aca="false">P253-Q253</f>
        <v>1.30967237055302E-009</v>
      </c>
      <c r="S253" s="10" t="str">
        <f aca="false">"FY "&amp;(YEAR(B253)-(MONTH(B253)&lt;4))&amp;"-"&amp;RIGHT(YEAR(B253)-(MONTH(B253)&lt;4)+1,2)</f>
        <v>FY 2046-47</v>
      </c>
    </row>
    <row r="254" customFormat="false" ht="15" hidden="false" customHeight="false" outlineLevel="0" collapsed="false">
      <c r="A254" s="22" t="n">
        <v>246</v>
      </c>
      <c r="B254" s="24" t="n">
        <f aca="false">EDATE(Inputs!$C$6,A254-1)</f>
        <v>53571</v>
      </c>
      <c r="C254" s="24" t="n">
        <f aca="false">EDATE(Inputs!$C$6,A254)-1</f>
        <v>53600</v>
      </c>
      <c r="D254" s="10" t="str">
        <f aca="false">IF(A254&lt;=Inputs!$C$7,"Yes","No")</f>
        <v>No</v>
      </c>
      <c r="E254" s="27" t="n">
        <f aca="false">IF(N(Inputs!$C$12)=0,1,(1+Inputs!$C$11)^INT((A254-1)/Inputs!$C$12))</f>
        <v>2.65329770514442</v>
      </c>
      <c r="F254" s="28" t="n">
        <f aca="false">IF(AND(D254="Yes",Inputs!$C$10="Advance",MOD(A254-1,Inputs!$C$22)=0),Inputs!$C$8*E254,0)</f>
        <v>0</v>
      </c>
      <c r="G254" s="28" t="n">
        <f aca="false">IF(AND(D254="Yes",Inputs!$C$10="Arrears",MOD(A254,Inputs!$C$22)=0),Inputs!$C$8*IF(N(Inputs!$C$12)=0,1,(1+Inputs!$C$11)^INT((A254-Inputs!$C$22)/Inputs!$C$12)),0)</f>
        <v>0</v>
      </c>
      <c r="H254" s="29" t="n">
        <f aca="false">1/(1+Inputs!$C$23)^(A254-1)</f>
        <v>0.156781590827102</v>
      </c>
      <c r="I254" s="29" t="n">
        <f aca="false">1/(1+Inputs!$C$23)^A254</f>
        <v>0.155600345468848</v>
      </c>
      <c r="J254" s="30" t="n">
        <f aca="false">F254*H254+G254*I254</f>
        <v>0</v>
      </c>
      <c r="K254" s="30" t="n">
        <f aca="false">M253</f>
        <v>-2.31665708150703E-009</v>
      </c>
      <c r="L254" s="30" t="n">
        <f aca="false">IF(D254="Yes",(K254-F254)*Inputs!$C$23,0)</f>
        <v>0</v>
      </c>
      <c r="M254" s="30" t="n">
        <f aca="false">K254-F254+L254-G254</f>
        <v>-2.31665708150703E-009</v>
      </c>
      <c r="N254" s="30" t="n">
        <f aca="false">F254+G254</f>
        <v>0</v>
      </c>
      <c r="O254" s="30" t="n">
        <f aca="false">N254-L254</f>
        <v>0</v>
      </c>
      <c r="P254" s="30" t="n">
        <f aca="false">R253</f>
        <v>1.30967237055302E-009</v>
      </c>
      <c r="Q254" s="30" t="n">
        <f aca="false">IF(A254&lt;=Inputs!$C$24,Inputs!$C$29/Inputs!$C$24,0)</f>
        <v>0</v>
      </c>
      <c r="R254" s="30" t="n">
        <f aca="false">P254-Q254</f>
        <v>1.30967237055302E-009</v>
      </c>
      <c r="S254" s="10" t="str">
        <f aca="false">"FY "&amp;(YEAR(B254)-(MONTH(B254)&lt;4))&amp;"-"&amp;RIGHT(YEAR(B254)-(MONTH(B254)&lt;4)+1,2)</f>
        <v>FY 2046-47</v>
      </c>
    </row>
    <row r="255" customFormat="false" ht="15" hidden="false" customHeight="false" outlineLevel="0" collapsed="false">
      <c r="A255" s="22" t="n">
        <v>247</v>
      </c>
      <c r="B255" s="24" t="n">
        <f aca="false">EDATE(Inputs!$C$6,A255-1)</f>
        <v>53601</v>
      </c>
      <c r="C255" s="24" t="n">
        <f aca="false">EDATE(Inputs!$C$6,A255)-1</f>
        <v>53631</v>
      </c>
      <c r="D255" s="10" t="str">
        <f aca="false">IF(A255&lt;=Inputs!$C$7,"Yes","No")</f>
        <v>No</v>
      </c>
      <c r="E255" s="27" t="n">
        <f aca="false">IF(N(Inputs!$C$12)=0,1,(1+Inputs!$C$11)^INT((A255-1)/Inputs!$C$12))</f>
        <v>2.65329770514442</v>
      </c>
      <c r="F255" s="28" t="n">
        <f aca="false">IF(AND(D255="Yes",Inputs!$C$10="Advance",MOD(A255-1,Inputs!$C$22)=0),Inputs!$C$8*E255,0)</f>
        <v>0</v>
      </c>
      <c r="G255" s="28" t="n">
        <f aca="false">IF(AND(D255="Yes",Inputs!$C$10="Arrears",MOD(A255,Inputs!$C$22)=0),Inputs!$C$8*IF(N(Inputs!$C$12)=0,1,(1+Inputs!$C$11)^INT((A255-Inputs!$C$22)/Inputs!$C$12)),0)</f>
        <v>0</v>
      </c>
      <c r="H255" s="29" t="n">
        <f aca="false">1/(1+Inputs!$C$23)^(A255-1)</f>
        <v>0.155600345468848</v>
      </c>
      <c r="I255" s="29" t="n">
        <f aca="false">1/(1+Inputs!$C$23)^A255</f>
        <v>0.154428000011336</v>
      </c>
      <c r="J255" s="30" t="n">
        <f aca="false">F255*H255+G255*I255</f>
        <v>0</v>
      </c>
      <c r="K255" s="30" t="n">
        <f aca="false">M254</f>
        <v>-2.31665708150703E-009</v>
      </c>
      <c r="L255" s="30" t="n">
        <f aca="false">IF(D255="Yes",(K255-F255)*Inputs!$C$23,0)</f>
        <v>0</v>
      </c>
      <c r="M255" s="30" t="n">
        <f aca="false">K255-F255+L255-G255</f>
        <v>-2.31665708150703E-009</v>
      </c>
      <c r="N255" s="30" t="n">
        <f aca="false">F255+G255</f>
        <v>0</v>
      </c>
      <c r="O255" s="30" t="n">
        <f aca="false">N255-L255</f>
        <v>0</v>
      </c>
      <c r="P255" s="30" t="n">
        <f aca="false">R254</f>
        <v>1.30967237055302E-009</v>
      </c>
      <c r="Q255" s="30" t="n">
        <f aca="false">IF(A255&lt;=Inputs!$C$24,Inputs!$C$29/Inputs!$C$24,0)</f>
        <v>0</v>
      </c>
      <c r="R255" s="30" t="n">
        <f aca="false">P255-Q255</f>
        <v>1.30967237055302E-009</v>
      </c>
      <c r="S255" s="10" t="str">
        <f aca="false">"FY "&amp;(YEAR(B255)-(MONTH(B255)&lt;4))&amp;"-"&amp;RIGHT(YEAR(B255)-(MONTH(B255)&lt;4)+1,2)</f>
        <v>FY 2046-47</v>
      </c>
    </row>
    <row r="256" customFormat="false" ht="15" hidden="false" customHeight="false" outlineLevel="0" collapsed="false">
      <c r="A256" s="22" t="n">
        <v>248</v>
      </c>
      <c r="B256" s="24" t="n">
        <f aca="false">EDATE(Inputs!$C$6,A256-1)</f>
        <v>53632</v>
      </c>
      <c r="C256" s="24" t="n">
        <f aca="false">EDATE(Inputs!$C$6,A256)-1</f>
        <v>53661</v>
      </c>
      <c r="D256" s="10" t="str">
        <f aca="false">IF(A256&lt;=Inputs!$C$7,"Yes","No")</f>
        <v>No</v>
      </c>
      <c r="E256" s="27" t="n">
        <f aca="false">IF(N(Inputs!$C$12)=0,1,(1+Inputs!$C$11)^INT((A256-1)/Inputs!$C$12))</f>
        <v>2.65329770514442</v>
      </c>
      <c r="F256" s="28" t="n">
        <f aca="false">IF(AND(D256="Yes",Inputs!$C$10="Advance",MOD(A256-1,Inputs!$C$22)=0),Inputs!$C$8*E256,0)</f>
        <v>0</v>
      </c>
      <c r="G256" s="28" t="n">
        <f aca="false">IF(AND(D256="Yes",Inputs!$C$10="Arrears",MOD(A256,Inputs!$C$22)=0),Inputs!$C$8*IF(N(Inputs!$C$12)=0,1,(1+Inputs!$C$11)^INT((A256-Inputs!$C$22)/Inputs!$C$12)),0)</f>
        <v>0</v>
      </c>
      <c r="H256" s="29" t="n">
        <f aca="false">1/(1+Inputs!$C$23)^(A256-1)</f>
        <v>0.154428000011336</v>
      </c>
      <c r="I256" s="29" t="n">
        <f aca="false">1/(1+Inputs!$C$23)^A256</f>
        <v>0.153264487399713</v>
      </c>
      <c r="J256" s="30" t="n">
        <f aca="false">F256*H256+G256*I256</f>
        <v>0</v>
      </c>
      <c r="K256" s="30" t="n">
        <f aca="false">M255</f>
        <v>-2.31665708150703E-009</v>
      </c>
      <c r="L256" s="30" t="n">
        <f aca="false">IF(D256="Yes",(K256-F256)*Inputs!$C$23,0)</f>
        <v>0</v>
      </c>
      <c r="M256" s="30" t="n">
        <f aca="false">K256-F256+L256-G256</f>
        <v>-2.31665708150703E-009</v>
      </c>
      <c r="N256" s="30" t="n">
        <f aca="false">F256+G256</f>
        <v>0</v>
      </c>
      <c r="O256" s="30" t="n">
        <f aca="false">N256-L256</f>
        <v>0</v>
      </c>
      <c r="P256" s="30" t="n">
        <f aca="false">R255</f>
        <v>1.30967237055302E-009</v>
      </c>
      <c r="Q256" s="30" t="n">
        <f aca="false">IF(A256&lt;=Inputs!$C$24,Inputs!$C$29/Inputs!$C$24,0)</f>
        <v>0</v>
      </c>
      <c r="R256" s="30" t="n">
        <f aca="false">P256-Q256</f>
        <v>1.30967237055302E-009</v>
      </c>
      <c r="S256" s="10" t="str">
        <f aca="false">"FY "&amp;(YEAR(B256)-(MONTH(B256)&lt;4))&amp;"-"&amp;RIGHT(YEAR(B256)-(MONTH(B256)&lt;4)+1,2)</f>
        <v>FY 2046-47</v>
      </c>
    </row>
    <row r="257" customFormat="false" ht="15" hidden="false" customHeight="false" outlineLevel="0" collapsed="false">
      <c r="A257" s="22" t="n">
        <v>249</v>
      </c>
      <c r="B257" s="24" t="n">
        <f aca="false">EDATE(Inputs!$C$6,A257-1)</f>
        <v>53662</v>
      </c>
      <c r="C257" s="24" t="n">
        <f aca="false">EDATE(Inputs!$C$6,A257)-1</f>
        <v>53692</v>
      </c>
      <c r="D257" s="10" t="str">
        <f aca="false">IF(A257&lt;=Inputs!$C$7,"Yes","No")</f>
        <v>No</v>
      </c>
      <c r="E257" s="27" t="n">
        <f aca="false">IF(N(Inputs!$C$12)=0,1,(1+Inputs!$C$11)^INT((A257-1)/Inputs!$C$12))</f>
        <v>2.65329770514442</v>
      </c>
      <c r="F257" s="28" t="n">
        <f aca="false">IF(AND(D257="Yes",Inputs!$C$10="Advance",MOD(A257-1,Inputs!$C$22)=0),Inputs!$C$8*E257,0)</f>
        <v>0</v>
      </c>
      <c r="G257" s="28" t="n">
        <f aca="false">IF(AND(D257="Yes",Inputs!$C$10="Arrears",MOD(A257,Inputs!$C$22)=0),Inputs!$C$8*IF(N(Inputs!$C$12)=0,1,(1+Inputs!$C$11)^INT((A257-Inputs!$C$22)/Inputs!$C$12)),0)</f>
        <v>0</v>
      </c>
      <c r="H257" s="29" t="n">
        <f aca="false">1/(1+Inputs!$C$23)^(A257-1)</f>
        <v>0.153264487399713</v>
      </c>
      <c r="I257" s="29" t="n">
        <f aca="false">1/(1+Inputs!$C$23)^A257</f>
        <v>0.152109741084339</v>
      </c>
      <c r="J257" s="30" t="n">
        <f aca="false">F257*H257+G257*I257</f>
        <v>0</v>
      </c>
      <c r="K257" s="30" t="n">
        <f aca="false">M256</f>
        <v>-2.31665708150703E-009</v>
      </c>
      <c r="L257" s="30" t="n">
        <f aca="false">IF(D257="Yes",(K257-F257)*Inputs!$C$23,0)</f>
        <v>0</v>
      </c>
      <c r="M257" s="30" t="n">
        <f aca="false">K257-F257+L257-G257</f>
        <v>-2.31665708150703E-009</v>
      </c>
      <c r="N257" s="30" t="n">
        <f aca="false">F257+G257</f>
        <v>0</v>
      </c>
      <c r="O257" s="30" t="n">
        <f aca="false">N257-L257</f>
        <v>0</v>
      </c>
      <c r="P257" s="30" t="n">
        <f aca="false">R256</f>
        <v>1.30967237055302E-009</v>
      </c>
      <c r="Q257" s="30" t="n">
        <f aca="false">IF(A257&lt;=Inputs!$C$24,Inputs!$C$29/Inputs!$C$24,0)</f>
        <v>0</v>
      </c>
      <c r="R257" s="30" t="n">
        <f aca="false">P257-Q257</f>
        <v>1.30967237055302E-009</v>
      </c>
      <c r="S257" s="10" t="str">
        <f aca="false">"FY "&amp;(YEAR(B257)-(MONTH(B257)&lt;4))&amp;"-"&amp;RIGHT(YEAR(B257)-(MONTH(B257)&lt;4)+1,2)</f>
        <v>FY 2046-47</v>
      </c>
    </row>
    <row r="258" customFormat="false" ht="15" hidden="false" customHeight="false" outlineLevel="0" collapsed="false">
      <c r="A258" s="22" t="n">
        <v>250</v>
      </c>
      <c r="B258" s="24" t="n">
        <f aca="false">EDATE(Inputs!$C$6,A258-1)</f>
        <v>53693</v>
      </c>
      <c r="C258" s="24" t="n">
        <f aca="false">EDATE(Inputs!$C$6,A258)-1</f>
        <v>53723</v>
      </c>
      <c r="D258" s="10" t="str">
        <f aca="false">IF(A258&lt;=Inputs!$C$7,"Yes","No")</f>
        <v>No</v>
      </c>
      <c r="E258" s="27" t="n">
        <f aca="false">IF(N(Inputs!$C$12)=0,1,(1+Inputs!$C$11)^INT((A258-1)/Inputs!$C$12))</f>
        <v>2.65329770514442</v>
      </c>
      <c r="F258" s="28" t="n">
        <f aca="false">IF(AND(D258="Yes",Inputs!$C$10="Advance",MOD(A258-1,Inputs!$C$22)=0),Inputs!$C$8*E258,0)</f>
        <v>0</v>
      </c>
      <c r="G258" s="28" t="n">
        <f aca="false">IF(AND(D258="Yes",Inputs!$C$10="Arrears",MOD(A258,Inputs!$C$22)=0),Inputs!$C$8*IF(N(Inputs!$C$12)=0,1,(1+Inputs!$C$11)^INT((A258-Inputs!$C$22)/Inputs!$C$12)),0)</f>
        <v>0</v>
      </c>
      <c r="H258" s="29" t="n">
        <f aca="false">1/(1+Inputs!$C$23)^(A258-1)</f>
        <v>0.152109741084339</v>
      </c>
      <c r="I258" s="29" t="n">
        <f aca="false">1/(1+Inputs!$C$23)^A258</f>
        <v>0.150963695016985</v>
      </c>
      <c r="J258" s="30" t="n">
        <f aca="false">F258*H258+G258*I258</f>
        <v>0</v>
      </c>
      <c r="K258" s="30" t="n">
        <f aca="false">M257</f>
        <v>-2.31665708150703E-009</v>
      </c>
      <c r="L258" s="30" t="n">
        <f aca="false">IF(D258="Yes",(K258-F258)*Inputs!$C$23,0)</f>
        <v>0</v>
      </c>
      <c r="M258" s="30" t="n">
        <f aca="false">K258-F258+L258-G258</f>
        <v>-2.31665708150703E-009</v>
      </c>
      <c r="N258" s="30" t="n">
        <f aca="false">F258+G258</f>
        <v>0</v>
      </c>
      <c r="O258" s="30" t="n">
        <f aca="false">N258-L258</f>
        <v>0</v>
      </c>
      <c r="P258" s="30" t="n">
        <f aca="false">R257</f>
        <v>1.30967237055302E-009</v>
      </c>
      <c r="Q258" s="30" t="n">
        <f aca="false">IF(A258&lt;=Inputs!$C$24,Inputs!$C$29/Inputs!$C$24,0)</f>
        <v>0</v>
      </c>
      <c r="R258" s="30" t="n">
        <f aca="false">P258-Q258</f>
        <v>1.30967237055302E-009</v>
      </c>
      <c r="S258" s="10" t="str">
        <f aca="false">"FY "&amp;(YEAR(B258)-(MONTH(B258)&lt;4))&amp;"-"&amp;RIGHT(YEAR(B258)-(MONTH(B258)&lt;4)+1,2)</f>
        <v>FY 2046-47</v>
      </c>
    </row>
    <row r="259" customFormat="false" ht="15" hidden="false" customHeight="false" outlineLevel="0" collapsed="false">
      <c r="A259" s="22" t="n">
        <v>251</v>
      </c>
      <c r="B259" s="24" t="n">
        <f aca="false">EDATE(Inputs!$C$6,A259-1)</f>
        <v>53724</v>
      </c>
      <c r="C259" s="24" t="n">
        <f aca="false">EDATE(Inputs!$C$6,A259)-1</f>
        <v>53751</v>
      </c>
      <c r="D259" s="10" t="str">
        <f aca="false">IF(A259&lt;=Inputs!$C$7,"Yes","No")</f>
        <v>No</v>
      </c>
      <c r="E259" s="27" t="n">
        <f aca="false">IF(N(Inputs!$C$12)=0,1,(1+Inputs!$C$11)^INT((A259-1)/Inputs!$C$12))</f>
        <v>2.65329770514442</v>
      </c>
      <c r="F259" s="28" t="n">
        <f aca="false">IF(AND(D259="Yes",Inputs!$C$10="Advance",MOD(A259-1,Inputs!$C$22)=0),Inputs!$C$8*E259,0)</f>
        <v>0</v>
      </c>
      <c r="G259" s="28" t="n">
        <f aca="false">IF(AND(D259="Yes",Inputs!$C$10="Arrears",MOD(A259,Inputs!$C$22)=0),Inputs!$C$8*IF(N(Inputs!$C$12)=0,1,(1+Inputs!$C$11)^INT((A259-Inputs!$C$22)/Inputs!$C$12)),0)</f>
        <v>0</v>
      </c>
      <c r="H259" s="29" t="n">
        <f aca="false">1/(1+Inputs!$C$23)^(A259-1)</f>
        <v>0.150963695016985</v>
      </c>
      <c r="I259" s="29" t="n">
        <f aca="false">1/(1+Inputs!$C$23)^A259</f>
        <v>0.149826283647048</v>
      </c>
      <c r="J259" s="30" t="n">
        <f aca="false">F259*H259+G259*I259</f>
        <v>0</v>
      </c>
      <c r="K259" s="30" t="n">
        <f aca="false">M258</f>
        <v>-2.31665708150703E-009</v>
      </c>
      <c r="L259" s="30" t="n">
        <f aca="false">IF(D259="Yes",(K259-F259)*Inputs!$C$23,0)</f>
        <v>0</v>
      </c>
      <c r="M259" s="30" t="n">
        <f aca="false">K259-F259+L259-G259</f>
        <v>-2.31665708150703E-009</v>
      </c>
      <c r="N259" s="30" t="n">
        <f aca="false">F259+G259</f>
        <v>0</v>
      </c>
      <c r="O259" s="30" t="n">
        <f aca="false">N259-L259</f>
        <v>0</v>
      </c>
      <c r="P259" s="30" t="n">
        <f aca="false">R258</f>
        <v>1.30967237055302E-009</v>
      </c>
      <c r="Q259" s="30" t="n">
        <f aca="false">IF(A259&lt;=Inputs!$C$24,Inputs!$C$29/Inputs!$C$24,0)</f>
        <v>0</v>
      </c>
      <c r="R259" s="30" t="n">
        <f aca="false">P259-Q259</f>
        <v>1.30967237055302E-009</v>
      </c>
      <c r="S259" s="10" t="str">
        <f aca="false">"FY "&amp;(YEAR(B259)-(MONTH(B259)&lt;4))&amp;"-"&amp;RIGHT(YEAR(B259)-(MONTH(B259)&lt;4)+1,2)</f>
        <v>FY 2046-47</v>
      </c>
    </row>
    <row r="260" customFormat="false" ht="15" hidden="false" customHeight="false" outlineLevel="0" collapsed="false">
      <c r="A260" s="22" t="n">
        <v>252</v>
      </c>
      <c r="B260" s="24" t="n">
        <f aca="false">EDATE(Inputs!$C$6,A260-1)</f>
        <v>53752</v>
      </c>
      <c r="C260" s="24" t="n">
        <f aca="false">EDATE(Inputs!$C$6,A260)-1</f>
        <v>53782</v>
      </c>
      <c r="D260" s="10" t="str">
        <f aca="false">IF(A260&lt;=Inputs!$C$7,"Yes","No")</f>
        <v>No</v>
      </c>
      <c r="E260" s="27" t="n">
        <f aca="false">IF(N(Inputs!$C$12)=0,1,(1+Inputs!$C$11)^INT((A260-1)/Inputs!$C$12))</f>
        <v>2.65329770514442</v>
      </c>
      <c r="F260" s="28" t="n">
        <f aca="false">IF(AND(D260="Yes",Inputs!$C$10="Advance",MOD(A260-1,Inputs!$C$22)=0),Inputs!$C$8*E260,0)</f>
        <v>0</v>
      </c>
      <c r="G260" s="28" t="n">
        <f aca="false">IF(AND(D260="Yes",Inputs!$C$10="Arrears",MOD(A260,Inputs!$C$22)=0),Inputs!$C$8*IF(N(Inputs!$C$12)=0,1,(1+Inputs!$C$11)^INT((A260-Inputs!$C$22)/Inputs!$C$12)),0)</f>
        <v>0</v>
      </c>
      <c r="H260" s="29" t="n">
        <f aca="false">1/(1+Inputs!$C$23)^(A260-1)</f>
        <v>0.149826283647048</v>
      </c>
      <c r="I260" s="29" t="n">
        <f aca="false">1/(1+Inputs!$C$23)^A260</f>
        <v>0.148697441917807</v>
      </c>
      <c r="J260" s="30" t="n">
        <f aca="false">F260*H260+G260*I260</f>
        <v>0</v>
      </c>
      <c r="K260" s="30" t="n">
        <f aca="false">M259</f>
        <v>-2.31665708150703E-009</v>
      </c>
      <c r="L260" s="30" t="n">
        <f aca="false">IF(D260="Yes",(K260-F260)*Inputs!$C$23,0)</f>
        <v>0</v>
      </c>
      <c r="M260" s="30" t="n">
        <f aca="false">K260-F260+L260-G260</f>
        <v>-2.31665708150703E-009</v>
      </c>
      <c r="N260" s="30" t="n">
        <f aca="false">F260+G260</f>
        <v>0</v>
      </c>
      <c r="O260" s="30" t="n">
        <f aca="false">N260-L260</f>
        <v>0</v>
      </c>
      <c r="P260" s="30" t="n">
        <f aca="false">R259</f>
        <v>1.30967237055302E-009</v>
      </c>
      <c r="Q260" s="30" t="n">
        <f aca="false">IF(A260&lt;=Inputs!$C$24,Inputs!$C$29/Inputs!$C$24,0)</f>
        <v>0</v>
      </c>
      <c r="R260" s="30" t="n">
        <f aca="false">P260-Q260</f>
        <v>1.30967237055302E-009</v>
      </c>
      <c r="S260" s="10" t="str">
        <f aca="false">"FY "&amp;(YEAR(B260)-(MONTH(B260)&lt;4))&amp;"-"&amp;RIGHT(YEAR(B260)-(MONTH(B260)&lt;4)+1,2)</f>
        <v>FY 2046-47</v>
      </c>
    </row>
    <row r="261" customFormat="false" ht="15" hidden="false" customHeight="false" outlineLevel="0" collapsed="false">
      <c r="A261" s="22" t="n">
        <v>253</v>
      </c>
      <c r="B261" s="24" t="n">
        <f aca="false">EDATE(Inputs!$C$6,A261-1)</f>
        <v>53783</v>
      </c>
      <c r="C261" s="24" t="n">
        <f aca="false">EDATE(Inputs!$C$6,A261)-1</f>
        <v>53812</v>
      </c>
      <c r="D261" s="10" t="str">
        <f aca="false">IF(A261&lt;=Inputs!$C$7,"Yes","No")</f>
        <v>No</v>
      </c>
      <c r="E261" s="27" t="n">
        <f aca="false">IF(N(Inputs!$C$12)=0,1,(1+Inputs!$C$11)^INT((A261-1)/Inputs!$C$12))</f>
        <v>2.78596259040164</v>
      </c>
      <c r="F261" s="28" t="n">
        <f aca="false">IF(AND(D261="Yes",Inputs!$C$10="Advance",MOD(A261-1,Inputs!$C$22)=0),Inputs!$C$8*E261,0)</f>
        <v>0</v>
      </c>
      <c r="G261" s="28" t="n">
        <f aca="false">IF(AND(D261="Yes",Inputs!$C$10="Arrears",MOD(A261,Inputs!$C$22)=0),Inputs!$C$8*IF(N(Inputs!$C$12)=0,1,(1+Inputs!$C$11)^INT((A261-Inputs!$C$22)/Inputs!$C$12)),0)</f>
        <v>0</v>
      </c>
      <c r="H261" s="29" t="n">
        <f aca="false">1/(1+Inputs!$C$23)^(A261-1)</f>
        <v>0.148697441917807</v>
      </c>
      <c r="I261" s="29" t="n">
        <f aca="false">1/(1+Inputs!$C$23)^A261</f>
        <v>0.1475771052627</v>
      </c>
      <c r="J261" s="30" t="n">
        <f aca="false">F261*H261+G261*I261</f>
        <v>0</v>
      </c>
      <c r="K261" s="30" t="n">
        <f aca="false">M260</f>
        <v>-2.31665708150703E-009</v>
      </c>
      <c r="L261" s="30" t="n">
        <f aca="false">IF(D261="Yes",(K261-F261)*Inputs!$C$23,0)</f>
        <v>0</v>
      </c>
      <c r="M261" s="30" t="n">
        <f aca="false">K261-F261+L261-G261</f>
        <v>-2.31665708150703E-009</v>
      </c>
      <c r="N261" s="30" t="n">
        <f aca="false">F261+G261</f>
        <v>0</v>
      </c>
      <c r="O261" s="30" t="n">
        <f aca="false">N261-L261</f>
        <v>0</v>
      </c>
      <c r="P261" s="30" t="n">
        <f aca="false">R260</f>
        <v>1.30967237055302E-009</v>
      </c>
      <c r="Q261" s="30" t="n">
        <f aca="false">IF(A261&lt;=Inputs!$C$24,Inputs!$C$29/Inputs!$C$24,0)</f>
        <v>0</v>
      </c>
      <c r="R261" s="30" t="n">
        <f aca="false">P261-Q261</f>
        <v>1.30967237055302E-009</v>
      </c>
      <c r="S261" s="10" t="str">
        <f aca="false">"FY "&amp;(YEAR(B261)-(MONTH(B261)&lt;4))&amp;"-"&amp;RIGHT(YEAR(B261)-(MONTH(B261)&lt;4)+1,2)</f>
        <v>FY 2047-48</v>
      </c>
    </row>
    <row r="262" customFormat="false" ht="15" hidden="false" customHeight="false" outlineLevel="0" collapsed="false">
      <c r="A262" s="22" t="n">
        <v>254</v>
      </c>
      <c r="B262" s="24" t="n">
        <f aca="false">EDATE(Inputs!$C$6,A262-1)</f>
        <v>53813</v>
      </c>
      <c r="C262" s="24" t="n">
        <f aca="false">EDATE(Inputs!$C$6,A262)-1</f>
        <v>53843</v>
      </c>
      <c r="D262" s="10" t="str">
        <f aca="false">IF(A262&lt;=Inputs!$C$7,"Yes","No")</f>
        <v>No</v>
      </c>
      <c r="E262" s="27" t="n">
        <f aca="false">IF(N(Inputs!$C$12)=0,1,(1+Inputs!$C$11)^INT((A262-1)/Inputs!$C$12))</f>
        <v>2.78596259040164</v>
      </c>
      <c r="F262" s="28" t="n">
        <f aca="false">IF(AND(D262="Yes",Inputs!$C$10="Advance",MOD(A262-1,Inputs!$C$22)=0),Inputs!$C$8*E262,0)</f>
        <v>0</v>
      </c>
      <c r="G262" s="28" t="n">
        <f aca="false">IF(AND(D262="Yes",Inputs!$C$10="Arrears",MOD(A262,Inputs!$C$22)=0),Inputs!$C$8*IF(N(Inputs!$C$12)=0,1,(1+Inputs!$C$11)^INT((A262-Inputs!$C$22)/Inputs!$C$12)),0)</f>
        <v>0</v>
      </c>
      <c r="H262" s="29" t="n">
        <f aca="false">1/(1+Inputs!$C$23)^(A262-1)</f>
        <v>0.1475771052627</v>
      </c>
      <c r="I262" s="29" t="n">
        <f aca="false">1/(1+Inputs!$C$23)^A262</f>
        <v>0.146465209601632</v>
      </c>
      <c r="J262" s="30" t="n">
        <f aca="false">F262*H262+G262*I262</f>
        <v>0</v>
      </c>
      <c r="K262" s="30" t="n">
        <f aca="false">M261</f>
        <v>-2.31665708150703E-009</v>
      </c>
      <c r="L262" s="30" t="n">
        <f aca="false">IF(D262="Yes",(K262-F262)*Inputs!$C$23,0)</f>
        <v>0</v>
      </c>
      <c r="M262" s="30" t="n">
        <f aca="false">K262-F262+L262-G262</f>
        <v>-2.31665708150703E-009</v>
      </c>
      <c r="N262" s="30" t="n">
        <f aca="false">F262+G262</f>
        <v>0</v>
      </c>
      <c r="O262" s="30" t="n">
        <f aca="false">N262-L262</f>
        <v>0</v>
      </c>
      <c r="P262" s="30" t="n">
        <f aca="false">R261</f>
        <v>1.30967237055302E-009</v>
      </c>
      <c r="Q262" s="30" t="n">
        <f aca="false">IF(A262&lt;=Inputs!$C$24,Inputs!$C$29/Inputs!$C$24,0)</f>
        <v>0</v>
      </c>
      <c r="R262" s="30" t="n">
        <f aca="false">P262-Q262</f>
        <v>1.30967237055302E-009</v>
      </c>
      <c r="S262" s="10" t="str">
        <f aca="false">"FY "&amp;(YEAR(B262)-(MONTH(B262)&lt;4))&amp;"-"&amp;RIGHT(YEAR(B262)-(MONTH(B262)&lt;4)+1,2)</f>
        <v>FY 2047-48</v>
      </c>
    </row>
    <row r="263" customFormat="false" ht="15" hidden="false" customHeight="false" outlineLevel="0" collapsed="false">
      <c r="A263" s="22" t="n">
        <v>255</v>
      </c>
      <c r="B263" s="24" t="n">
        <f aca="false">EDATE(Inputs!$C$6,A263-1)</f>
        <v>53844</v>
      </c>
      <c r="C263" s="24" t="n">
        <f aca="false">EDATE(Inputs!$C$6,A263)-1</f>
        <v>53873</v>
      </c>
      <c r="D263" s="10" t="str">
        <f aca="false">IF(A263&lt;=Inputs!$C$7,"Yes","No")</f>
        <v>No</v>
      </c>
      <c r="E263" s="27" t="n">
        <f aca="false">IF(N(Inputs!$C$12)=0,1,(1+Inputs!$C$11)^INT((A263-1)/Inputs!$C$12))</f>
        <v>2.78596259040164</v>
      </c>
      <c r="F263" s="28" t="n">
        <f aca="false">IF(AND(D263="Yes",Inputs!$C$10="Advance",MOD(A263-1,Inputs!$C$22)=0),Inputs!$C$8*E263,0)</f>
        <v>0</v>
      </c>
      <c r="G263" s="28" t="n">
        <f aca="false">IF(AND(D263="Yes",Inputs!$C$10="Arrears",MOD(A263,Inputs!$C$22)=0),Inputs!$C$8*IF(N(Inputs!$C$12)=0,1,(1+Inputs!$C$11)^INT((A263-Inputs!$C$22)/Inputs!$C$12)),0)</f>
        <v>0</v>
      </c>
      <c r="H263" s="29" t="n">
        <f aca="false">1/(1+Inputs!$C$23)^(A263-1)</f>
        <v>0.146465209601632</v>
      </c>
      <c r="I263" s="29" t="n">
        <f aca="false">1/(1+Inputs!$C$23)^A263</f>
        <v>0.145361691337308</v>
      </c>
      <c r="J263" s="30" t="n">
        <f aca="false">F263*H263+G263*I263</f>
        <v>0</v>
      </c>
      <c r="K263" s="30" t="n">
        <f aca="false">M262</f>
        <v>-2.31665708150703E-009</v>
      </c>
      <c r="L263" s="30" t="n">
        <f aca="false">IF(D263="Yes",(K263-F263)*Inputs!$C$23,0)</f>
        <v>0</v>
      </c>
      <c r="M263" s="30" t="n">
        <f aca="false">K263-F263+L263-G263</f>
        <v>-2.31665708150703E-009</v>
      </c>
      <c r="N263" s="30" t="n">
        <f aca="false">F263+G263</f>
        <v>0</v>
      </c>
      <c r="O263" s="30" t="n">
        <f aca="false">N263-L263</f>
        <v>0</v>
      </c>
      <c r="P263" s="30" t="n">
        <f aca="false">R262</f>
        <v>1.30967237055302E-009</v>
      </c>
      <c r="Q263" s="30" t="n">
        <f aca="false">IF(A263&lt;=Inputs!$C$24,Inputs!$C$29/Inputs!$C$24,0)</f>
        <v>0</v>
      </c>
      <c r="R263" s="30" t="n">
        <f aca="false">P263-Q263</f>
        <v>1.30967237055302E-009</v>
      </c>
      <c r="S263" s="10" t="str">
        <f aca="false">"FY "&amp;(YEAR(B263)-(MONTH(B263)&lt;4))&amp;"-"&amp;RIGHT(YEAR(B263)-(MONTH(B263)&lt;4)+1,2)</f>
        <v>FY 2047-48</v>
      </c>
    </row>
    <row r="264" customFormat="false" ht="15" hidden="false" customHeight="false" outlineLevel="0" collapsed="false">
      <c r="A264" s="22" t="n">
        <v>256</v>
      </c>
      <c r="B264" s="24" t="n">
        <f aca="false">EDATE(Inputs!$C$6,A264-1)</f>
        <v>53874</v>
      </c>
      <c r="C264" s="24" t="n">
        <f aca="false">EDATE(Inputs!$C$6,A264)-1</f>
        <v>53904</v>
      </c>
      <c r="D264" s="10" t="str">
        <f aca="false">IF(A264&lt;=Inputs!$C$7,"Yes","No")</f>
        <v>No</v>
      </c>
      <c r="E264" s="27" t="n">
        <f aca="false">IF(N(Inputs!$C$12)=0,1,(1+Inputs!$C$11)^INT((A264-1)/Inputs!$C$12))</f>
        <v>2.78596259040164</v>
      </c>
      <c r="F264" s="28" t="n">
        <f aca="false">IF(AND(D264="Yes",Inputs!$C$10="Advance",MOD(A264-1,Inputs!$C$22)=0),Inputs!$C$8*E264,0)</f>
        <v>0</v>
      </c>
      <c r="G264" s="28" t="n">
        <f aca="false">IF(AND(D264="Yes",Inputs!$C$10="Arrears",MOD(A264,Inputs!$C$22)=0),Inputs!$C$8*IF(N(Inputs!$C$12)=0,1,(1+Inputs!$C$11)^INT((A264-Inputs!$C$22)/Inputs!$C$12)),0)</f>
        <v>0</v>
      </c>
      <c r="H264" s="29" t="n">
        <f aca="false">1/(1+Inputs!$C$23)^(A264-1)</f>
        <v>0.145361691337308</v>
      </c>
      <c r="I264" s="29" t="n">
        <f aca="false">1/(1+Inputs!$C$23)^A264</f>
        <v>0.144266487351596</v>
      </c>
      <c r="J264" s="30" t="n">
        <f aca="false">F264*H264+G264*I264</f>
        <v>0</v>
      </c>
      <c r="K264" s="30" t="n">
        <f aca="false">M263</f>
        <v>-2.31665708150703E-009</v>
      </c>
      <c r="L264" s="30" t="n">
        <f aca="false">IF(D264="Yes",(K264-F264)*Inputs!$C$23,0)</f>
        <v>0</v>
      </c>
      <c r="M264" s="30" t="n">
        <f aca="false">K264-F264+L264-G264</f>
        <v>-2.31665708150703E-009</v>
      </c>
      <c r="N264" s="30" t="n">
        <f aca="false">F264+G264</f>
        <v>0</v>
      </c>
      <c r="O264" s="30" t="n">
        <f aca="false">N264-L264</f>
        <v>0</v>
      </c>
      <c r="P264" s="30" t="n">
        <f aca="false">R263</f>
        <v>1.30967237055302E-009</v>
      </c>
      <c r="Q264" s="30" t="n">
        <f aca="false">IF(A264&lt;=Inputs!$C$24,Inputs!$C$29/Inputs!$C$24,0)</f>
        <v>0</v>
      </c>
      <c r="R264" s="30" t="n">
        <f aca="false">P264-Q264</f>
        <v>1.30967237055302E-009</v>
      </c>
      <c r="S264" s="10" t="str">
        <f aca="false">"FY "&amp;(YEAR(B264)-(MONTH(B264)&lt;4))&amp;"-"&amp;RIGHT(YEAR(B264)-(MONTH(B264)&lt;4)+1,2)</f>
        <v>FY 2047-48</v>
      </c>
    </row>
    <row r="265" customFormat="false" ht="15" hidden="false" customHeight="false" outlineLevel="0" collapsed="false">
      <c r="A265" s="22" t="n">
        <v>257</v>
      </c>
      <c r="B265" s="24" t="n">
        <f aca="false">EDATE(Inputs!$C$6,A265-1)</f>
        <v>53905</v>
      </c>
      <c r="C265" s="24" t="n">
        <f aca="false">EDATE(Inputs!$C$6,A265)-1</f>
        <v>53935</v>
      </c>
      <c r="D265" s="10" t="str">
        <f aca="false">IF(A265&lt;=Inputs!$C$7,"Yes","No")</f>
        <v>No</v>
      </c>
      <c r="E265" s="27" t="n">
        <f aca="false">IF(N(Inputs!$C$12)=0,1,(1+Inputs!$C$11)^INT((A265-1)/Inputs!$C$12))</f>
        <v>2.78596259040164</v>
      </c>
      <c r="F265" s="28" t="n">
        <f aca="false">IF(AND(D265="Yes",Inputs!$C$10="Advance",MOD(A265-1,Inputs!$C$22)=0),Inputs!$C$8*E265,0)</f>
        <v>0</v>
      </c>
      <c r="G265" s="28" t="n">
        <f aca="false">IF(AND(D265="Yes",Inputs!$C$10="Arrears",MOD(A265,Inputs!$C$22)=0),Inputs!$C$8*IF(N(Inputs!$C$12)=0,1,(1+Inputs!$C$11)^INT((A265-Inputs!$C$22)/Inputs!$C$12)),0)</f>
        <v>0</v>
      </c>
      <c r="H265" s="29" t="n">
        <f aca="false">1/(1+Inputs!$C$23)^(A265-1)</f>
        <v>0.144266487351596</v>
      </c>
      <c r="I265" s="29" t="n">
        <f aca="false">1/(1+Inputs!$C$23)^A265</f>
        <v>0.143179535001919</v>
      </c>
      <c r="J265" s="30" t="n">
        <f aca="false">F265*H265+G265*I265</f>
        <v>0</v>
      </c>
      <c r="K265" s="30" t="n">
        <f aca="false">M264</f>
        <v>-2.31665708150703E-009</v>
      </c>
      <c r="L265" s="30" t="n">
        <f aca="false">IF(D265="Yes",(K265-F265)*Inputs!$C$23,0)</f>
        <v>0</v>
      </c>
      <c r="M265" s="30" t="n">
        <f aca="false">K265-F265+L265-G265</f>
        <v>-2.31665708150703E-009</v>
      </c>
      <c r="N265" s="30" t="n">
        <f aca="false">F265+G265</f>
        <v>0</v>
      </c>
      <c r="O265" s="30" t="n">
        <f aca="false">N265-L265</f>
        <v>0</v>
      </c>
      <c r="P265" s="30" t="n">
        <f aca="false">R264</f>
        <v>1.30967237055302E-009</v>
      </c>
      <c r="Q265" s="30" t="n">
        <f aca="false">IF(A265&lt;=Inputs!$C$24,Inputs!$C$29/Inputs!$C$24,0)</f>
        <v>0</v>
      </c>
      <c r="R265" s="30" t="n">
        <f aca="false">P265-Q265</f>
        <v>1.30967237055302E-009</v>
      </c>
      <c r="S265" s="10" t="str">
        <f aca="false">"FY "&amp;(YEAR(B265)-(MONTH(B265)&lt;4))&amp;"-"&amp;RIGHT(YEAR(B265)-(MONTH(B265)&lt;4)+1,2)</f>
        <v>FY 2047-48</v>
      </c>
    </row>
    <row r="266" customFormat="false" ht="15" hidden="false" customHeight="false" outlineLevel="0" collapsed="false">
      <c r="A266" s="22" t="n">
        <v>258</v>
      </c>
      <c r="B266" s="24" t="n">
        <f aca="false">EDATE(Inputs!$C$6,A266-1)</f>
        <v>53936</v>
      </c>
      <c r="C266" s="24" t="n">
        <f aca="false">EDATE(Inputs!$C$6,A266)-1</f>
        <v>53965</v>
      </c>
      <c r="D266" s="10" t="str">
        <f aca="false">IF(A266&lt;=Inputs!$C$7,"Yes","No")</f>
        <v>No</v>
      </c>
      <c r="E266" s="27" t="n">
        <f aca="false">IF(N(Inputs!$C$12)=0,1,(1+Inputs!$C$11)^INT((A266-1)/Inputs!$C$12))</f>
        <v>2.78596259040164</v>
      </c>
      <c r="F266" s="28" t="n">
        <f aca="false">IF(AND(D266="Yes",Inputs!$C$10="Advance",MOD(A266-1,Inputs!$C$22)=0),Inputs!$C$8*E266,0)</f>
        <v>0</v>
      </c>
      <c r="G266" s="28" t="n">
        <f aca="false">IF(AND(D266="Yes",Inputs!$C$10="Arrears",MOD(A266,Inputs!$C$22)=0),Inputs!$C$8*IF(N(Inputs!$C$12)=0,1,(1+Inputs!$C$11)^INT((A266-Inputs!$C$22)/Inputs!$C$12)),0)</f>
        <v>0</v>
      </c>
      <c r="H266" s="29" t="n">
        <f aca="false">1/(1+Inputs!$C$23)^(A266-1)</f>
        <v>0.143179535001919</v>
      </c>
      <c r="I266" s="29" t="n">
        <f aca="false">1/(1+Inputs!$C$23)^A266</f>
        <v>0.14210077211767</v>
      </c>
      <c r="J266" s="30" t="n">
        <f aca="false">F266*H266+G266*I266</f>
        <v>0</v>
      </c>
      <c r="K266" s="30" t="n">
        <f aca="false">M265</f>
        <v>-2.31665708150703E-009</v>
      </c>
      <c r="L266" s="30" t="n">
        <f aca="false">IF(D266="Yes",(K266-F266)*Inputs!$C$23,0)</f>
        <v>0</v>
      </c>
      <c r="M266" s="30" t="n">
        <f aca="false">K266-F266+L266-G266</f>
        <v>-2.31665708150703E-009</v>
      </c>
      <c r="N266" s="30" t="n">
        <f aca="false">F266+G266</f>
        <v>0</v>
      </c>
      <c r="O266" s="30" t="n">
        <f aca="false">N266-L266</f>
        <v>0</v>
      </c>
      <c r="P266" s="30" t="n">
        <f aca="false">R265</f>
        <v>1.30967237055302E-009</v>
      </c>
      <c r="Q266" s="30" t="n">
        <f aca="false">IF(A266&lt;=Inputs!$C$24,Inputs!$C$29/Inputs!$C$24,0)</f>
        <v>0</v>
      </c>
      <c r="R266" s="30" t="n">
        <f aca="false">P266-Q266</f>
        <v>1.30967237055302E-009</v>
      </c>
      <c r="S266" s="10" t="str">
        <f aca="false">"FY "&amp;(YEAR(B266)-(MONTH(B266)&lt;4))&amp;"-"&amp;RIGHT(YEAR(B266)-(MONTH(B266)&lt;4)+1,2)</f>
        <v>FY 2047-48</v>
      </c>
    </row>
    <row r="267" customFormat="false" ht="15" hidden="false" customHeight="false" outlineLevel="0" collapsed="false">
      <c r="A267" s="22" t="n">
        <v>259</v>
      </c>
      <c r="B267" s="24" t="n">
        <f aca="false">EDATE(Inputs!$C$6,A267-1)</f>
        <v>53966</v>
      </c>
      <c r="C267" s="24" t="n">
        <f aca="false">EDATE(Inputs!$C$6,A267)-1</f>
        <v>53996</v>
      </c>
      <c r="D267" s="10" t="str">
        <f aca="false">IF(A267&lt;=Inputs!$C$7,"Yes","No")</f>
        <v>No</v>
      </c>
      <c r="E267" s="27" t="n">
        <f aca="false">IF(N(Inputs!$C$12)=0,1,(1+Inputs!$C$11)^INT((A267-1)/Inputs!$C$12))</f>
        <v>2.78596259040164</v>
      </c>
      <c r="F267" s="28" t="n">
        <f aca="false">IF(AND(D267="Yes",Inputs!$C$10="Advance",MOD(A267-1,Inputs!$C$22)=0),Inputs!$C$8*E267,0)</f>
        <v>0</v>
      </c>
      <c r="G267" s="28" t="n">
        <f aca="false">IF(AND(D267="Yes",Inputs!$C$10="Arrears",MOD(A267,Inputs!$C$22)=0),Inputs!$C$8*IF(N(Inputs!$C$12)=0,1,(1+Inputs!$C$11)^INT((A267-Inputs!$C$22)/Inputs!$C$12)),0)</f>
        <v>0</v>
      </c>
      <c r="H267" s="29" t="n">
        <f aca="false">1/(1+Inputs!$C$23)^(A267-1)</f>
        <v>0.14210077211767</v>
      </c>
      <c r="I267" s="29" t="n">
        <f aca="false">1/(1+Inputs!$C$23)^A267</f>
        <v>0.141030136996654</v>
      </c>
      <c r="J267" s="30" t="n">
        <f aca="false">F267*H267+G267*I267</f>
        <v>0</v>
      </c>
      <c r="K267" s="30" t="n">
        <f aca="false">M266</f>
        <v>-2.31665708150703E-009</v>
      </c>
      <c r="L267" s="30" t="n">
        <f aca="false">IF(D267="Yes",(K267-F267)*Inputs!$C$23,0)</f>
        <v>0</v>
      </c>
      <c r="M267" s="30" t="n">
        <f aca="false">K267-F267+L267-G267</f>
        <v>-2.31665708150703E-009</v>
      </c>
      <c r="N267" s="30" t="n">
        <f aca="false">F267+G267</f>
        <v>0</v>
      </c>
      <c r="O267" s="30" t="n">
        <f aca="false">N267-L267</f>
        <v>0</v>
      </c>
      <c r="P267" s="30" t="n">
        <f aca="false">R266</f>
        <v>1.30967237055302E-009</v>
      </c>
      <c r="Q267" s="30" t="n">
        <f aca="false">IF(A267&lt;=Inputs!$C$24,Inputs!$C$29/Inputs!$C$24,0)</f>
        <v>0</v>
      </c>
      <c r="R267" s="30" t="n">
        <f aca="false">P267-Q267</f>
        <v>1.30967237055302E-009</v>
      </c>
      <c r="S267" s="10" t="str">
        <f aca="false">"FY "&amp;(YEAR(B267)-(MONTH(B267)&lt;4))&amp;"-"&amp;RIGHT(YEAR(B267)-(MONTH(B267)&lt;4)+1,2)</f>
        <v>FY 2047-48</v>
      </c>
    </row>
    <row r="268" customFormat="false" ht="15" hidden="false" customHeight="false" outlineLevel="0" collapsed="false">
      <c r="A268" s="22" t="n">
        <v>260</v>
      </c>
      <c r="B268" s="24" t="n">
        <f aca="false">EDATE(Inputs!$C$6,A268-1)</f>
        <v>53997</v>
      </c>
      <c r="C268" s="24" t="n">
        <f aca="false">EDATE(Inputs!$C$6,A268)-1</f>
        <v>54026</v>
      </c>
      <c r="D268" s="10" t="str">
        <f aca="false">IF(A268&lt;=Inputs!$C$7,"Yes","No")</f>
        <v>No</v>
      </c>
      <c r="E268" s="27" t="n">
        <f aca="false">IF(N(Inputs!$C$12)=0,1,(1+Inputs!$C$11)^INT((A268-1)/Inputs!$C$12))</f>
        <v>2.78596259040164</v>
      </c>
      <c r="F268" s="28" t="n">
        <f aca="false">IF(AND(D268="Yes",Inputs!$C$10="Advance",MOD(A268-1,Inputs!$C$22)=0),Inputs!$C$8*E268,0)</f>
        <v>0</v>
      </c>
      <c r="G268" s="28" t="n">
        <f aca="false">IF(AND(D268="Yes",Inputs!$C$10="Arrears",MOD(A268,Inputs!$C$22)=0),Inputs!$C$8*IF(N(Inputs!$C$12)=0,1,(1+Inputs!$C$11)^INT((A268-Inputs!$C$22)/Inputs!$C$12)),0)</f>
        <v>0</v>
      </c>
      <c r="H268" s="29" t="n">
        <f aca="false">1/(1+Inputs!$C$23)^(A268-1)</f>
        <v>0.141030136996654</v>
      </c>
      <c r="I268" s="29" t="n">
        <f aca="false">1/(1+Inputs!$C$23)^A268</f>
        <v>0.139967568401564</v>
      </c>
      <c r="J268" s="30" t="n">
        <f aca="false">F268*H268+G268*I268</f>
        <v>0</v>
      </c>
      <c r="K268" s="30" t="n">
        <f aca="false">M267</f>
        <v>-2.31665708150703E-009</v>
      </c>
      <c r="L268" s="30" t="n">
        <f aca="false">IF(D268="Yes",(K268-F268)*Inputs!$C$23,0)</f>
        <v>0</v>
      </c>
      <c r="M268" s="30" t="n">
        <f aca="false">K268-F268+L268-G268</f>
        <v>-2.31665708150703E-009</v>
      </c>
      <c r="N268" s="30" t="n">
        <f aca="false">F268+G268</f>
        <v>0</v>
      </c>
      <c r="O268" s="30" t="n">
        <f aca="false">N268-L268</f>
        <v>0</v>
      </c>
      <c r="P268" s="30" t="n">
        <f aca="false">R267</f>
        <v>1.30967237055302E-009</v>
      </c>
      <c r="Q268" s="30" t="n">
        <f aca="false">IF(A268&lt;=Inputs!$C$24,Inputs!$C$29/Inputs!$C$24,0)</f>
        <v>0</v>
      </c>
      <c r="R268" s="30" t="n">
        <f aca="false">P268-Q268</f>
        <v>1.30967237055302E-009</v>
      </c>
      <c r="S268" s="10" t="str">
        <f aca="false">"FY "&amp;(YEAR(B268)-(MONTH(B268)&lt;4))&amp;"-"&amp;RIGHT(YEAR(B268)-(MONTH(B268)&lt;4)+1,2)</f>
        <v>FY 2047-48</v>
      </c>
    </row>
    <row r="269" customFormat="false" ht="15" hidden="false" customHeight="false" outlineLevel="0" collapsed="false">
      <c r="A269" s="22" t="n">
        <v>261</v>
      </c>
      <c r="B269" s="24" t="n">
        <f aca="false">EDATE(Inputs!$C$6,A269-1)</f>
        <v>54027</v>
      </c>
      <c r="C269" s="24" t="n">
        <f aca="false">EDATE(Inputs!$C$6,A269)-1</f>
        <v>54057</v>
      </c>
      <c r="D269" s="10" t="str">
        <f aca="false">IF(A269&lt;=Inputs!$C$7,"Yes","No")</f>
        <v>No</v>
      </c>
      <c r="E269" s="27" t="n">
        <f aca="false">IF(N(Inputs!$C$12)=0,1,(1+Inputs!$C$11)^INT((A269-1)/Inputs!$C$12))</f>
        <v>2.78596259040164</v>
      </c>
      <c r="F269" s="28" t="n">
        <f aca="false">IF(AND(D269="Yes",Inputs!$C$10="Advance",MOD(A269-1,Inputs!$C$22)=0),Inputs!$C$8*E269,0)</f>
        <v>0</v>
      </c>
      <c r="G269" s="28" t="n">
        <f aca="false">IF(AND(D269="Yes",Inputs!$C$10="Arrears",MOD(A269,Inputs!$C$22)=0),Inputs!$C$8*IF(N(Inputs!$C$12)=0,1,(1+Inputs!$C$11)^INT((A269-Inputs!$C$22)/Inputs!$C$12)),0)</f>
        <v>0</v>
      </c>
      <c r="H269" s="29" t="n">
        <f aca="false">1/(1+Inputs!$C$23)^(A269-1)</f>
        <v>0.139967568401564</v>
      </c>
      <c r="I269" s="29" t="n">
        <f aca="false">1/(1+Inputs!$C$23)^A269</f>
        <v>0.138913005556474</v>
      </c>
      <c r="J269" s="30" t="n">
        <f aca="false">F269*H269+G269*I269</f>
        <v>0</v>
      </c>
      <c r="K269" s="30" t="n">
        <f aca="false">M268</f>
        <v>-2.31665708150703E-009</v>
      </c>
      <c r="L269" s="30" t="n">
        <f aca="false">IF(D269="Yes",(K269-F269)*Inputs!$C$23,0)</f>
        <v>0</v>
      </c>
      <c r="M269" s="30" t="n">
        <f aca="false">K269-F269+L269-G269</f>
        <v>-2.31665708150703E-009</v>
      </c>
      <c r="N269" s="30" t="n">
        <f aca="false">F269+G269</f>
        <v>0</v>
      </c>
      <c r="O269" s="30" t="n">
        <f aca="false">N269-L269</f>
        <v>0</v>
      </c>
      <c r="P269" s="30" t="n">
        <f aca="false">R268</f>
        <v>1.30967237055302E-009</v>
      </c>
      <c r="Q269" s="30" t="n">
        <f aca="false">IF(A269&lt;=Inputs!$C$24,Inputs!$C$29/Inputs!$C$24,0)</f>
        <v>0</v>
      </c>
      <c r="R269" s="30" t="n">
        <f aca="false">P269-Q269</f>
        <v>1.30967237055302E-009</v>
      </c>
      <c r="S269" s="10" t="str">
        <f aca="false">"FY "&amp;(YEAR(B269)-(MONTH(B269)&lt;4))&amp;"-"&amp;RIGHT(YEAR(B269)-(MONTH(B269)&lt;4)+1,2)</f>
        <v>FY 2047-48</v>
      </c>
    </row>
    <row r="270" customFormat="false" ht="15" hidden="false" customHeight="false" outlineLevel="0" collapsed="false">
      <c r="A270" s="22" t="n">
        <v>262</v>
      </c>
      <c r="B270" s="24" t="n">
        <f aca="false">EDATE(Inputs!$C$6,A270-1)</f>
        <v>54058</v>
      </c>
      <c r="C270" s="24" t="n">
        <f aca="false">EDATE(Inputs!$C$6,A270)-1</f>
        <v>54088</v>
      </c>
      <c r="D270" s="10" t="str">
        <f aca="false">IF(A270&lt;=Inputs!$C$7,"Yes","No")</f>
        <v>No</v>
      </c>
      <c r="E270" s="27" t="n">
        <f aca="false">IF(N(Inputs!$C$12)=0,1,(1+Inputs!$C$11)^INT((A270-1)/Inputs!$C$12))</f>
        <v>2.78596259040164</v>
      </c>
      <c r="F270" s="28" t="n">
        <f aca="false">IF(AND(D270="Yes",Inputs!$C$10="Advance",MOD(A270-1,Inputs!$C$22)=0),Inputs!$C$8*E270,0)</f>
        <v>0</v>
      </c>
      <c r="G270" s="28" t="n">
        <f aca="false">IF(AND(D270="Yes",Inputs!$C$10="Arrears",MOD(A270,Inputs!$C$22)=0),Inputs!$C$8*IF(N(Inputs!$C$12)=0,1,(1+Inputs!$C$11)^INT((A270-Inputs!$C$22)/Inputs!$C$12)),0)</f>
        <v>0</v>
      </c>
      <c r="H270" s="29" t="n">
        <f aca="false">1/(1+Inputs!$C$23)^(A270-1)</f>
        <v>0.138913005556474</v>
      </c>
      <c r="I270" s="29" t="n">
        <f aca="false">1/(1+Inputs!$C$23)^A270</f>
        <v>0.137866388143365</v>
      </c>
      <c r="J270" s="30" t="n">
        <f aca="false">F270*H270+G270*I270</f>
        <v>0</v>
      </c>
      <c r="K270" s="30" t="n">
        <f aca="false">M269</f>
        <v>-2.31665708150703E-009</v>
      </c>
      <c r="L270" s="30" t="n">
        <f aca="false">IF(D270="Yes",(K270-F270)*Inputs!$C$23,0)</f>
        <v>0</v>
      </c>
      <c r="M270" s="30" t="n">
        <f aca="false">K270-F270+L270-G270</f>
        <v>-2.31665708150703E-009</v>
      </c>
      <c r="N270" s="30" t="n">
        <f aca="false">F270+G270</f>
        <v>0</v>
      </c>
      <c r="O270" s="30" t="n">
        <f aca="false">N270-L270</f>
        <v>0</v>
      </c>
      <c r="P270" s="30" t="n">
        <f aca="false">R269</f>
        <v>1.30967237055302E-009</v>
      </c>
      <c r="Q270" s="30" t="n">
        <f aca="false">IF(A270&lt;=Inputs!$C$24,Inputs!$C$29/Inputs!$C$24,0)</f>
        <v>0</v>
      </c>
      <c r="R270" s="30" t="n">
        <f aca="false">P270-Q270</f>
        <v>1.30967237055302E-009</v>
      </c>
      <c r="S270" s="10" t="str">
        <f aca="false">"FY "&amp;(YEAR(B270)-(MONTH(B270)&lt;4))&amp;"-"&amp;RIGHT(YEAR(B270)-(MONTH(B270)&lt;4)+1,2)</f>
        <v>FY 2047-48</v>
      </c>
    </row>
    <row r="271" customFormat="false" ht="15" hidden="false" customHeight="false" outlineLevel="0" collapsed="false">
      <c r="A271" s="22" t="n">
        <v>263</v>
      </c>
      <c r="B271" s="24" t="n">
        <f aca="false">EDATE(Inputs!$C$6,A271-1)</f>
        <v>54089</v>
      </c>
      <c r="C271" s="24" t="n">
        <f aca="false">EDATE(Inputs!$C$6,A271)-1</f>
        <v>54117</v>
      </c>
      <c r="D271" s="10" t="str">
        <f aca="false">IF(A271&lt;=Inputs!$C$7,"Yes","No")</f>
        <v>No</v>
      </c>
      <c r="E271" s="27" t="n">
        <f aca="false">IF(N(Inputs!$C$12)=0,1,(1+Inputs!$C$11)^INT((A271-1)/Inputs!$C$12))</f>
        <v>2.78596259040164</v>
      </c>
      <c r="F271" s="28" t="n">
        <f aca="false">IF(AND(D271="Yes",Inputs!$C$10="Advance",MOD(A271-1,Inputs!$C$22)=0),Inputs!$C$8*E271,0)</f>
        <v>0</v>
      </c>
      <c r="G271" s="28" t="n">
        <f aca="false">IF(AND(D271="Yes",Inputs!$C$10="Arrears",MOD(A271,Inputs!$C$22)=0),Inputs!$C$8*IF(N(Inputs!$C$12)=0,1,(1+Inputs!$C$11)^INT((A271-Inputs!$C$22)/Inputs!$C$12)),0)</f>
        <v>0</v>
      </c>
      <c r="H271" s="29" t="n">
        <f aca="false">1/(1+Inputs!$C$23)^(A271-1)</f>
        <v>0.137866388143365</v>
      </c>
      <c r="I271" s="29" t="n">
        <f aca="false">1/(1+Inputs!$C$23)^A271</f>
        <v>0.136827656298674</v>
      </c>
      <c r="J271" s="30" t="n">
        <f aca="false">F271*H271+G271*I271</f>
        <v>0</v>
      </c>
      <c r="K271" s="30" t="n">
        <f aca="false">M270</f>
        <v>-2.31665708150703E-009</v>
      </c>
      <c r="L271" s="30" t="n">
        <f aca="false">IF(D271="Yes",(K271-F271)*Inputs!$C$23,0)</f>
        <v>0</v>
      </c>
      <c r="M271" s="30" t="n">
        <f aca="false">K271-F271+L271-G271</f>
        <v>-2.31665708150703E-009</v>
      </c>
      <c r="N271" s="30" t="n">
        <f aca="false">F271+G271</f>
        <v>0</v>
      </c>
      <c r="O271" s="30" t="n">
        <f aca="false">N271-L271</f>
        <v>0</v>
      </c>
      <c r="P271" s="30" t="n">
        <f aca="false">R270</f>
        <v>1.30967237055302E-009</v>
      </c>
      <c r="Q271" s="30" t="n">
        <f aca="false">IF(A271&lt;=Inputs!$C$24,Inputs!$C$29/Inputs!$C$24,0)</f>
        <v>0</v>
      </c>
      <c r="R271" s="30" t="n">
        <f aca="false">P271-Q271</f>
        <v>1.30967237055302E-009</v>
      </c>
      <c r="S271" s="10" t="str">
        <f aca="false">"FY "&amp;(YEAR(B271)-(MONTH(B271)&lt;4))&amp;"-"&amp;RIGHT(YEAR(B271)-(MONTH(B271)&lt;4)+1,2)</f>
        <v>FY 2047-48</v>
      </c>
    </row>
    <row r="272" customFormat="false" ht="15" hidden="false" customHeight="false" outlineLevel="0" collapsed="false">
      <c r="A272" s="22" t="n">
        <v>264</v>
      </c>
      <c r="B272" s="24" t="n">
        <f aca="false">EDATE(Inputs!$C$6,A272-1)</f>
        <v>54118</v>
      </c>
      <c r="C272" s="24" t="n">
        <f aca="false">EDATE(Inputs!$C$6,A272)-1</f>
        <v>54148</v>
      </c>
      <c r="D272" s="10" t="str">
        <f aca="false">IF(A272&lt;=Inputs!$C$7,"Yes","No")</f>
        <v>No</v>
      </c>
      <c r="E272" s="27" t="n">
        <f aca="false">IF(N(Inputs!$C$12)=0,1,(1+Inputs!$C$11)^INT((A272-1)/Inputs!$C$12))</f>
        <v>2.78596259040164</v>
      </c>
      <c r="F272" s="28" t="n">
        <f aca="false">IF(AND(D272="Yes",Inputs!$C$10="Advance",MOD(A272-1,Inputs!$C$22)=0),Inputs!$C$8*E272,0)</f>
        <v>0</v>
      </c>
      <c r="G272" s="28" t="n">
        <f aca="false">IF(AND(D272="Yes",Inputs!$C$10="Arrears",MOD(A272,Inputs!$C$22)=0),Inputs!$C$8*IF(N(Inputs!$C$12)=0,1,(1+Inputs!$C$11)^INT((A272-Inputs!$C$22)/Inputs!$C$12)),0)</f>
        <v>0</v>
      </c>
      <c r="H272" s="29" t="n">
        <f aca="false">1/(1+Inputs!$C$23)^(A272-1)</f>
        <v>0.136827656298674</v>
      </c>
      <c r="I272" s="29" t="n">
        <f aca="false">1/(1+Inputs!$C$23)^A272</f>
        <v>0.135796750609869</v>
      </c>
      <c r="J272" s="30" t="n">
        <f aca="false">F272*H272+G272*I272</f>
        <v>0</v>
      </c>
      <c r="K272" s="30" t="n">
        <f aca="false">M271</f>
        <v>-2.31665708150703E-009</v>
      </c>
      <c r="L272" s="30" t="n">
        <f aca="false">IF(D272="Yes",(K272-F272)*Inputs!$C$23,0)</f>
        <v>0</v>
      </c>
      <c r="M272" s="30" t="n">
        <f aca="false">K272-F272+L272-G272</f>
        <v>-2.31665708150703E-009</v>
      </c>
      <c r="N272" s="30" t="n">
        <f aca="false">F272+G272</f>
        <v>0</v>
      </c>
      <c r="O272" s="30" t="n">
        <f aca="false">N272-L272</f>
        <v>0</v>
      </c>
      <c r="P272" s="30" t="n">
        <f aca="false">R271</f>
        <v>1.30967237055302E-009</v>
      </c>
      <c r="Q272" s="30" t="n">
        <f aca="false">IF(A272&lt;=Inputs!$C$24,Inputs!$C$29/Inputs!$C$24,0)</f>
        <v>0</v>
      </c>
      <c r="R272" s="30" t="n">
        <f aca="false">P272-Q272</f>
        <v>1.30967237055302E-009</v>
      </c>
      <c r="S272" s="10" t="str">
        <f aca="false">"FY "&amp;(YEAR(B272)-(MONTH(B272)&lt;4))&amp;"-"&amp;RIGHT(YEAR(B272)-(MONTH(B272)&lt;4)+1,2)</f>
        <v>FY 2047-48</v>
      </c>
    </row>
    <row r="273" customFormat="false" ht="15" hidden="false" customHeight="false" outlineLevel="0" collapsed="false">
      <c r="A273" s="22" t="n">
        <v>265</v>
      </c>
      <c r="B273" s="24" t="n">
        <f aca="false">EDATE(Inputs!$C$6,A273-1)</f>
        <v>54149</v>
      </c>
      <c r="C273" s="24" t="n">
        <f aca="false">EDATE(Inputs!$C$6,A273)-1</f>
        <v>54178</v>
      </c>
      <c r="D273" s="10" t="str">
        <f aca="false">IF(A273&lt;=Inputs!$C$7,"Yes","No")</f>
        <v>No</v>
      </c>
      <c r="E273" s="27" t="n">
        <f aca="false">IF(N(Inputs!$C$12)=0,1,(1+Inputs!$C$11)^INT((A273-1)/Inputs!$C$12))</f>
        <v>2.92526071992173</v>
      </c>
      <c r="F273" s="28" t="n">
        <f aca="false">IF(AND(D273="Yes",Inputs!$C$10="Advance",MOD(A273-1,Inputs!$C$22)=0),Inputs!$C$8*E273,0)</f>
        <v>0</v>
      </c>
      <c r="G273" s="28" t="n">
        <f aca="false">IF(AND(D273="Yes",Inputs!$C$10="Arrears",MOD(A273,Inputs!$C$22)=0),Inputs!$C$8*IF(N(Inputs!$C$12)=0,1,(1+Inputs!$C$11)^INT((A273-Inputs!$C$22)/Inputs!$C$12)),0)</f>
        <v>0</v>
      </c>
      <c r="H273" s="29" t="n">
        <f aca="false">1/(1+Inputs!$C$23)^(A273-1)</f>
        <v>0.135796750609869</v>
      </c>
      <c r="I273" s="29" t="n">
        <f aca="false">1/(1+Inputs!$C$23)^A273</f>
        <v>0.134773612112055</v>
      </c>
      <c r="J273" s="30" t="n">
        <f aca="false">F273*H273+G273*I273</f>
        <v>0</v>
      </c>
      <c r="K273" s="30" t="n">
        <f aca="false">M272</f>
        <v>-2.31665708150703E-009</v>
      </c>
      <c r="L273" s="30" t="n">
        <f aca="false">IF(D273="Yes",(K273-F273)*Inputs!$C$23,0)</f>
        <v>0</v>
      </c>
      <c r="M273" s="30" t="n">
        <f aca="false">K273-F273+L273-G273</f>
        <v>-2.31665708150703E-009</v>
      </c>
      <c r="N273" s="30" t="n">
        <f aca="false">F273+G273</f>
        <v>0</v>
      </c>
      <c r="O273" s="30" t="n">
        <f aca="false">N273-L273</f>
        <v>0</v>
      </c>
      <c r="P273" s="30" t="n">
        <f aca="false">R272</f>
        <v>1.30967237055302E-009</v>
      </c>
      <c r="Q273" s="30" t="n">
        <f aca="false">IF(A273&lt;=Inputs!$C$24,Inputs!$C$29/Inputs!$C$24,0)</f>
        <v>0</v>
      </c>
      <c r="R273" s="30" t="n">
        <f aca="false">P273-Q273</f>
        <v>1.30967237055302E-009</v>
      </c>
      <c r="S273" s="10" t="str">
        <f aca="false">"FY "&amp;(YEAR(B273)-(MONTH(B273)&lt;4))&amp;"-"&amp;RIGHT(YEAR(B273)-(MONTH(B273)&lt;4)+1,2)</f>
        <v>FY 2048-49</v>
      </c>
    </row>
    <row r="274" customFormat="false" ht="15" hidden="false" customHeight="false" outlineLevel="0" collapsed="false">
      <c r="A274" s="22" t="n">
        <v>266</v>
      </c>
      <c r="B274" s="24" t="n">
        <f aca="false">EDATE(Inputs!$C$6,A274-1)</f>
        <v>54179</v>
      </c>
      <c r="C274" s="24" t="n">
        <f aca="false">EDATE(Inputs!$C$6,A274)-1</f>
        <v>54209</v>
      </c>
      <c r="D274" s="10" t="str">
        <f aca="false">IF(A274&lt;=Inputs!$C$7,"Yes","No")</f>
        <v>No</v>
      </c>
      <c r="E274" s="27" t="n">
        <f aca="false">IF(N(Inputs!$C$12)=0,1,(1+Inputs!$C$11)^INT((A274-1)/Inputs!$C$12))</f>
        <v>2.92526071992173</v>
      </c>
      <c r="F274" s="28" t="n">
        <f aca="false">IF(AND(D274="Yes",Inputs!$C$10="Advance",MOD(A274-1,Inputs!$C$22)=0),Inputs!$C$8*E274,0)</f>
        <v>0</v>
      </c>
      <c r="G274" s="28" t="n">
        <f aca="false">IF(AND(D274="Yes",Inputs!$C$10="Arrears",MOD(A274,Inputs!$C$22)=0),Inputs!$C$8*IF(N(Inputs!$C$12)=0,1,(1+Inputs!$C$11)^INT((A274-Inputs!$C$22)/Inputs!$C$12)),0)</f>
        <v>0</v>
      </c>
      <c r="H274" s="29" t="n">
        <f aca="false">1/(1+Inputs!$C$23)^(A274-1)</f>
        <v>0.134773612112055</v>
      </c>
      <c r="I274" s="29" t="n">
        <f aca="false">1/(1+Inputs!$C$23)^A274</f>
        <v>0.133758182284595</v>
      </c>
      <c r="J274" s="30" t="n">
        <f aca="false">F274*H274+G274*I274</f>
        <v>0</v>
      </c>
      <c r="K274" s="30" t="n">
        <f aca="false">M273</f>
        <v>-2.31665708150703E-009</v>
      </c>
      <c r="L274" s="30" t="n">
        <f aca="false">IF(D274="Yes",(K274-F274)*Inputs!$C$23,0)</f>
        <v>0</v>
      </c>
      <c r="M274" s="30" t="n">
        <f aca="false">K274-F274+L274-G274</f>
        <v>-2.31665708150703E-009</v>
      </c>
      <c r="N274" s="30" t="n">
        <f aca="false">F274+G274</f>
        <v>0</v>
      </c>
      <c r="O274" s="30" t="n">
        <f aca="false">N274-L274</f>
        <v>0</v>
      </c>
      <c r="P274" s="30" t="n">
        <f aca="false">R273</f>
        <v>1.30967237055302E-009</v>
      </c>
      <c r="Q274" s="30" t="n">
        <f aca="false">IF(A274&lt;=Inputs!$C$24,Inputs!$C$29/Inputs!$C$24,0)</f>
        <v>0</v>
      </c>
      <c r="R274" s="30" t="n">
        <f aca="false">P274-Q274</f>
        <v>1.30967237055302E-009</v>
      </c>
      <c r="S274" s="10" t="str">
        <f aca="false">"FY "&amp;(YEAR(B274)-(MONTH(B274)&lt;4))&amp;"-"&amp;RIGHT(YEAR(B274)-(MONTH(B274)&lt;4)+1,2)</f>
        <v>FY 2048-49</v>
      </c>
    </row>
    <row r="275" customFormat="false" ht="15" hidden="false" customHeight="false" outlineLevel="0" collapsed="false">
      <c r="A275" s="22" t="n">
        <v>267</v>
      </c>
      <c r="B275" s="24" t="n">
        <f aca="false">EDATE(Inputs!$C$6,A275-1)</f>
        <v>54210</v>
      </c>
      <c r="C275" s="24" t="n">
        <f aca="false">EDATE(Inputs!$C$6,A275)-1</f>
        <v>54239</v>
      </c>
      <c r="D275" s="10" t="str">
        <f aca="false">IF(A275&lt;=Inputs!$C$7,"Yes","No")</f>
        <v>No</v>
      </c>
      <c r="E275" s="27" t="n">
        <f aca="false">IF(N(Inputs!$C$12)=0,1,(1+Inputs!$C$11)^INT((A275-1)/Inputs!$C$12))</f>
        <v>2.92526071992173</v>
      </c>
      <c r="F275" s="28" t="n">
        <f aca="false">IF(AND(D275="Yes",Inputs!$C$10="Advance",MOD(A275-1,Inputs!$C$22)=0),Inputs!$C$8*E275,0)</f>
        <v>0</v>
      </c>
      <c r="G275" s="28" t="n">
        <f aca="false">IF(AND(D275="Yes",Inputs!$C$10="Arrears",MOD(A275,Inputs!$C$22)=0),Inputs!$C$8*IF(N(Inputs!$C$12)=0,1,(1+Inputs!$C$11)^INT((A275-Inputs!$C$22)/Inputs!$C$12)),0)</f>
        <v>0</v>
      </c>
      <c r="H275" s="29" t="n">
        <f aca="false">1/(1+Inputs!$C$23)^(A275-1)</f>
        <v>0.133758182284595</v>
      </c>
      <c r="I275" s="29" t="n">
        <f aca="false">1/(1+Inputs!$C$23)^A275</f>
        <v>0.13275040304777</v>
      </c>
      <c r="J275" s="30" t="n">
        <f aca="false">F275*H275+G275*I275</f>
        <v>0</v>
      </c>
      <c r="K275" s="30" t="n">
        <f aca="false">M274</f>
        <v>-2.31665708150703E-009</v>
      </c>
      <c r="L275" s="30" t="n">
        <f aca="false">IF(D275="Yes",(K275-F275)*Inputs!$C$23,0)</f>
        <v>0</v>
      </c>
      <c r="M275" s="30" t="n">
        <f aca="false">K275-F275+L275-G275</f>
        <v>-2.31665708150703E-009</v>
      </c>
      <c r="N275" s="30" t="n">
        <f aca="false">F275+G275</f>
        <v>0</v>
      </c>
      <c r="O275" s="30" t="n">
        <f aca="false">N275-L275</f>
        <v>0</v>
      </c>
      <c r="P275" s="30" t="n">
        <f aca="false">R274</f>
        <v>1.30967237055302E-009</v>
      </c>
      <c r="Q275" s="30" t="n">
        <f aca="false">IF(A275&lt;=Inputs!$C$24,Inputs!$C$29/Inputs!$C$24,0)</f>
        <v>0</v>
      </c>
      <c r="R275" s="30" t="n">
        <f aca="false">P275-Q275</f>
        <v>1.30967237055302E-009</v>
      </c>
      <c r="S275" s="10" t="str">
        <f aca="false">"FY "&amp;(YEAR(B275)-(MONTH(B275)&lt;4))&amp;"-"&amp;RIGHT(YEAR(B275)-(MONTH(B275)&lt;4)+1,2)</f>
        <v>FY 2048-49</v>
      </c>
    </row>
    <row r="276" customFormat="false" ht="15" hidden="false" customHeight="false" outlineLevel="0" collapsed="false">
      <c r="A276" s="22" t="n">
        <v>268</v>
      </c>
      <c r="B276" s="24" t="n">
        <f aca="false">EDATE(Inputs!$C$6,A276-1)</f>
        <v>54240</v>
      </c>
      <c r="C276" s="24" t="n">
        <f aca="false">EDATE(Inputs!$C$6,A276)-1</f>
        <v>54270</v>
      </c>
      <c r="D276" s="10" t="str">
        <f aca="false">IF(A276&lt;=Inputs!$C$7,"Yes","No")</f>
        <v>No</v>
      </c>
      <c r="E276" s="27" t="n">
        <f aca="false">IF(N(Inputs!$C$12)=0,1,(1+Inputs!$C$11)^INT((A276-1)/Inputs!$C$12))</f>
        <v>2.92526071992173</v>
      </c>
      <c r="F276" s="28" t="n">
        <f aca="false">IF(AND(D276="Yes",Inputs!$C$10="Advance",MOD(A276-1,Inputs!$C$22)=0),Inputs!$C$8*E276,0)</f>
        <v>0</v>
      </c>
      <c r="G276" s="28" t="n">
        <f aca="false">IF(AND(D276="Yes",Inputs!$C$10="Arrears",MOD(A276,Inputs!$C$22)=0),Inputs!$C$8*IF(N(Inputs!$C$12)=0,1,(1+Inputs!$C$11)^INT((A276-Inputs!$C$22)/Inputs!$C$12)),0)</f>
        <v>0</v>
      </c>
      <c r="H276" s="29" t="n">
        <f aca="false">1/(1+Inputs!$C$23)^(A276-1)</f>
        <v>0.13275040304777</v>
      </c>
      <c r="I276" s="29" t="n">
        <f aca="false">1/(1+Inputs!$C$23)^A276</f>
        <v>0.131750216759449</v>
      </c>
      <c r="J276" s="30" t="n">
        <f aca="false">F276*H276+G276*I276</f>
        <v>0</v>
      </c>
      <c r="K276" s="30" t="n">
        <f aca="false">M275</f>
        <v>-2.31665708150703E-009</v>
      </c>
      <c r="L276" s="30" t="n">
        <f aca="false">IF(D276="Yes",(K276-F276)*Inputs!$C$23,0)</f>
        <v>0</v>
      </c>
      <c r="M276" s="30" t="n">
        <f aca="false">K276-F276+L276-G276</f>
        <v>-2.31665708150703E-009</v>
      </c>
      <c r="N276" s="30" t="n">
        <f aca="false">F276+G276</f>
        <v>0</v>
      </c>
      <c r="O276" s="30" t="n">
        <f aca="false">N276-L276</f>
        <v>0</v>
      </c>
      <c r="P276" s="30" t="n">
        <f aca="false">R275</f>
        <v>1.30967237055302E-009</v>
      </c>
      <c r="Q276" s="30" t="n">
        <f aca="false">IF(A276&lt;=Inputs!$C$24,Inputs!$C$29/Inputs!$C$24,0)</f>
        <v>0</v>
      </c>
      <c r="R276" s="30" t="n">
        <f aca="false">P276-Q276</f>
        <v>1.30967237055302E-009</v>
      </c>
      <c r="S276" s="10" t="str">
        <f aca="false">"FY "&amp;(YEAR(B276)-(MONTH(B276)&lt;4))&amp;"-"&amp;RIGHT(YEAR(B276)-(MONTH(B276)&lt;4)+1,2)</f>
        <v>FY 2048-49</v>
      </c>
    </row>
    <row r="277" customFormat="false" ht="15" hidden="false" customHeight="false" outlineLevel="0" collapsed="false">
      <c r="A277" s="22" t="n">
        <v>269</v>
      </c>
      <c r="B277" s="24" t="n">
        <f aca="false">EDATE(Inputs!$C$6,A277-1)</f>
        <v>54271</v>
      </c>
      <c r="C277" s="24" t="n">
        <f aca="false">EDATE(Inputs!$C$6,A277)-1</f>
        <v>54301</v>
      </c>
      <c r="D277" s="10" t="str">
        <f aca="false">IF(A277&lt;=Inputs!$C$7,"Yes","No")</f>
        <v>No</v>
      </c>
      <c r="E277" s="27" t="n">
        <f aca="false">IF(N(Inputs!$C$12)=0,1,(1+Inputs!$C$11)^INT((A277-1)/Inputs!$C$12))</f>
        <v>2.92526071992173</v>
      </c>
      <c r="F277" s="28" t="n">
        <f aca="false">IF(AND(D277="Yes",Inputs!$C$10="Advance",MOD(A277-1,Inputs!$C$22)=0),Inputs!$C$8*E277,0)</f>
        <v>0</v>
      </c>
      <c r="G277" s="28" t="n">
        <f aca="false">IF(AND(D277="Yes",Inputs!$C$10="Arrears",MOD(A277,Inputs!$C$22)=0),Inputs!$C$8*IF(N(Inputs!$C$12)=0,1,(1+Inputs!$C$11)^INT((A277-Inputs!$C$22)/Inputs!$C$12)),0)</f>
        <v>0</v>
      </c>
      <c r="H277" s="29" t="n">
        <f aca="false">1/(1+Inputs!$C$23)^(A277-1)</f>
        <v>0.131750216759449</v>
      </c>
      <c r="I277" s="29" t="n">
        <f aca="false">1/(1+Inputs!$C$23)^A277</f>
        <v>0.130757566211799</v>
      </c>
      <c r="J277" s="30" t="n">
        <f aca="false">F277*H277+G277*I277</f>
        <v>0</v>
      </c>
      <c r="K277" s="30" t="n">
        <f aca="false">M276</f>
        <v>-2.31665708150703E-009</v>
      </c>
      <c r="L277" s="30" t="n">
        <f aca="false">IF(D277="Yes",(K277-F277)*Inputs!$C$23,0)</f>
        <v>0</v>
      </c>
      <c r="M277" s="30" t="n">
        <f aca="false">K277-F277+L277-G277</f>
        <v>-2.31665708150703E-009</v>
      </c>
      <c r="N277" s="30" t="n">
        <f aca="false">F277+G277</f>
        <v>0</v>
      </c>
      <c r="O277" s="30" t="n">
        <f aca="false">N277-L277</f>
        <v>0</v>
      </c>
      <c r="P277" s="30" t="n">
        <f aca="false">R276</f>
        <v>1.30967237055302E-009</v>
      </c>
      <c r="Q277" s="30" t="n">
        <f aca="false">IF(A277&lt;=Inputs!$C$24,Inputs!$C$29/Inputs!$C$24,0)</f>
        <v>0</v>
      </c>
      <c r="R277" s="30" t="n">
        <f aca="false">P277-Q277</f>
        <v>1.30967237055302E-009</v>
      </c>
      <c r="S277" s="10" t="str">
        <f aca="false">"FY "&amp;(YEAR(B277)-(MONTH(B277)&lt;4))&amp;"-"&amp;RIGHT(YEAR(B277)-(MONTH(B277)&lt;4)+1,2)</f>
        <v>FY 2048-49</v>
      </c>
    </row>
    <row r="278" customFormat="false" ht="15" hidden="false" customHeight="false" outlineLevel="0" collapsed="false">
      <c r="A278" s="22" t="n">
        <v>270</v>
      </c>
      <c r="B278" s="24" t="n">
        <f aca="false">EDATE(Inputs!$C$6,A278-1)</f>
        <v>54302</v>
      </c>
      <c r="C278" s="24" t="n">
        <f aca="false">EDATE(Inputs!$C$6,A278)-1</f>
        <v>54331</v>
      </c>
      <c r="D278" s="10" t="str">
        <f aca="false">IF(A278&lt;=Inputs!$C$7,"Yes","No")</f>
        <v>No</v>
      </c>
      <c r="E278" s="27" t="n">
        <f aca="false">IF(N(Inputs!$C$12)=0,1,(1+Inputs!$C$11)^INT((A278-1)/Inputs!$C$12))</f>
        <v>2.92526071992173</v>
      </c>
      <c r="F278" s="28" t="n">
        <f aca="false">IF(AND(D278="Yes",Inputs!$C$10="Advance",MOD(A278-1,Inputs!$C$22)=0),Inputs!$C$8*E278,0)</f>
        <v>0</v>
      </c>
      <c r="G278" s="28" t="n">
        <f aca="false">IF(AND(D278="Yes",Inputs!$C$10="Arrears",MOD(A278,Inputs!$C$22)=0),Inputs!$C$8*IF(N(Inputs!$C$12)=0,1,(1+Inputs!$C$11)^INT((A278-Inputs!$C$22)/Inputs!$C$12)),0)</f>
        <v>0</v>
      </c>
      <c r="H278" s="29" t="n">
        <f aca="false">1/(1+Inputs!$C$23)^(A278-1)</f>
        <v>0.130757566211799</v>
      </c>
      <c r="I278" s="29" t="n">
        <f aca="false">1/(1+Inputs!$C$23)^A278</f>
        <v>0.129772394628009</v>
      </c>
      <c r="J278" s="30" t="n">
        <f aca="false">F278*H278+G278*I278</f>
        <v>0</v>
      </c>
      <c r="K278" s="30" t="n">
        <f aca="false">M277</f>
        <v>-2.31665708150703E-009</v>
      </c>
      <c r="L278" s="30" t="n">
        <f aca="false">IF(D278="Yes",(K278-F278)*Inputs!$C$23,0)</f>
        <v>0</v>
      </c>
      <c r="M278" s="30" t="n">
        <f aca="false">K278-F278+L278-G278</f>
        <v>-2.31665708150703E-009</v>
      </c>
      <c r="N278" s="30" t="n">
        <f aca="false">F278+G278</f>
        <v>0</v>
      </c>
      <c r="O278" s="30" t="n">
        <f aca="false">N278-L278</f>
        <v>0</v>
      </c>
      <c r="P278" s="30" t="n">
        <f aca="false">R277</f>
        <v>1.30967237055302E-009</v>
      </c>
      <c r="Q278" s="30" t="n">
        <f aca="false">IF(A278&lt;=Inputs!$C$24,Inputs!$C$29/Inputs!$C$24,0)</f>
        <v>0</v>
      </c>
      <c r="R278" s="30" t="n">
        <f aca="false">P278-Q278</f>
        <v>1.30967237055302E-009</v>
      </c>
      <c r="S278" s="10" t="str">
        <f aca="false">"FY "&amp;(YEAR(B278)-(MONTH(B278)&lt;4))&amp;"-"&amp;RIGHT(YEAR(B278)-(MONTH(B278)&lt;4)+1,2)</f>
        <v>FY 2048-49</v>
      </c>
    </row>
    <row r="279" customFormat="false" ht="15" hidden="false" customHeight="false" outlineLevel="0" collapsed="false">
      <c r="A279" s="22" t="n">
        <v>271</v>
      </c>
      <c r="B279" s="24" t="n">
        <f aca="false">EDATE(Inputs!$C$6,A279-1)</f>
        <v>54332</v>
      </c>
      <c r="C279" s="24" t="n">
        <f aca="false">EDATE(Inputs!$C$6,A279)-1</f>
        <v>54362</v>
      </c>
      <c r="D279" s="10" t="str">
        <f aca="false">IF(A279&lt;=Inputs!$C$7,"Yes","No")</f>
        <v>No</v>
      </c>
      <c r="E279" s="27" t="n">
        <f aca="false">IF(N(Inputs!$C$12)=0,1,(1+Inputs!$C$11)^INT((A279-1)/Inputs!$C$12))</f>
        <v>2.92526071992173</v>
      </c>
      <c r="F279" s="28" t="n">
        <f aca="false">IF(AND(D279="Yes",Inputs!$C$10="Advance",MOD(A279-1,Inputs!$C$22)=0),Inputs!$C$8*E279,0)</f>
        <v>0</v>
      </c>
      <c r="G279" s="28" t="n">
        <f aca="false">IF(AND(D279="Yes",Inputs!$C$10="Arrears",MOD(A279,Inputs!$C$22)=0),Inputs!$C$8*IF(N(Inputs!$C$12)=0,1,(1+Inputs!$C$11)^INT((A279-Inputs!$C$22)/Inputs!$C$12)),0)</f>
        <v>0</v>
      </c>
      <c r="H279" s="29" t="n">
        <f aca="false">1/(1+Inputs!$C$23)^(A279-1)</f>
        <v>0.129772394628009</v>
      </c>
      <c r="I279" s="29" t="n">
        <f aca="false">1/(1+Inputs!$C$23)^A279</f>
        <v>0.128794645659045</v>
      </c>
      <c r="J279" s="30" t="n">
        <f aca="false">F279*H279+G279*I279</f>
        <v>0</v>
      </c>
      <c r="K279" s="30" t="n">
        <f aca="false">M278</f>
        <v>-2.31665708150703E-009</v>
      </c>
      <c r="L279" s="30" t="n">
        <f aca="false">IF(D279="Yes",(K279-F279)*Inputs!$C$23,0)</f>
        <v>0</v>
      </c>
      <c r="M279" s="30" t="n">
        <f aca="false">K279-F279+L279-G279</f>
        <v>-2.31665708150703E-009</v>
      </c>
      <c r="N279" s="30" t="n">
        <f aca="false">F279+G279</f>
        <v>0</v>
      </c>
      <c r="O279" s="30" t="n">
        <f aca="false">N279-L279</f>
        <v>0</v>
      </c>
      <c r="P279" s="30" t="n">
        <f aca="false">R278</f>
        <v>1.30967237055302E-009</v>
      </c>
      <c r="Q279" s="30" t="n">
        <f aca="false">IF(A279&lt;=Inputs!$C$24,Inputs!$C$29/Inputs!$C$24,0)</f>
        <v>0</v>
      </c>
      <c r="R279" s="30" t="n">
        <f aca="false">P279-Q279</f>
        <v>1.30967237055302E-009</v>
      </c>
      <c r="S279" s="10" t="str">
        <f aca="false">"FY "&amp;(YEAR(B279)-(MONTH(B279)&lt;4))&amp;"-"&amp;RIGHT(YEAR(B279)-(MONTH(B279)&lt;4)+1,2)</f>
        <v>FY 2048-49</v>
      </c>
    </row>
    <row r="280" customFormat="false" ht="15" hidden="false" customHeight="false" outlineLevel="0" collapsed="false">
      <c r="A280" s="22" t="n">
        <v>272</v>
      </c>
      <c r="B280" s="24" t="n">
        <f aca="false">EDATE(Inputs!$C$6,A280-1)</f>
        <v>54363</v>
      </c>
      <c r="C280" s="24" t="n">
        <f aca="false">EDATE(Inputs!$C$6,A280)-1</f>
        <v>54392</v>
      </c>
      <c r="D280" s="10" t="str">
        <f aca="false">IF(A280&lt;=Inputs!$C$7,"Yes","No")</f>
        <v>No</v>
      </c>
      <c r="E280" s="27" t="n">
        <f aca="false">IF(N(Inputs!$C$12)=0,1,(1+Inputs!$C$11)^INT((A280-1)/Inputs!$C$12))</f>
        <v>2.92526071992173</v>
      </c>
      <c r="F280" s="28" t="n">
        <f aca="false">IF(AND(D280="Yes",Inputs!$C$10="Advance",MOD(A280-1,Inputs!$C$22)=0),Inputs!$C$8*E280,0)</f>
        <v>0</v>
      </c>
      <c r="G280" s="28" t="n">
        <f aca="false">IF(AND(D280="Yes",Inputs!$C$10="Arrears",MOD(A280,Inputs!$C$22)=0),Inputs!$C$8*IF(N(Inputs!$C$12)=0,1,(1+Inputs!$C$11)^INT((A280-Inputs!$C$22)/Inputs!$C$12)),0)</f>
        <v>0</v>
      </c>
      <c r="H280" s="29" t="n">
        <f aca="false">1/(1+Inputs!$C$23)^(A280-1)</f>
        <v>0.128794645659045</v>
      </c>
      <c r="I280" s="29" t="n">
        <f aca="false">1/(1+Inputs!$C$23)^A280</f>
        <v>0.127824263380424</v>
      </c>
      <c r="J280" s="30" t="n">
        <f aca="false">F280*H280+G280*I280</f>
        <v>0</v>
      </c>
      <c r="K280" s="30" t="n">
        <f aca="false">M279</f>
        <v>-2.31665708150703E-009</v>
      </c>
      <c r="L280" s="30" t="n">
        <f aca="false">IF(D280="Yes",(K280-F280)*Inputs!$C$23,0)</f>
        <v>0</v>
      </c>
      <c r="M280" s="30" t="n">
        <f aca="false">K280-F280+L280-G280</f>
        <v>-2.31665708150703E-009</v>
      </c>
      <c r="N280" s="30" t="n">
        <f aca="false">F280+G280</f>
        <v>0</v>
      </c>
      <c r="O280" s="30" t="n">
        <f aca="false">N280-L280</f>
        <v>0</v>
      </c>
      <c r="P280" s="30" t="n">
        <f aca="false">R279</f>
        <v>1.30967237055302E-009</v>
      </c>
      <c r="Q280" s="30" t="n">
        <f aca="false">IF(A280&lt;=Inputs!$C$24,Inputs!$C$29/Inputs!$C$24,0)</f>
        <v>0</v>
      </c>
      <c r="R280" s="30" t="n">
        <f aca="false">P280-Q280</f>
        <v>1.30967237055302E-009</v>
      </c>
      <c r="S280" s="10" t="str">
        <f aca="false">"FY "&amp;(YEAR(B280)-(MONTH(B280)&lt;4))&amp;"-"&amp;RIGHT(YEAR(B280)-(MONTH(B280)&lt;4)+1,2)</f>
        <v>FY 2048-49</v>
      </c>
    </row>
    <row r="281" customFormat="false" ht="15" hidden="false" customHeight="false" outlineLevel="0" collapsed="false">
      <c r="A281" s="22" t="n">
        <v>273</v>
      </c>
      <c r="B281" s="24" t="n">
        <f aca="false">EDATE(Inputs!$C$6,A281-1)</f>
        <v>54393</v>
      </c>
      <c r="C281" s="24" t="n">
        <f aca="false">EDATE(Inputs!$C$6,A281)-1</f>
        <v>54423</v>
      </c>
      <c r="D281" s="10" t="str">
        <f aca="false">IF(A281&lt;=Inputs!$C$7,"Yes","No")</f>
        <v>No</v>
      </c>
      <c r="E281" s="27" t="n">
        <f aca="false">IF(N(Inputs!$C$12)=0,1,(1+Inputs!$C$11)^INT((A281-1)/Inputs!$C$12))</f>
        <v>2.92526071992173</v>
      </c>
      <c r="F281" s="28" t="n">
        <f aca="false">IF(AND(D281="Yes",Inputs!$C$10="Advance",MOD(A281-1,Inputs!$C$22)=0),Inputs!$C$8*E281,0)</f>
        <v>0</v>
      </c>
      <c r="G281" s="28" t="n">
        <f aca="false">IF(AND(D281="Yes",Inputs!$C$10="Arrears",MOD(A281,Inputs!$C$22)=0),Inputs!$C$8*IF(N(Inputs!$C$12)=0,1,(1+Inputs!$C$11)^INT((A281-Inputs!$C$22)/Inputs!$C$12)),0)</f>
        <v>0</v>
      </c>
      <c r="H281" s="29" t="n">
        <f aca="false">1/(1+Inputs!$C$23)^(A281-1)</f>
        <v>0.127824263380424</v>
      </c>
      <c r="I281" s="29" t="n">
        <f aca="false">1/(1+Inputs!$C$23)^A281</f>
        <v>0.126861192289018</v>
      </c>
      <c r="J281" s="30" t="n">
        <f aca="false">F281*H281+G281*I281</f>
        <v>0</v>
      </c>
      <c r="K281" s="30" t="n">
        <f aca="false">M280</f>
        <v>-2.31665708150703E-009</v>
      </c>
      <c r="L281" s="30" t="n">
        <f aca="false">IF(D281="Yes",(K281-F281)*Inputs!$C$23,0)</f>
        <v>0</v>
      </c>
      <c r="M281" s="30" t="n">
        <f aca="false">K281-F281+L281-G281</f>
        <v>-2.31665708150703E-009</v>
      </c>
      <c r="N281" s="30" t="n">
        <f aca="false">F281+G281</f>
        <v>0</v>
      </c>
      <c r="O281" s="30" t="n">
        <f aca="false">N281-L281</f>
        <v>0</v>
      </c>
      <c r="P281" s="30" t="n">
        <f aca="false">R280</f>
        <v>1.30967237055302E-009</v>
      </c>
      <c r="Q281" s="30" t="n">
        <f aca="false">IF(A281&lt;=Inputs!$C$24,Inputs!$C$29/Inputs!$C$24,0)</f>
        <v>0</v>
      </c>
      <c r="R281" s="30" t="n">
        <f aca="false">P281-Q281</f>
        <v>1.30967237055302E-009</v>
      </c>
      <c r="S281" s="10" t="str">
        <f aca="false">"FY "&amp;(YEAR(B281)-(MONTH(B281)&lt;4))&amp;"-"&amp;RIGHT(YEAR(B281)-(MONTH(B281)&lt;4)+1,2)</f>
        <v>FY 2048-49</v>
      </c>
    </row>
    <row r="282" customFormat="false" ht="15" hidden="false" customHeight="false" outlineLevel="0" collapsed="false">
      <c r="A282" s="22" t="n">
        <v>274</v>
      </c>
      <c r="B282" s="24" t="n">
        <f aca="false">EDATE(Inputs!$C$6,A282-1)</f>
        <v>54424</v>
      </c>
      <c r="C282" s="24" t="n">
        <f aca="false">EDATE(Inputs!$C$6,A282)-1</f>
        <v>54454</v>
      </c>
      <c r="D282" s="10" t="str">
        <f aca="false">IF(A282&lt;=Inputs!$C$7,"Yes","No")</f>
        <v>No</v>
      </c>
      <c r="E282" s="27" t="n">
        <f aca="false">IF(N(Inputs!$C$12)=0,1,(1+Inputs!$C$11)^INT((A282-1)/Inputs!$C$12))</f>
        <v>2.92526071992173</v>
      </c>
      <c r="F282" s="28" t="n">
        <f aca="false">IF(AND(D282="Yes",Inputs!$C$10="Advance",MOD(A282-1,Inputs!$C$22)=0),Inputs!$C$8*E282,0)</f>
        <v>0</v>
      </c>
      <c r="G282" s="28" t="n">
        <f aca="false">IF(AND(D282="Yes",Inputs!$C$10="Arrears",MOD(A282,Inputs!$C$22)=0),Inputs!$C$8*IF(N(Inputs!$C$12)=0,1,(1+Inputs!$C$11)^INT((A282-Inputs!$C$22)/Inputs!$C$12)),0)</f>
        <v>0</v>
      </c>
      <c r="H282" s="29" t="n">
        <f aca="false">1/(1+Inputs!$C$23)^(A282-1)</f>
        <v>0.126861192289018</v>
      </c>
      <c r="I282" s="29" t="n">
        <f aca="false">1/(1+Inputs!$C$23)^A282</f>
        <v>0.125905377299877</v>
      </c>
      <c r="J282" s="30" t="n">
        <f aca="false">F282*H282+G282*I282</f>
        <v>0</v>
      </c>
      <c r="K282" s="30" t="n">
        <f aca="false">M281</f>
        <v>-2.31665708150703E-009</v>
      </c>
      <c r="L282" s="30" t="n">
        <f aca="false">IF(D282="Yes",(K282-F282)*Inputs!$C$23,0)</f>
        <v>0</v>
      </c>
      <c r="M282" s="30" t="n">
        <f aca="false">K282-F282+L282-G282</f>
        <v>-2.31665708150703E-009</v>
      </c>
      <c r="N282" s="30" t="n">
        <f aca="false">F282+G282</f>
        <v>0</v>
      </c>
      <c r="O282" s="30" t="n">
        <f aca="false">N282-L282</f>
        <v>0</v>
      </c>
      <c r="P282" s="30" t="n">
        <f aca="false">R281</f>
        <v>1.30967237055302E-009</v>
      </c>
      <c r="Q282" s="30" t="n">
        <f aca="false">IF(A282&lt;=Inputs!$C$24,Inputs!$C$29/Inputs!$C$24,0)</f>
        <v>0</v>
      </c>
      <c r="R282" s="30" t="n">
        <f aca="false">P282-Q282</f>
        <v>1.30967237055302E-009</v>
      </c>
      <c r="S282" s="10" t="str">
        <f aca="false">"FY "&amp;(YEAR(B282)-(MONTH(B282)&lt;4))&amp;"-"&amp;RIGHT(YEAR(B282)-(MONTH(B282)&lt;4)+1,2)</f>
        <v>FY 2048-49</v>
      </c>
    </row>
    <row r="283" customFormat="false" ht="15" hidden="false" customHeight="false" outlineLevel="0" collapsed="false">
      <c r="A283" s="22" t="n">
        <v>275</v>
      </c>
      <c r="B283" s="24" t="n">
        <f aca="false">EDATE(Inputs!$C$6,A283-1)</f>
        <v>54455</v>
      </c>
      <c r="C283" s="24" t="n">
        <f aca="false">EDATE(Inputs!$C$6,A283)-1</f>
        <v>54482</v>
      </c>
      <c r="D283" s="10" t="str">
        <f aca="false">IF(A283&lt;=Inputs!$C$7,"Yes","No")</f>
        <v>No</v>
      </c>
      <c r="E283" s="27" t="n">
        <f aca="false">IF(N(Inputs!$C$12)=0,1,(1+Inputs!$C$11)^INT((A283-1)/Inputs!$C$12))</f>
        <v>2.92526071992173</v>
      </c>
      <c r="F283" s="28" t="n">
        <f aca="false">IF(AND(D283="Yes",Inputs!$C$10="Advance",MOD(A283-1,Inputs!$C$22)=0),Inputs!$C$8*E283,0)</f>
        <v>0</v>
      </c>
      <c r="G283" s="28" t="n">
        <f aca="false">IF(AND(D283="Yes",Inputs!$C$10="Arrears",MOD(A283,Inputs!$C$22)=0),Inputs!$C$8*IF(N(Inputs!$C$12)=0,1,(1+Inputs!$C$11)^INT((A283-Inputs!$C$22)/Inputs!$C$12)),0)</f>
        <v>0</v>
      </c>
      <c r="H283" s="29" t="n">
        <f aca="false">1/(1+Inputs!$C$23)^(A283-1)</f>
        <v>0.125905377299877</v>
      </c>
      <c r="I283" s="29" t="n">
        <f aca="false">1/(1+Inputs!$C$23)^A283</f>
        <v>0.124956763743081</v>
      </c>
      <c r="J283" s="30" t="n">
        <f aca="false">F283*H283+G283*I283</f>
        <v>0</v>
      </c>
      <c r="K283" s="30" t="n">
        <f aca="false">M282</f>
        <v>-2.31665708150703E-009</v>
      </c>
      <c r="L283" s="30" t="n">
        <f aca="false">IF(D283="Yes",(K283-F283)*Inputs!$C$23,0)</f>
        <v>0</v>
      </c>
      <c r="M283" s="30" t="n">
        <f aca="false">K283-F283+L283-G283</f>
        <v>-2.31665708150703E-009</v>
      </c>
      <c r="N283" s="30" t="n">
        <f aca="false">F283+G283</f>
        <v>0</v>
      </c>
      <c r="O283" s="30" t="n">
        <f aca="false">N283-L283</f>
        <v>0</v>
      </c>
      <c r="P283" s="30" t="n">
        <f aca="false">R282</f>
        <v>1.30967237055302E-009</v>
      </c>
      <c r="Q283" s="30" t="n">
        <f aca="false">IF(A283&lt;=Inputs!$C$24,Inputs!$C$29/Inputs!$C$24,0)</f>
        <v>0</v>
      </c>
      <c r="R283" s="30" t="n">
        <f aca="false">P283-Q283</f>
        <v>1.30967237055302E-009</v>
      </c>
      <c r="S283" s="10" t="str">
        <f aca="false">"FY "&amp;(YEAR(B283)-(MONTH(B283)&lt;4))&amp;"-"&amp;RIGHT(YEAR(B283)-(MONTH(B283)&lt;4)+1,2)</f>
        <v>FY 2048-49</v>
      </c>
    </row>
    <row r="284" customFormat="false" ht="15" hidden="false" customHeight="false" outlineLevel="0" collapsed="false">
      <c r="A284" s="22" t="n">
        <v>276</v>
      </c>
      <c r="B284" s="24" t="n">
        <f aca="false">EDATE(Inputs!$C$6,A284-1)</f>
        <v>54483</v>
      </c>
      <c r="C284" s="24" t="n">
        <f aca="false">EDATE(Inputs!$C$6,A284)-1</f>
        <v>54513</v>
      </c>
      <c r="D284" s="10" t="str">
        <f aca="false">IF(A284&lt;=Inputs!$C$7,"Yes","No")</f>
        <v>No</v>
      </c>
      <c r="E284" s="27" t="n">
        <f aca="false">IF(N(Inputs!$C$12)=0,1,(1+Inputs!$C$11)^INT((A284-1)/Inputs!$C$12))</f>
        <v>2.92526071992173</v>
      </c>
      <c r="F284" s="28" t="n">
        <f aca="false">IF(AND(D284="Yes",Inputs!$C$10="Advance",MOD(A284-1,Inputs!$C$22)=0),Inputs!$C$8*E284,0)</f>
        <v>0</v>
      </c>
      <c r="G284" s="28" t="n">
        <f aca="false">IF(AND(D284="Yes",Inputs!$C$10="Arrears",MOD(A284,Inputs!$C$22)=0),Inputs!$C$8*IF(N(Inputs!$C$12)=0,1,(1+Inputs!$C$11)^INT((A284-Inputs!$C$22)/Inputs!$C$12)),0)</f>
        <v>0</v>
      </c>
      <c r="H284" s="29" t="n">
        <f aca="false">1/(1+Inputs!$C$23)^(A284-1)</f>
        <v>0.124956763743081</v>
      </c>
      <c r="I284" s="29" t="n">
        <f aca="false">1/(1+Inputs!$C$23)^A284</f>
        <v>0.124015297360611</v>
      </c>
      <c r="J284" s="30" t="n">
        <f aca="false">F284*H284+G284*I284</f>
        <v>0</v>
      </c>
      <c r="K284" s="30" t="n">
        <f aca="false">M283</f>
        <v>-2.31665708150703E-009</v>
      </c>
      <c r="L284" s="30" t="n">
        <f aca="false">IF(D284="Yes",(K284-F284)*Inputs!$C$23,0)</f>
        <v>0</v>
      </c>
      <c r="M284" s="30" t="n">
        <f aca="false">K284-F284+L284-G284</f>
        <v>-2.31665708150703E-009</v>
      </c>
      <c r="N284" s="30" t="n">
        <f aca="false">F284+G284</f>
        <v>0</v>
      </c>
      <c r="O284" s="30" t="n">
        <f aca="false">N284-L284</f>
        <v>0</v>
      </c>
      <c r="P284" s="30" t="n">
        <f aca="false">R283</f>
        <v>1.30967237055302E-009</v>
      </c>
      <c r="Q284" s="30" t="n">
        <f aca="false">IF(A284&lt;=Inputs!$C$24,Inputs!$C$29/Inputs!$C$24,0)</f>
        <v>0</v>
      </c>
      <c r="R284" s="30" t="n">
        <f aca="false">P284-Q284</f>
        <v>1.30967237055302E-009</v>
      </c>
      <c r="S284" s="10" t="str">
        <f aca="false">"FY "&amp;(YEAR(B284)-(MONTH(B284)&lt;4))&amp;"-"&amp;RIGHT(YEAR(B284)-(MONTH(B284)&lt;4)+1,2)</f>
        <v>FY 2048-49</v>
      </c>
    </row>
    <row r="285" customFormat="false" ht="15" hidden="false" customHeight="false" outlineLevel="0" collapsed="false">
      <c r="A285" s="22" t="n">
        <v>277</v>
      </c>
      <c r="B285" s="24" t="n">
        <f aca="false">EDATE(Inputs!$C$6,A285-1)</f>
        <v>54514</v>
      </c>
      <c r="C285" s="24" t="n">
        <f aca="false">EDATE(Inputs!$C$6,A285)-1</f>
        <v>54543</v>
      </c>
      <c r="D285" s="10" t="str">
        <f aca="false">IF(A285&lt;=Inputs!$C$7,"Yes","No")</f>
        <v>No</v>
      </c>
      <c r="E285" s="27" t="n">
        <f aca="false">IF(N(Inputs!$C$12)=0,1,(1+Inputs!$C$11)^INT((A285-1)/Inputs!$C$12))</f>
        <v>3.07152375591781</v>
      </c>
      <c r="F285" s="28" t="n">
        <f aca="false">IF(AND(D285="Yes",Inputs!$C$10="Advance",MOD(A285-1,Inputs!$C$22)=0),Inputs!$C$8*E285,0)</f>
        <v>0</v>
      </c>
      <c r="G285" s="28" t="n">
        <f aca="false">IF(AND(D285="Yes",Inputs!$C$10="Arrears",MOD(A285,Inputs!$C$22)=0),Inputs!$C$8*IF(N(Inputs!$C$12)=0,1,(1+Inputs!$C$11)^INT((A285-Inputs!$C$22)/Inputs!$C$12)),0)</f>
        <v>0</v>
      </c>
      <c r="H285" s="29" t="n">
        <f aca="false">1/(1+Inputs!$C$23)^(A285-1)</f>
        <v>0.124015297360611</v>
      </c>
      <c r="I285" s="29" t="n">
        <f aca="false">1/(1+Inputs!$C$23)^A285</f>
        <v>0.123080924303247</v>
      </c>
      <c r="J285" s="30" t="n">
        <f aca="false">F285*H285+G285*I285</f>
        <v>0</v>
      </c>
      <c r="K285" s="30" t="n">
        <f aca="false">M284</f>
        <v>-2.31665708150703E-009</v>
      </c>
      <c r="L285" s="30" t="n">
        <f aca="false">IF(D285="Yes",(K285-F285)*Inputs!$C$23,0)</f>
        <v>0</v>
      </c>
      <c r="M285" s="30" t="n">
        <f aca="false">K285-F285+L285-G285</f>
        <v>-2.31665708150703E-009</v>
      </c>
      <c r="N285" s="30" t="n">
        <f aca="false">F285+G285</f>
        <v>0</v>
      </c>
      <c r="O285" s="30" t="n">
        <f aca="false">N285-L285</f>
        <v>0</v>
      </c>
      <c r="P285" s="30" t="n">
        <f aca="false">R284</f>
        <v>1.30967237055302E-009</v>
      </c>
      <c r="Q285" s="30" t="n">
        <f aca="false">IF(A285&lt;=Inputs!$C$24,Inputs!$C$29/Inputs!$C$24,0)</f>
        <v>0</v>
      </c>
      <c r="R285" s="30" t="n">
        <f aca="false">P285-Q285</f>
        <v>1.30967237055302E-009</v>
      </c>
      <c r="S285" s="10" t="str">
        <f aca="false">"FY "&amp;(YEAR(B285)-(MONTH(B285)&lt;4))&amp;"-"&amp;RIGHT(YEAR(B285)-(MONTH(B285)&lt;4)+1,2)</f>
        <v>FY 2049-50</v>
      </c>
    </row>
    <row r="286" customFormat="false" ht="15" hidden="false" customHeight="false" outlineLevel="0" collapsed="false">
      <c r="A286" s="22" t="n">
        <v>278</v>
      </c>
      <c r="B286" s="24" t="n">
        <f aca="false">EDATE(Inputs!$C$6,A286-1)</f>
        <v>54544</v>
      </c>
      <c r="C286" s="24" t="n">
        <f aca="false">EDATE(Inputs!$C$6,A286)-1</f>
        <v>54574</v>
      </c>
      <c r="D286" s="10" t="str">
        <f aca="false">IF(A286&lt;=Inputs!$C$7,"Yes","No")</f>
        <v>No</v>
      </c>
      <c r="E286" s="27" t="n">
        <f aca="false">IF(N(Inputs!$C$12)=0,1,(1+Inputs!$C$11)^INT((A286-1)/Inputs!$C$12))</f>
        <v>3.07152375591781</v>
      </c>
      <c r="F286" s="28" t="n">
        <f aca="false">IF(AND(D286="Yes",Inputs!$C$10="Advance",MOD(A286-1,Inputs!$C$22)=0),Inputs!$C$8*E286,0)</f>
        <v>0</v>
      </c>
      <c r="G286" s="28" t="n">
        <f aca="false">IF(AND(D286="Yes",Inputs!$C$10="Arrears",MOD(A286,Inputs!$C$22)=0),Inputs!$C$8*IF(N(Inputs!$C$12)=0,1,(1+Inputs!$C$11)^INT((A286-Inputs!$C$22)/Inputs!$C$12)),0)</f>
        <v>0</v>
      </c>
      <c r="H286" s="29" t="n">
        <f aca="false">1/(1+Inputs!$C$23)^(A286-1)</f>
        <v>0.123080924303247</v>
      </c>
      <c r="I286" s="29" t="n">
        <f aca="false">1/(1+Inputs!$C$23)^A286</f>
        <v>0.122153591127485</v>
      </c>
      <c r="J286" s="30" t="n">
        <f aca="false">F286*H286+G286*I286</f>
        <v>0</v>
      </c>
      <c r="K286" s="30" t="n">
        <f aca="false">M285</f>
        <v>-2.31665708150703E-009</v>
      </c>
      <c r="L286" s="30" t="n">
        <f aca="false">IF(D286="Yes",(K286-F286)*Inputs!$C$23,0)</f>
        <v>0</v>
      </c>
      <c r="M286" s="30" t="n">
        <f aca="false">K286-F286+L286-G286</f>
        <v>-2.31665708150703E-009</v>
      </c>
      <c r="N286" s="30" t="n">
        <f aca="false">F286+G286</f>
        <v>0</v>
      </c>
      <c r="O286" s="30" t="n">
        <f aca="false">N286-L286</f>
        <v>0</v>
      </c>
      <c r="P286" s="30" t="n">
        <f aca="false">R285</f>
        <v>1.30967237055302E-009</v>
      </c>
      <c r="Q286" s="30" t="n">
        <f aca="false">IF(A286&lt;=Inputs!$C$24,Inputs!$C$29/Inputs!$C$24,0)</f>
        <v>0</v>
      </c>
      <c r="R286" s="30" t="n">
        <f aca="false">P286-Q286</f>
        <v>1.30967237055302E-009</v>
      </c>
      <c r="S286" s="10" t="str">
        <f aca="false">"FY "&amp;(YEAR(B286)-(MONTH(B286)&lt;4))&amp;"-"&amp;RIGHT(YEAR(B286)-(MONTH(B286)&lt;4)+1,2)</f>
        <v>FY 2049-50</v>
      </c>
    </row>
    <row r="287" customFormat="false" ht="15" hidden="false" customHeight="false" outlineLevel="0" collapsed="false">
      <c r="A287" s="22" t="n">
        <v>279</v>
      </c>
      <c r="B287" s="24" t="n">
        <f aca="false">EDATE(Inputs!$C$6,A287-1)</f>
        <v>54575</v>
      </c>
      <c r="C287" s="24" t="n">
        <f aca="false">EDATE(Inputs!$C$6,A287)-1</f>
        <v>54604</v>
      </c>
      <c r="D287" s="10" t="str">
        <f aca="false">IF(A287&lt;=Inputs!$C$7,"Yes","No")</f>
        <v>No</v>
      </c>
      <c r="E287" s="27" t="n">
        <f aca="false">IF(N(Inputs!$C$12)=0,1,(1+Inputs!$C$11)^INT((A287-1)/Inputs!$C$12))</f>
        <v>3.07152375591781</v>
      </c>
      <c r="F287" s="28" t="n">
        <f aca="false">IF(AND(D287="Yes",Inputs!$C$10="Advance",MOD(A287-1,Inputs!$C$22)=0),Inputs!$C$8*E287,0)</f>
        <v>0</v>
      </c>
      <c r="G287" s="28" t="n">
        <f aca="false">IF(AND(D287="Yes",Inputs!$C$10="Arrears",MOD(A287,Inputs!$C$22)=0),Inputs!$C$8*IF(N(Inputs!$C$12)=0,1,(1+Inputs!$C$11)^INT((A287-Inputs!$C$22)/Inputs!$C$12)),0)</f>
        <v>0</v>
      </c>
      <c r="H287" s="29" t="n">
        <f aca="false">1/(1+Inputs!$C$23)^(A287-1)</f>
        <v>0.122153591127485</v>
      </c>
      <c r="I287" s="29" t="n">
        <f aca="false">1/(1+Inputs!$C$23)^A287</f>
        <v>0.121233244792484</v>
      </c>
      <c r="J287" s="30" t="n">
        <f aca="false">F287*H287+G287*I287</f>
        <v>0</v>
      </c>
      <c r="K287" s="30" t="n">
        <f aca="false">M286</f>
        <v>-2.31665708150703E-009</v>
      </c>
      <c r="L287" s="30" t="n">
        <f aca="false">IF(D287="Yes",(K287-F287)*Inputs!$C$23,0)</f>
        <v>0</v>
      </c>
      <c r="M287" s="30" t="n">
        <f aca="false">K287-F287+L287-G287</f>
        <v>-2.31665708150703E-009</v>
      </c>
      <c r="N287" s="30" t="n">
        <f aca="false">F287+G287</f>
        <v>0</v>
      </c>
      <c r="O287" s="30" t="n">
        <f aca="false">N287-L287</f>
        <v>0</v>
      </c>
      <c r="P287" s="30" t="n">
        <f aca="false">R286</f>
        <v>1.30967237055302E-009</v>
      </c>
      <c r="Q287" s="30" t="n">
        <f aca="false">IF(A287&lt;=Inputs!$C$24,Inputs!$C$29/Inputs!$C$24,0)</f>
        <v>0</v>
      </c>
      <c r="R287" s="30" t="n">
        <f aca="false">P287-Q287</f>
        <v>1.30967237055302E-009</v>
      </c>
      <c r="S287" s="10" t="str">
        <f aca="false">"FY "&amp;(YEAR(B287)-(MONTH(B287)&lt;4))&amp;"-"&amp;RIGHT(YEAR(B287)-(MONTH(B287)&lt;4)+1,2)</f>
        <v>FY 2049-50</v>
      </c>
    </row>
    <row r="288" customFormat="false" ht="15" hidden="false" customHeight="false" outlineLevel="0" collapsed="false">
      <c r="A288" s="22" t="n">
        <v>280</v>
      </c>
      <c r="B288" s="24" t="n">
        <f aca="false">EDATE(Inputs!$C$6,A288-1)</f>
        <v>54605</v>
      </c>
      <c r="C288" s="24" t="n">
        <f aca="false">EDATE(Inputs!$C$6,A288)-1</f>
        <v>54635</v>
      </c>
      <c r="D288" s="10" t="str">
        <f aca="false">IF(A288&lt;=Inputs!$C$7,"Yes","No")</f>
        <v>No</v>
      </c>
      <c r="E288" s="27" t="n">
        <f aca="false">IF(N(Inputs!$C$12)=0,1,(1+Inputs!$C$11)^INT((A288-1)/Inputs!$C$12))</f>
        <v>3.07152375591781</v>
      </c>
      <c r="F288" s="28" t="n">
        <f aca="false">IF(AND(D288="Yes",Inputs!$C$10="Advance",MOD(A288-1,Inputs!$C$22)=0),Inputs!$C$8*E288,0)</f>
        <v>0</v>
      </c>
      <c r="G288" s="28" t="n">
        <f aca="false">IF(AND(D288="Yes",Inputs!$C$10="Arrears",MOD(A288,Inputs!$C$22)=0),Inputs!$C$8*IF(N(Inputs!$C$12)=0,1,(1+Inputs!$C$11)^INT((A288-Inputs!$C$22)/Inputs!$C$12)),0)</f>
        <v>0</v>
      </c>
      <c r="H288" s="29" t="n">
        <f aca="false">1/(1+Inputs!$C$23)^(A288-1)</f>
        <v>0.121233244792484</v>
      </c>
      <c r="I288" s="29" t="n">
        <f aca="false">1/(1+Inputs!$C$23)^A288</f>
        <v>0.120319832657031</v>
      </c>
      <c r="J288" s="30" t="n">
        <f aca="false">F288*H288+G288*I288</f>
        <v>0</v>
      </c>
      <c r="K288" s="30" t="n">
        <f aca="false">M287</f>
        <v>-2.31665708150703E-009</v>
      </c>
      <c r="L288" s="30" t="n">
        <f aca="false">IF(D288="Yes",(K288-F288)*Inputs!$C$23,0)</f>
        <v>0</v>
      </c>
      <c r="M288" s="30" t="n">
        <f aca="false">K288-F288+L288-G288</f>
        <v>-2.31665708150703E-009</v>
      </c>
      <c r="N288" s="30" t="n">
        <f aca="false">F288+G288</f>
        <v>0</v>
      </c>
      <c r="O288" s="30" t="n">
        <f aca="false">N288-L288</f>
        <v>0</v>
      </c>
      <c r="P288" s="30" t="n">
        <f aca="false">R287</f>
        <v>1.30967237055302E-009</v>
      </c>
      <c r="Q288" s="30" t="n">
        <f aca="false">IF(A288&lt;=Inputs!$C$24,Inputs!$C$29/Inputs!$C$24,0)</f>
        <v>0</v>
      </c>
      <c r="R288" s="30" t="n">
        <f aca="false">P288-Q288</f>
        <v>1.30967237055302E-009</v>
      </c>
      <c r="S288" s="10" t="str">
        <f aca="false">"FY "&amp;(YEAR(B288)-(MONTH(B288)&lt;4))&amp;"-"&amp;RIGHT(YEAR(B288)-(MONTH(B288)&lt;4)+1,2)</f>
        <v>FY 2049-50</v>
      </c>
    </row>
    <row r="289" customFormat="false" ht="15" hidden="false" customHeight="false" outlineLevel="0" collapsed="false">
      <c r="A289" s="22" t="n">
        <v>281</v>
      </c>
      <c r="B289" s="24" t="n">
        <f aca="false">EDATE(Inputs!$C$6,A289-1)</f>
        <v>54636</v>
      </c>
      <c r="C289" s="24" t="n">
        <f aca="false">EDATE(Inputs!$C$6,A289)-1</f>
        <v>54666</v>
      </c>
      <c r="D289" s="10" t="str">
        <f aca="false">IF(A289&lt;=Inputs!$C$7,"Yes","No")</f>
        <v>No</v>
      </c>
      <c r="E289" s="27" t="n">
        <f aca="false">IF(N(Inputs!$C$12)=0,1,(1+Inputs!$C$11)^INT((A289-1)/Inputs!$C$12))</f>
        <v>3.07152375591781</v>
      </c>
      <c r="F289" s="28" t="n">
        <f aca="false">IF(AND(D289="Yes",Inputs!$C$10="Advance",MOD(A289-1,Inputs!$C$22)=0),Inputs!$C$8*E289,0)</f>
        <v>0</v>
      </c>
      <c r="G289" s="28" t="n">
        <f aca="false">IF(AND(D289="Yes",Inputs!$C$10="Arrears",MOD(A289,Inputs!$C$22)=0),Inputs!$C$8*IF(N(Inputs!$C$12)=0,1,(1+Inputs!$C$11)^INT((A289-Inputs!$C$22)/Inputs!$C$12)),0)</f>
        <v>0</v>
      </c>
      <c r="H289" s="29" t="n">
        <f aca="false">1/(1+Inputs!$C$23)^(A289-1)</f>
        <v>0.120319832657031</v>
      </c>
      <c r="I289" s="29" t="n">
        <f aca="false">1/(1+Inputs!$C$23)^A289</f>
        <v>0.119413302476529</v>
      </c>
      <c r="J289" s="30" t="n">
        <f aca="false">F289*H289+G289*I289</f>
        <v>0</v>
      </c>
      <c r="K289" s="30" t="n">
        <f aca="false">M288</f>
        <v>-2.31665708150703E-009</v>
      </c>
      <c r="L289" s="30" t="n">
        <f aca="false">IF(D289="Yes",(K289-F289)*Inputs!$C$23,0)</f>
        <v>0</v>
      </c>
      <c r="M289" s="30" t="n">
        <f aca="false">K289-F289+L289-G289</f>
        <v>-2.31665708150703E-009</v>
      </c>
      <c r="N289" s="30" t="n">
        <f aca="false">F289+G289</f>
        <v>0</v>
      </c>
      <c r="O289" s="30" t="n">
        <f aca="false">N289-L289</f>
        <v>0</v>
      </c>
      <c r="P289" s="30" t="n">
        <f aca="false">R288</f>
        <v>1.30967237055302E-009</v>
      </c>
      <c r="Q289" s="30" t="n">
        <f aca="false">IF(A289&lt;=Inputs!$C$24,Inputs!$C$29/Inputs!$C$24,0)</f>
        <v>0</v>
      </c>
      <c r="R289" s="30" t="n">
        <f aca="false">P289-Q289</f>
        <v>1.30967237055302E-009</v>
      </c>
      <c r="S289" s="10" t="str">
        <f aca="false">"FY "&amp;(YEAR(B289)-(MONTH(B289)&lt;4))&amp;"-"&amp;RIGHT(YEAR(B289)-(MONTH(B289)&lt;4)+1,2)</f>
        <v>FY 2049-50</v>
      </c>
    </row>
    <row r="290" customFormat="false" ht="15" hidden="false" customHeight="false" outlineLevel="0" collapsed="false">
      <c r="A290" s="22" t="n">
        <v>282</v>
      </c>
      <c r="B290" s="24" t="n">
        <f aca="false">EDATE(Inputs!$C$6,A290-1)</f>
        <v>54667</v>
      </c>
      <c r="C290" s="24" t="n">
        <f aca="false">EDATE(Inputs!$C$6,A290)-1</f>
        <v>54696</v>
      </c>
      <c r="D290" s="10" t="str">
        <f aca="false">IF(A290&lt;=Inputs!$C$7,"Yes","No")</f>
        <v>No</v>
      </c>
      <c r="E290" s="27" t="n">
        <f aca="false">IF(N(Inputs!$C$12)=0,1,(1+Inputs!$C$11)^INT((A290-1)/Inputs!$C$12))</f>
        <v>3.07152375591781</v>
      </c>
      <c r="F290" s="28" t="n">
        <f aca="false">IF(AND(D290="Yes",Inputs!$C$10="Advance",MOD(A290-1,Inputs!$C$22)=0),Inputs!$C$8*E290,0)</f>
        <v>0</v>
      </c>
      <c r="G290" s="28" t="n">
        <f aca="false">IF(AND(D290="Yes",Inputs!$C$10="Arrears",MOD(A290,Inputs!$C$22)=0),Inputs!$C$8*IF(N(Inputs!$C$12)=0,1,(1+Inputs!$C$11)^INT((A290-Inputs!$C$22)/Inputs!$C$12)),0)</f>
        <v>0</v>
      </c>
      <c r="H290" s="29" t="n">
        <f aca="false">1/(1+Inputs!$C$23)^(A290-1)</f>
        <v>0.119413302476529</v>
      </c>
      <c r="I290" s="29" t="n">
        <f aca="false">1/(1+Inputs!$C$23)^A290</f>
        <v>0.118513602400008</v>
      </c>
      <c r="J290" s="30" t="n">
        <f aca="false">F290*H290+G290*I290</f>
        <v>0</v>
      </c>
      <c r="K290" s="30" t="n">
        <f aca="false">M289</f>
        <v>-2.31665708150703E-009</v>
      </c>
      <c r="L290" s="30" t="n">
        <f aca="false">IF(D290="Yes",(K290-F290)*Inputs!$C$23,0)</f>
        <v>0</v>
      </c>
      <c r="M290" s="30" t="n">
        <f aca="false">K290-F290+L290-G290</f>
        <v>-2.31665708150703E-009</v>
      </c>
      <c r="N290" s="30" t="n">
        <f aca="false">F290+G290</f>
        <v>0</v>
      </c>
      <c r="O290" s="30" t="n">
        <f aca="false">N290-L290</f>
        <v>0</v>
      </c>
      <c r="P290" s="30" t="n">
        <f aca="false">R289</f>
        <v>1.30967237055302E-009</v>
      </c>
      <c r="Q290" s="30" t="n">
        <f aca="false">IF(A290&lt;=Inputs!$C$24,Inputs!$C$29/Inputs!$C$24,0)</f>
        <v>0</v>
      </c>
      <c r="R290" s="30" t="n">
        <f aca="false">P290-Q290</f>
        <v>1.30967237055302E-009</v>
      </c>
      <c r="S290" s="10" t="str">
        <f aca="false">"FY "&amp;(YEAR(B290)-(MONTH(B290)&lt;4))&amp;"-"&amp;RIGHT(YEAR(B290)-(MONTH(B290)&lt;4)+1,2)</f>
        <v>FY 2049-50</v>
      </c>
    </row>
    <row r="291" customFormat="false" ht="15" hidden="false" customHeight="false" outlineLevel="0" collapsed="false">
      <c r="A291" s="22" t="n">
        <v>283</v>
      </c>
      <c r="B291" s="24" t="n">
        <f aca="false">EDATE(Inputs!$C$6,A291-1)</f>
        <v>54697</v>
      </c>
      <c r="C291" s="24" t="n">
        <f aca="false">EDATE(Inputs!$C$6,A291)-1</f>
        <v>54727</v>
      </c>
      <c r="D291" s="10" t="str">
        <f aca="false">IF(A291&lt;=Inputs!$C$7,"Yes","No")</f>
        <v>No</v>
      </c>
      <c r="E291" s="27" t="n">
        <f aca="false">IF(N(Inputs!$C$12)=0,1,(1+Inputs!$C$11)^INT((A291-1)/Inputs!$C$12))</f>
        <v>3.07152375591781</v>
      </c>
      <c r="F291" s="28" t="n">
        <f aca="false">IF(AND(D291="Yes",Inputs!$C$10="Advance",MOD(A291-1,Inputs!$C$22)=0),Inputs!$C$8*E291,0)</f>
        <v>0</v>
      </c>
      <c r="G291" s="28" t="n">
        <f aca="false">IF(AND(D291="Yes",Inputs!$C$10="Arrears",MOD(A291,Inputs!$C$22)=0),Inputs!$C$8*IF(N(Inputs!$C$12)=0,1,(1+Inputs!$C$11)^INT((A291-Inputs!$C$22)/Inputs!$C$12)),0)</f>
        <v>0</v>
      </c>
      <c r="H291" s="29" t="n">
        <f aca="false">1/(1+Inputs!$C$23)^(A291-1)</f>
        <v>0.118513602400008</v>
      </c>
      <c r="I291" s="29" t="n">
        <f aca="false">1/(1+Inputs!$C$23)^A291</f>
        <v>0.117620680967164</v>
      </c>
      <c r="J291" s="30" t="n">
        <f aca="false">F291*H291+G291*I291</f>
        <v>0</v>
      </c>
      <c r="K291" s="30" t="n">
        <f aca="false">M290</f>
        <v>-2.31665708150703E-009</v>
      </c>
      <c r="L291" s="30" t="n">
        <f aca="false">IF(D291="Yes",(K291-F291)*Inputs!$C$23,0)</f>
        <v>0</v>
      </c>
      <c r="M291" s="30" t="n">
        <f aca="false">K291-F291+L291-G291</f>
        <v>-2.31665708150703E-009</v>
      </c>
      <c r="N291" s="30" t="n">
        <f aca="false">F291+G291</f>
        <v>0</v>
      </c>
      <c r="O291" s="30" t="n">
        <f aca="false">N291-L291</f>
        <v>0</v>
      </c>
      <c r="P291" s="30" t="n">
        <f aca="false">R290</f>
        <v>1.30967237055302E-009</v>
      </c>
      <c r="Q291" s="30" t="n">
        <f aca="false">IF(A291&lt;=Inputs!$C$24,Inputs!$C$29/Inputs!$C$24,0)</f>
        <v>0</v>
      </c>
      <c r="R291" s="30" t="n">
        <f aca="false">P291-Q291</f>
        <v>1.30967237055302E-009</v>
      </c>
      <c r="S291" s="10" t="str">
        <f aca="false">"FY "&amp;(YEAR(B291)-(MONTH(B291)&lt;4))&amp;"-"&amp;RIGHT(YEAR(B291)-(MONTH(B291)&lt;4)+1,2)</f>
        <v>FY 2049-50</v>
      </c>
    </row>
    <row r="292" customFormat="false" ht="15" hidden="false" customHeight="false" outlineLevel="0" collapsed="false">
      <c r="A292" s="22" t="n">
        <v>284</v>
      </c>
      <c r="B292" s="24" t="n">
        <f aca="false">EDATE(Inputs!$C$6,A292-1)</f>
        <v>54728</v>
      </c>
      <c r="C292" s="24" t="n">
        <f aca="false">EDATE(Inputs!$C$6,A292)-1</f>
        <v>54757</v>
      </c>
      <c r="D292" s="10" t="str">
        <f aca="false">IF(A292&lt;=Inputs!$C$7,"Yes","No")</f>
        <v>No</v>
      </c>
      <c r="E292" s="27" t="n">
        <f aca="false">IF(N(Inputs!$C$12)=0,1,(1+Inputs!$C$11)^INT((A292-1)/Inputs!$C$12))</f>
        <v>3.07152375591781</v>
      </c>
      <c r="F292" s="28" t="n">
        <f aca="false">IF(AND(D292="Yes",Inputs!$C$10="Advance",MOD(A292-1,Inputs!$C$22)=0),Inputs!$C$8*E292,0)</f>
        <v>0</v>
      </c>
      <c r="G292" s="28" t="n">
        <f aca="false">IF(AND(D292="Yes",Inputs!$C$10="Arrears",MOD(A292,Inputs!$C$22)=0),Inputs!$C$8*IF(N(Inputs!$C$12)=0,1,(1+Inputs!$C$11)^INT((A292-Inputs!$C$22)/Inputs!$C$12)),0)</f>
        <v>0</v>
      </c>
      <c r="H292" s="29" t="n">
        <f aca="false">1/(1+Inputs!$C$23)^(A292-1)</f>
        <v>0.117620680967164</v>
      </c>
      <c r="I292" s="29" t="n">
        <f aca="false">1/(1+Inputs!$C$23)^A292</f>
        <v>0.11673448710541</v>
      </c>
      <c r="J292" s="30" t="n">
        <f aca="false">F292*H292+G292*I292</f>
        <v>0</v>
      </c>
      <c r="K292" s="30" t="n">
        <f aca="false">M291</f>
        <v>-2.31665708150703E-009</v>
      </c>
      <c r="L292" s="30" t="n">
        <f aca="false">IF(D292="Yes",(K292-F292)*Inputs!$C$23,0)</f>
        <v>0</v>
      </c>
      <c r="M292" s="30" t="n">
        <f aca="false">K292-F292+L292-G292</f>
        <v>-2.31665708150703E-009</v>
      </c>
      <c r="N292" s="30" t="n">
        <f aca="false">F292+G292</f>
        <v>0</v>
      </c>
      <c r="O292" s="30" t="n">
        <f aca="false">N292-L292</f>
        <v>0</v>
      </c>
      <c r="P292" s="30" t="n">
        <f aca="false">R291</f>
        <v>1.30967237055302E-009</v>
      </c>
      <c r="Q292" s="30" t="n">
        <f aca="false">IF(A292&lt;=Inputs!$C$24,Inputs!$C$29/Inputs!$C$24,0)</f>
        <v>0</v>
      </c>
      <c r="R292" s="30" t="n">
        <f aca="false">P292-Q292</f>
        <v>1.30967237055302E-009</v>
      </c>
      <c r="S292" s="10" t="str">
        <f aca="false">"FY "&amp;(YEAR(B292)-(MONTH(B292)&lt;4))&amp;"-"&amp;RIGHT(YEAR(B292)-(MONTH(B292)&lt;4)+1,2)</f>
        <v>FY 2049-50</v>
      </c>
    </row>
    <row r="293" customFormat="false" ht="15" hidden="false" customHeight="false" outlineLevel="0" collapsed="false">
      <c r="A293" s="22" t="n">
        <v>285</v>
      </c>
      <c r="B293" s="24" t="n">
        <f aca="false">EDATE(Inputs!$C$6,A293-1)</f>
        <v>54758</v>
      </c>
      <c r="C293" s="24" t="n">
        <f aca="false">EDATE(Inputs!$C$6,A293)-1</f>
        <v>54788</v>
      </c>
      <c r="D293" s="10" t="str">
        <f aca="false">IF(A293&lt;=Inputs!$C$7,"Yes","No")</f>
        <v>No</v>
      </c>
      <c r="E293" s="27" t="n">
        <f aca="false">IF(N(Inputs!$C$12)=0,1,(1+Inputs!$C$11)^INT((A293-1)/Inputs!$C$12))</f>
        <v>3.07152375591781</v>
      </c>
      <c r="F293" s="28" t="n">
        <f aca="false">IF(AND(D293="Yes",Inputs!$C$10="Advance",MOD(A293-1,Inputs!$C$22)=0),Inputs!$C$8*E293,0)</f>
        <v>0</v>
      </c>
      <c r="G293" s="28" t="n">
        <f aca="false">IF(AND(D293="Yes",Inputs!$C$10="Arrears",MOD(A293,Inputs!$C$22)=0),Inputs!$C$8*IF(N(Inputs!$C$12)=0,1,(1+Inputs!$C$11)^INT((A293-Inputs!$C$22)/Inputs!$C$12)),0)</f>
        <v>0</v>
      </c>
      <c r="H293" s="29" t="n">
        <f aca="false">1/(1+Inputs!$C$23)^(A293-1)</f>
        <v>0.11673448710541</v>
      </c>
      <c r="I293" s="29" t="n">
        <f aca="false">1/(1+Inputs!$C$23)^A293</f>
        <v>0.115854970126957</v>
      </c>
      <c r="J293" s="30" t="n">
        <f aca="false">F293*H293+G293*I293</f>
        <v>0</v>
      </c>
      <c r="K293" s="30" t="n">
        <f aca="false">M292</f>
        <v>-2.31665708150703E-009</v>
      </c>
      <c r="L293" s="30" t="n">
        <f aca="false">IF(D293="Yes",(K293-F293)*Inputs!$C$23,0)</f>
        <v>0</v>
      </c>
      <c r="M293" s="30" t="n">
        <f aca="false">K293-F293+L293-G293</f>
        <v>-2.31665708150703E-009</v>
      </c>
      <c r="N293" s="30" t="n">
        <f aca="false">F293+G293</f>
        <v>0</v>
      </c>
      <c r="O293" s="30" t="n">
        <f aca="false">N293-L293</f>
        <v>0</v>
      </c>
      <c r="P293" s="30" t="n">
        <f aca="false">R292</f>
        <v>1.30967237055302E-009</v>
      </c>
      <c r="Q293" s="30" t="n">
        <f aca="false">IF(A293&lt;=Inputs!$C$24,Inputs!$C$29/Inputs!$C$24,0)</f>
        <v>0</v>
      </c>
      <c r="R293" s="30" t="n">
        <f aca="false">P293-Q293</f>
        <v>1.30967237055302E-009</v>
      </c>
      <c r="S293" s="10" t="str">
        <f aca="false">"FY "&amp;(YEAR(B293)-(MONTH(B293)&lt;4))&amp;"-"&amp;RIGHT(YEAR(B293)-(MONTH(B293)&lt;4)+1,2)</f>
        <v>FY 2049-50</v>
      </c>
    </row>
    <row r="294" customFormat="false" ht="15" hidden="false" customHeight="false" outlineLevel="0" collapsed="false">
      <c r="A294" s="22" t="n">
        <v>286</v>
      </c>
      <c r="B294" s="24" t="n">
        <f aca="false">EDATE(Inputs!$C$6,A294-1)</f>
        <v>54789</v>
      </c>
      <c r="C294" s="24" t="n">
        <f aca="false">EDATE(Inputs!$C$6,A294)-1</f>
        <v>54819</v>
      </c>
      <c r="D294" s="10" t="str">
        <f aca="false">IF(A294&lt;=Inputs!$C$7,"Yes","No")</f>
        <v>No</v>
      </c>
      <c r="E294" s="27" t="n">
        <f aca="false">IF(N(Inputs!$C$12)=0,1,(1+Inputs!$C$11)^INT((A294-1)/Inputs!$C$12))</f>
        <v>3.07152375591781</v>
      </c>
      <c r="F294" s="28" t="n">
        <f aca="false">IF(AND(D294="Yes",Inputs!$C$10="Advance",MOD(A294-1,Inputs!$C$22)=0),Inputs!$C$8*E294,0)</f>
        <v>0</v>
      </c>
      <c r="G294" s="28" t="n">
        <f aca="false">IF(AND(D294="Yes",Inputs!$C$10="Arrears",MOD(A294,Inputs!$C$22)=0),Inputs!$C$8*IF(N(Inputs!$C$12)=0,1,(1+Inputs!$C$11)^INT((A294-Inputs!$C$22)/Inputs!$C$12)),0)</f>
        <v>0</v>
      </c>
      <c r="H294" s="29" t="n">
        <f aca="false">1/(1+Inputs!$C$23)^(A294-1)</f>
        <v>0.115854970126957</v>
      </c>
      <c r="I294" s="29" t="n">
        <f aca="false">1/(1+Inputs!$C$23)^A294</f>
        <v>0.114982079725915</v>
      </c>
      <c r="J294" s="30" t="n">
        <f aca="false">F294*H294+G294*I294</f>
        <v>0</v>
      </c>
      <c r="K294" s="30" t="n">
        <f aca="false">M293</f>
        <v>-2.31665708150703E-009</v>
      </c>
      <c r="L294" s="30" t="n">
        <f aca="false">IF(D294="Yes",(K294-F294)*Inputs!$C$23,0)</f>
        <v>0</v>
      </c>
      <c r="M294" s="30" t="n">
        <f aca="false">K294-F294+L294-G294</f>
        <v>-2.31665708150703E-009</v>
      </c>
      <c r="N294" s="30" t="n">
        <f aca="false">F294+G294</f>
        <v>0</v>
      </c>
      <c r="O294" s="30" t="n">
        <f aca="false">N294-L294</f>
        <v>0</v>
      </c>
      <c r="P294" s="30" t="n">
        <f aca="false">R293</f>
        <v>1.30967237055302E-009</v>
      </c>
      <c r="Q294" s="30" t="n">
        <f aca="false">IF(A294&lt;=Inputs!$C$24,Inputs!$C$29/Inputs!$C$24,0)</f>
        <v>0</v>
      </c>
      <c r="R294" s="30" t="n">
        <f aca="false">P294-Q294</f>
        <v>1.30967237055302E-009</v>
      </c>
      <c r="S294" s="10" t="str">
        <f aca="false">"FY "&amp;(YEAR(B294)-(MONTH(B294)&lt;4))&amp;"-"&amp;RIGHT(YEAR(B294)-(MONTH(B294)&lt;4)+1,2)</f>
        <v>FY 2049-50</v>
      </c>
    </row>
    <row r="295" customFormat="false" ht="15" hidden="false" customHeight="false" outlineLevel="0" collapsed="false">
      <c r="A295" s="22" t="n">
        <v>287</v>
      </c>
      <c r="B295" s="24" t="n">
        <f aca="false">EDATE(Inputs!$C$6,A295-1)</f>
        <v>54820</v>
      </c>
      <c r="C295" s="24" t="n">
        <f aca="false">EDATE(Inputs!$C$6,A295)-1</f>
        <v>54847</v>
      </c>
      <c r="D295" s="10" t="str">
        <f aca="false">IF(A295&lt;=Inputs!$C$7,"Yes","No")</f>
        <v>No</v>
      </c>
      <c r="E295" s="27" t="n">
        <f aca="false">IF(N(Inputs!$C$12)=0,1,(1+Inputs!$C$11)^INT((A295-1)/Inputs!$C$12))</f>
        <v>3.07152375591781</v>
      </c>
      <c r="F295" s="28" t="n">
        <f aca="false">IF(AND(D295="Yes",Inputs!$C$10="Advance",MOD(A295-1,Inputs!$C$22)=0),Inputs!$C$8*E295,0)</f>
        <v>0</v>
      </c>
      <c r="G295" s="28" t="n">
        <f aca="false">IF(AND(D295="Yes",Inputs!$C$10="Arrears",MOD(A295,Inputs!$C$22)=0),Inputs!$C$8*IF(N(Inputs!$C$12)=0,1,(1+Inputs!$C$11)^INT((A295-Inputs!$C$22)/Inputs!$C$12)),0)</f>
        <v>0</v>
      </c>
      <c r="H295" s="29" t="n">
        <f aca="false">1/(1+Inputs!$C$23)^(A295-1)</f>
        <v>0.114982079725915</v>
      </c>
      <c r="I295" s="29" t="n">
        <f aca="false">1/(1+Inputs!$C$23)^A295</f>
        <v>0.114115765975417</v>
      </c>
      <c r="J295" s="30" t="n">
        <f aca="false">F295*H295+G295*I295</f>
        <v>0</v>
      </c>
      <c r="K295" s="30" t="n">
        <f aca="false">M294</f>
        <v>-2.31665708150703E-009</v>
      </c>
      <c r="L295" s="30" t="n">
        <f aca="false">IF(D295="Yes",(K295-F295)*Inputs!$C$23,0)</f>
        <v>0</v>
      </c>
      <c r="M295" s="30" t="n">
        <f aca="false">K295-F295+L295-G295</f>
        <v>-2.31665708150703E-009</v>
      </c>
      <c r="N295" s="30" t="n">
        <f aca="false">F295+G295</f>
        <v>0</v>
      </c>
      <c r="O295" s="30" t="n">
        <f aca="false">N295-L295</f>
        <v>0</v>
      </c>
      <c r="P295" s="30" t="n">
        <f aca="false">R294</f>
        <v>1.30967237055302E-009</v>
      </c>
      <c r="Q295" s="30" t="n">
        <f aca="false">IF(A295&lt;=Inputs!$C$24,Inputs!$C$29/Inputs!$C$24,0)</f>
        <v>0</v>
      </c>
      <c r="R295" s="30" t="n">
        <f aca="false">P295-Q295</f>
        <v>1.30967237055302E-009</v>
      </c>
      <c r="S295" s="10" t="str">
        <f aca="false">"FY "&amp;(YEAR(B295)-(MONTH(B295)&lt;4))&amp;"-"&amp;RIGHT(YEAR(B295)-(MONTH(B295)&lt;4)+1,2)</f>
        <v>FY 2049-50</v>
      </c>
    </row>
    <row r="296" customFormat="false" ht="15" hidden="false" customHeight="false" outlineLevel="0" collapsed="false">
      <c r="A296" s="22" t="n">
        <v>288</v>
      </c>
      <c r="B296" s="24" t="n">
        <f aca="false">EDATE(Inputs!$C$6,A296-1)</f>
        <v>54848</v>
      </c>
      <c r="C296" s="24" t="n">
        <f aca="false">EDATE(Inputs!$C$6,A296)-1</f>
        <v>54878</v>
      </c>
      <c r="D296" s="10" t="str">
        <f aca="false">IF(A296&lt;=Inputs!$C$7,"Yes","No")</f>
        <v>No</v>
      </c>
      <c r="E296" s="27" t="n">
        <f aca="false">IF(N(Inputs!$C$12)=0,1,(1+Inputs!$C$11)^INT((A296-1)/Inputs!$C$12))</f>
        <v>3.07152375591781</v>
      </c>
      <c r="F296" s="28" t="n">
        <f aca="false">IF(AND(D296="Yes",Inputs!$C$10="Advance",MOD(A296-1,Inputs!$C$22)=0),Inputs!$C$8*E296,0)</f>
        <v>0</v>
      </c>
      <c r="G296" s="28" t="n">
        <f aca="false">IF(AND(D296="Yes",Inputs!$C$10="Arrears",MOD(A296,Inputs!$C$22)=0),Inputs!$C$8*IF(N(Inputs!$C$12)=0,1,(1+Inputs!$C$11)^INT((A296-Inputs!$C$22)/Inputs!$C$12)),0)</f>
        <v>0</v>
      </c>
      <c r="H296" s="29" t="n">
        <f aca="false">1/(1+Inputs!$C$23)^(A296-1)</f>
        <v>0.114115765975417</v>
      </c>
      <c r="I296" s="29" t="n">
        <f aca="false">1/(1+Inputs!$C$23)^A296</f>
        <v>0.113255979324759</v>
      </c>
      <c r="J296" s="30" t="n">
        <f aca="false">F296*H296+G296*I296</f>
        <v>0</v>
      </c>
      <c r="K296" s="30" t="n">
        <f aca="false">M295</f>
        <v>-2.31665708150703E-009</v>
      </c>
      <c r="L296" s="30" t="n">
        <f aca="false">IF(D296="Yes",(K296-F296)*Inputs!$C$23,0)</f>
        <v>0</v>
      </c>
      <c r="M296" s="30" t="n">
        <f aca="false">K296-F296+L296-G296</f>
        <v>-2.31665708150703E-009</v>
      </c>
      <c r="N296" s="30" t="n">
        <f aca="false">F296+G296</f>
        <v>0</v>
      </c>
      <c r="O296" s="30" t="n">
        <f aca="false">N296-L296</f>
        <v>0</v>
      </c>
      <c r="P296" s="30" t="n">
        <f aca="false">R295</f>
        <v>1.30967237055302E-009</v>
      </c>
      <c r="Q296" s="30" t="n">
        <f aca="false">IF(A296&lt;=Inputs!$C$24,Inputs!$C$29/Inputs!$C$24,0)</f>
        <v>0</v>
      </c>
      <c r="R296" s="30" t="n">
        <f aca="false">P296-Q296</f>
        <v>1.30967237055302E-009</v>
      </c>
      <c r="S296" s="10" t="str">
        <f aca="false">"FY "&amp;(YEAR(B296)-(MONTH(B296)&lt;4))&amp;"-"&amp;RIGHT(YEAR(B296)-(MONTH(B296)&lt;4)+1,2)</f>
        <v>FY 2049-50</v>
      </c>
    </row>
    <row r="297" customFormat="false" ht="15" hidden="false" customHeight="false" outlineLevel="0" collapsed="false">
      <c r="A297" s="22" t="n">
        <v>289</v>
      </c>
      <c r="B297" s="24" t="n">
        <f aca="false">EDATE(Inputs!$C$6,A297-1)</f>
        <v>54879</v>
      </c>
      <c r="C297" s="24" t="n">
        <f aca="false">EDATE(Inputs!$C$6,A297)-1</f>
        <v>54908</v>
      </c>
      <c r="D297" s="10" t="str">
        <f aca="false">IF(A297&lt;=Inputs!$C$7,"Yes","No")</f>
        <v>No</v>
      </c>
      <c r="E297" s="27" t="n">
        <f aca="false">IF(N(Inputs!$C$12)=0,1,(1+Inputs!$C$11)^INT((A297-1)/Inputs!$C$12))</f>
        <v>3.2250999437137</v>
      </c>
      <c r="F297" s="28" t="n">
        <f aca="false">IF(AND(D297="Yes",Inputs!$C$10="Advance",MOD(A297-1,Inputs!$C$22)=0),Inputs!$C$8*E297,0)</f>
        <v>0</v>
      </c>
      <c r="G297" s="28" t="n">
        <f aca="false">IF(AND(D297="Yes",Inputs!$C$10="Arrears",MOD(A297,Inputs!$C$22)=0),Inputs!$C$8*IF(N(Inputs!$C$12)=0,1,(1+Inputs!$C$11)^INT((A297-Inputs!$C$22)/Inputs!$C$12)),0)</f>
        <v>0</v>
      </c>
      <c r="H297" s="29" t="n">
        <f aca="false">1/(1+Inputs!$C$23)^(A297-1)</f>
        <v>0.113255979324759</v>
      </c>
      <c r="I297" s="29" t="n">
        <f aca="false">1/(1+Inputs!$C$23)^A297</f>
        <v>0.112402670596572</v>
      </c>
      <c r="J297" s="30" t="n">
        <f aca="false">F297*H297+G297*I297</f>
        <v>0</v>
      </c>
      <c r="K297" s="30" t="n">
        <f aca="false">M296</f>
        <v>-2.31665708150703E-009</v>
      </c>
      <c r="L297" s="30" t="n">
        <f aca="false">IF(D297="Yes",(K297-F297)*Inputs!$C$23,0)</f>
        <v>0</v>
      </c>
      <c r="M297" s="30" t="n">
        <f aca="false">K297-F297+L297-G297</f>
        <v>-2.31665708150703E-009</v>
      </c>
      <c r="N297" s="30" t="n">
        <f aca="false">F297+G297</f>
        <v>0</v>
      </c>
      <c r="O297" s="30" t="n">
        <f aca="false">N297-L297</f>
        <v>0</v>
      </c>
      <c r="P297" s="30" t="n">
        <f aca="false">R296</f>
        <v>1.30967237055302E-009</v>
      </c>
      <c r="Q297" s="30" t="n">
        <f aca="false">IF(A297&lt;=Inputs!$C$24,Inputs!$C$29/Inputs!$C$24,0)</f>
        <v>0</v>
      </c>
      <c r="R297" s="30" t="n">
        <f aca="false">P297-Q297</f>
        <v>1.30967237055302E-009</v>
      </c>
      <c r="S297" s="10" t="str">
        <f aca="false">"FY "&amp;(YEAR(B297)-(MONTH(B297)&lt;4))&amp;"-"&amp;RIGHT(YEAR(B297)-(MONTH(B297)&lt;4)+1,2)</f>
        <v>FY 2050-51</v>
      </c>
    </row>
    <row r="298" customFormat="false" ht="15" hidden="false" customHeight="false" outlineLevel="0" collapsed="false">
      <c r="A298" s="22" t="n">
        <v>290</v>
      </c>
      <c r="B298" s="24" t="n">
        <f aca="false">EDATE(Inputs!$C$6,A298-1)</f>
        <v>54909</v>
      </c>
      <c r="C298" s="24" t="n">
        <f aca="false">EDATE(Inputs!$C$6,A298)-1</f>
        <v>54939</v>
      </c>
      <c r="D298" s="10" t="str">
        <f aca="false">IF(A298&lt;=Inputs!$C$7,"Yes","No")</f>
        <v>No</v>
      </c>
      <c r="E298" s="27" t="n">
        <f aca="false">IF(N(Inputs!$C$12)=0,1,(1+Inputs!$C$11)^INT((A298-1)/Inputs!$C$12))</f>
        <v>3.2250999437137</v>
      </c>
      <c r="F298" s="28" t="n">
        <f aca="false">IF(AND(D298="Yes",Inputs!$C$10="Advance",MOD(A298-1,Inputs!$C$22)=0),Inputs!$C$8*E298,0)</f>
        <v>0</v>
      </c>
      <c r="G298" s="28" t="n">
        <f aca="false">IF(AND(D298="Yes",Inputs!$C$10="Arrears",MOD(A298,Inputs!$C$22)=0),Inputs!$C$8*IF(N(Inputs!$C$12)=0,1,(1+Inputs!$C$11)^INT((A298-Inputs!$C$22)/Inputs!$C$12)),0)</f>
        <v>0</v>
      </c>
      <c r="H298" s="29" t="n">
        <f aca="false">1/(1+Inputs!$C$23)^(A298-1)</f>
        <v>0.112402670596572</v>
      </c>
      <c r="I298" s="29" t="n">
        <f aca="false">1/(1+Inputs!$C$23)^A298</f>
        <v>0.111555790984004</v>
      </c>
      <c r="J298" s="30" t="n">
        <f aca="false">F298*H298+G298*I298</f>
        <v>0</v>
      </c>
      <c r="K298" s="30" t="n">
        <f aca="false">M297</f>
        <v>-2.31665708150703E-009</v>
      </c>
      <c r="L298" s="30" t="n">
        <f aca="false">IF(D298="Yes",(K298-F298)*Inputs!$C$23,0)</f>
        <v>0</v>
      </c>
      <c r="M298" s="30" t="n">
        <f aca="false">K298-F298+L298-G298</f>
        <v>-2.31665708150703E-009</v>
      </c>
      <c r="N298" s="30" t="n">
        <f aca="false">F298+G298</f>
        <v>0</v>
      </c>
      <c r="O298" s="30" t="n">
        <f aca="false">N298-L298</f>
        <v>0</v>
      </c>
      <c r="P298" s="30" t="n">
        <f aca="false">R297</f>
        <v>1.30967237055302E-009</v>
      </c>
      <c r="Q298" s="30" t="n">
        <f aca="false">IF(A298&lt;=Inputs!$C$24,Inputs!$C$29/Inputs!$C$24,0)</f>
        <v>0</v>
      </c>
      <c r="R298" s="30" t="n">
        <f aca="false">P298-Q298</f>
        <v>1.30967237055302E-009</v>
      </c>
      <c r="S298" s="10" t="str">
        <f aca="false">"FY "&amp;(YEAR(B298)-(MONTH(B298)&lt;4))&amp;"-"&amp;RIGHT(YEAR(B298)-(MONTH(B298)&lt;4)+1,2)</f>
        <v>FY 2050-51</v>
      </c>
    </row>
    <row r="299" customFormat="false" ht="15" hidden="false" customHeight="false" outlineLevel="0" collapsed="false">
      <c r="A299" s="22" t="n">
        <v>291</v>
      </c>
      <c r="B299" s="24" t="n">
        <f aca="false">EDATE(Inputs!$C$6,A299-1)</f>
        <v>54940</v>
      </c>
      <c r="C299" s="24" t="n">
        <f aca="false">EDATE(Inputs!$C$6,A299)-1</f>
        <v>54969</v>
      </c>
      <c r="D299" s="10" t="str">
        <f aca="false">IF(A299&lt;=Inputs!$C$7,"Yes","No")</f>
        <v>No</v>
      </c>
      <c r="E299" s="27" t="n">
        <f aca="false">IF(N(Inputs!$C$12)=0,1,(1+Inputs!$C$11)^INT((A299-1)/Inputs!$C$12))</f>
        <v>3.2250999437137</v>
      </c>
      <c r="F299" s="28" t="n">
        <f aca="false">IF(AND(D299="Yes",Inputs!$C$10="Advance",MOD(A299-1,Inputs!$C$22)=0),Inputs!$C$8*E299,0)</f>
        <v>0</v>
      </c>
      <c r="G299" s="28" t="n">
        <f aca="false">IF(AND(D299="Yes",Inputs!$C$10="Arrears",MOD(A299,Inputs!$C$22)=0),Inputs!$C$8*IF(N(Inputs!$C$12)=0,1,(1+Inputs!$C$11)^INT((A299-Inputs!$C$22)/Inputs!$C$12)),0)</f>
        <v>0</v>
      </c>
      <c r="H299" s="29" t="n">
        <f aca="false">1/(1+Inputs!$C$23)^(A299-1)</f>
        <v>0.111555790984004</v>
      </c>
      <c r="I299" s="29" t="n">
        <f aca="false">1/(1+Inputs!$C$23)^A299</f>
        <v>0.110715292047931</v>
      </c>
      <c r="J299" s="30" t="n">
        <f aca="false">F299*H299+G299*I299</f>
        <v>0</v>
      </c>
      <c r="K299" s="30" t="n">
        <f aca="false">M298</f>
        <v>-2.31665708150703E-009</v>
      </c>
      <c r="L299" s="30" t="n">
        <f aca="false">IF(D299="Yes",(K299-F299)*Inputs!$C$23,0)</f>
        <v>0</v>
      </c>
      <c r="M299" s="30" t="n">
        <f aca="false">K299-F299+L299-G299</f>
        <v>-2.31665708150703E-009</v>
      </c>
      <c r="N299" s="30" t="n">
        <f aca="false">F299+G299</f>
        <v>0</v>
      </c>
      <c r="O299" s="30" t="n">
        <f aca="false">N299-L299</f>
        <v>0</v>
      </c>
      <c r="P299" s="30" t="n">
        <f aca="false">R298</f>
        <v>1.30967237055302E-009</v>
      </c>
      <c r="Q299" s="30" t="n">
        <f aca="false">IF(A299&lt;=Inputs!$C$24,Inputs!$C$29/Inputs!$C$24,0)</f>
        <v>0</v>
      </c>
      <c r="R299" s="30" t="n">
        <f aca="false">P299-Q299</f>
        <v>1.30967237055302E-009</v>
      </c>
      <c r="S299" s="10" t="str">
        <f aca="false">"FY "&amp;(YEAR(B299)-(MONTH(B299)&lt;4))&amp;"-"&amp;RIGHT(YEAR(B299)-(MONTH(B299)&lt;4)+1,2)</f>
        <v>FY 2050-51</v>
      </c>
    </row>
    <row r="300" customFormat="false" ht="15" hidden="false" customHeight="false" outlineLevel="0" collapsed="false">
      <c r="A300" s="22" t="n">
        <v>292</v>
      </c>
      <c r="B300" s="24" t="n">
        <f aca="false">EDATE(Inputs!$C$6,A300-1)</f>
        <v>54970</v>
      </c>
      <c r="C300" s="24" t="n">
        <f aca="false">EDATE(Inputs!$C$6,A300)-1</f>
        <v>55000</v>
      </c>
      <c r="D300" s="10" t="str">
        <f aca="false">IF(A300&lt;=Inputs!$C$7,"Yes","No")</f>
        <v>No</v>
      </c>
      <c r="E300" s="27" t="n">
        <f aca="false">IF(N(Inputs!$C$12)=0,1,(1+Inputs!$C$11)^INT((A300-1)/Inputs!$C$12))</f>
        <v>3.2250999437137</v>
      </c>
      <c r="F300" s="28" t="n">
        <f aca="false">IF(AND(D300="Yes",Inputs!$C$10="Advance",MOD(A300-1,Inputs!$C$22)=0),Inputs!$C$8*E300,0)</f>
        <v>0</v>
      </c>
      <c r="G300" s="28" t="n">
        <f aca="false">IF(AND(D300="Yes",Inputs!$C$10="Arrears",MOD(A300,Inputs!$C$22)=0),Inputs!$C$8*IF(N(Inputs!$C$12)=0,1,(1+Inputs!$C$11)^INT((A300-Inputs!$C$22)/Inputs!$C$12)),0)</f>
        <v>0</v>
      </c>
      <c r="H300" s="29" t="n">
        <f aca="false">1/(1+Inputs!$C$23)^(A300-1)</f>
        <v>0.110715292047931</v>
      </c>
      <c r="I300" s="29" t="n">
        <f aca="false">1/(1+Inputs!$C$23)^A300</f>
        <v>0.109881125714183</v>
      </c>
      <c r="J300" s="30" t="n">
        <f aca="false">F300*H300+G300*I300</f>
        <v>0</v>
      </c>
      <c r="K300" s="30" t="n">
        <f aca="false">M299</f>
        <v>-2.31665708150703E-009</v>
      </c>
      <c r="L300" s="30" t="n">
        <f aca="false">IF(D300="Yes",(K300-F300)*Inputs!$C$23,0)</f>
        <v>0</v>
      </c>
      <c r="M300" s="30" t="n">
        <f aca="false">K300-F300+L300-G300</f>
        <v>-2.31665708150703E-009</v>
      </c>
      <c r="N300" s="30" t="n">
        <f aca="false">F300+G300</f>
        <v>0</v>
      </c>
      <c r="O300" s="30" t="n">
        <f aca="false">N300-L300</f>
        <v>0</v>
      </c>
      <c r="P300" s="30" t="n">
        <f aca="false">R299</f>
        <v>1.30967237055302E-009</v>
      </c>
      <c r="Q300" s="30" t="n">
        <f aca="false">IF(A300&lt;=Inputs!$C$24,Inputs!$C$29/Inputs!$C$24,0)</f>
        <v>0</v>
      </c>
      <c r="R300" s="30" t="n">
        <f aca="false">P300-Q300</f>
        <v>1.30967237055302E-009</v>
      </c>
      <c r="S300" s="10" t="str">
        <f aca="false">"FY "&amp;(YEAR(B300)-(MONTH(B300)&lt;4))&amp;"-"&amp;RIGHT(YEAR(B300)-(MONTH(B300)&lt;4)+1,2)</f>
        <v>FY 2050-51</v>
      </c>
    </row>
    <row r="301" customFormat="false" ht="15" hidden="false" customHeight="false" outlineLevel="0" collapsed="false">
      <c r="A301" s="22" t="n">
        <v>293</v>
      </c>
      <c r="B301" s="24" t="n">
        <f aca="false">EDATE(Inputs!$C$6,A301-1)</f>
        <v>55001</v>
      </c>
      <c r="C301" s="24" t="n">
        <f aca="false">EDATE(Inputs!$C$6,A301)-1</f>
        <v>55031</v>
      </c>
      <c r="D301" s="10" t="str">
        <f aca="false">IF(A301&lt;=Inputs!$C$7,"Yes","No")</f>
        <v>No</v>
      </c>
      <c r="E301" s="27" t="n">
        <f aca="false">IF(N(Inputs!$C$12)=0,1,(1+Inputs!$C$11)^INT((A301-1)/Inputs!$C$12))</f>
        <v>3.2250999437137</v>
      </c>
      <c r="F301" s="28" t="n">
        <f aca="false">IF(AND(D301="Yes",Inputs!$C$10="Advance",MOD(A301-1,Inputs!$C$22)=0),Inputs!$C$8*E301,0)</f>
        <v>0</v>
      </c>
      <c r="G301" s="28" t="n">
        <f aca="false">IF(AND(D301="Yes",Inputs!$C$10="Arrears",MOD(A301,Inputs!$C$22)=0),Inputs!$C$8*IF(N(Inputs!$C$12)=0,1,(1+Inputs!$C$11)^INT((A301-Inputs!$C$22)/Inputs!$C$12)),0)</f>
        <v>0</v>
      </c>
      <c r="H301" s="29" t="n">
        <f aca="false">1/(1+Inputs!$C$23)^(A301-1)</f>
        <v>0.109881125714183</v>
      </c>
      <c r="I301" s="29" t="n">
        <f aca="false">1/(1+Inputs!$C$23)^A301</f>
        <v>0.109053244270802</v>
      </c>
      <c r="J301" s="30" t="n">
        <f aca="false">F301*H301+G301*I301</f>
        <v>0</v>
      </c>
      <c r="K301" s="30" t="n">
        <f aca="false">M300</f>
        <v>-2.31665708150703E-009</v>
      </c>
      <c r="L301" s="30" t="n">
        <f aca="false">IF(D301="Yes",(K301-F301)*Inputs!$C$23,0)</f>
        <v>0</v>
      </c>
      <c r="M301" s="30" t="n">
        <f aca="false">K301-F301+L301-G301</f>
        <v>-2.31665708150703E-009</v>
      </c>
      <c r="N301" s="30" t="n">
        <f aca="false">F301+G301</f>
        <v>0</v>
      </c>
      <c r="O301" s="30" t="n">
        <f aca="false">N301-L301</f>
        <v>0</v>
      </c>
      <c r="P301" s="30" t="n">
        <f aca="false">R300</f>
        <v>1.30967237055302E-009</v>
      </c>
      <c r="Q301" s="30" t="n">
        <f aca="false">IF(A301&lt;=Inputs!$C$24,Inputs!$C$29/Inputs!$C$24,0)</f>
        <v>0</v>
      </c>
      <c r="R301" s="30" t="n">
        <f aca="false">P301-Q301</f>
        <v>1.30967237055302E-009</v>
      </c>
      <c r="S301" s="10" t="str">
        <f aca="false">"FY "&amp;(YEAR(B301)-(MONTH(B301)&lt;4))&amp;"-"&amp;RIGHT(YEAR(B301)-(MONTH(B301)&lt;4)+1,2)</f>
        <v>FY 2050-51</v>
      </c>
    </row>
    <row r="302" customFormat="false" ht="15" hidden="false" customHeight="false" outlineLevel="0" collapsed="false">
      <c r="A302" s="22" t="n">
        <v>294</v>
      </c>
      <c r="B302" s="24" t="n">
        <f aca="false">EDATE(Inputs!$C$6,A302-1)</f>
        <v>55032</v>
      </c>
      <c r="C302" s="24" t="n">
        <f aca="false">EDATE(Inputs!$C$6,A302)-1</f>
        <v>55061</v>
      </c>
      <c r="D302" s="10" t="str">
        <f aca="false">IF(A302&lt;=Inputs!$C$7,"Yes","No")</f>
        <v>No</v>
      </c>
      <c r="E302" s="27" t="n">
        <f aca="false">IF(N(Inputs!$C$12)=0,1,(1+Inputs!$C$11)^INT((A302-1)/Inputs!$C$12))</f>
        <v>3.2250999437137</v>
      </c>
      <c r="F302" s="28" t="n">
        <f aca="false">IF(AND(D302="Yes",Inputs!$C$10="Advance",MOD(A302-1,Inputs!$C$22)=0),Inputs!$C$8*E302,0)</f>
        <v>0</v>
      </c>
      <c r="G302" s="28" t="n">
        <f aca="false">IF(AND(D302="Yes",Inputs!$C$10="Arrears",MOD(A302,Inputs!$C$22)=0),Inputs!$C$8*IF(N(Inputs!$C$12)=0,1,(1+Inputs!$C$11)^INT((A302-Inputs!$C$22)/Inputs!$C$12)),0)</f>
        <v>0</v>
      </c>
      <c r="H302" s="29" t="n">
        <f aca="false">1/(1+Inputs!$C$23)^(A302-1)</f>
        <v>0.109053244270802</v>
      </c>
      <c r="I302" s="29" t="n">
        <f aca="false">1/(1+Inputs!$C$23)^A302</f>
        <v>0.108231600365305</v>
      </c>
      <c r="J302" s="30" t="n">
        <f aca="false">F302*H302+G302*I302</f>
        <v>0</v>
      </c>
      <c r="K302" s="30" t="n">
        <f aca="false">M301</f>
        <v>-2.31665708150703E-009</v>
      </c>
      <c r="L302" s="30" t="n">
        <f aca="false">IF(D302="Yes",(K302-F302)*Inputs!$C$23,0)</f>
        <v>0</v>
      </c>
      <c r="M302" s="30" t="n">
        <f aca="false">K302-F302+L302-G302</f>
        <v>-2.31665708150703E-009</v>
      </c>
      <c r="N302" s="30" t="n">
        <f aca="false">F302+G302</f>
        <v>0</v>
      </c>
      <c r="O302" s="30" t="n">
        <f aca="false">N302-L302</f>
        <v>0</v>
      </c>
      <c r="P302" s="30" t="n">
        <f aca="false">R301</f>
        <v>1.30967237055302E-009</v>
      </c>
      <c r="Q302" s="30" t="n">
        <f aca="false">IF(A302&lt;=Inputs!$C$24,Inputs!$C$29/Inputs!$C$24,0)</f>
        <v>0</v>
      </c>
      <c r="R302" s="30" t="n">
        <f aca="false">P302-Q302</f>
        <v>1.30967237055302E-009</v>
      </c>
      <c r="S302" s="10" t="str">
        <f aca="false">"FY "&amp;(YEAR(B302)-(MONTH(B302)&lt;4))&amp;"-"&amp;RIGHT(YEAR(B302)-(MONTH(B302)&lt;4)+1,2)</f>
        <v>FY 2050-51</v>
      </c>
    </row>
    <row r="303" customFormat="false" ht="15" hidden="false" customHeight="false" outlineLevel="0" collapsed="false">
      <c r="A303" s="22" t="n">
        <v>295</v>
      </c>
      <c r="B303" s="24" t="n">
        <f aca="false">EDATE(Inputs!$C$6,A303-1)</f>
        <v>55062</v>
      </c>
      <c r="C303" s="24" t="n">
        <f aca="false">EDATE(Inputs!$C$6,A303)-1</f>
        <v>55092</v>
      </c>
      <c r="D303" s="10" t="str">
        <f aca="false">IF(A303&lt;=Inputs!$C$7,"Yes","No")</f>
        <v>No</v>
      </c>
      <c r="E303" s="27" t="n">
        <f aca="false">IF(N(Inputs!$C$12)=0,1,(1+Inputs!$C$11)^INT((A303-1)/Inputs!$C$12))</f>
        <v>3.2250999437137</v>
      </c>
      <c r="F303" s="28" t="n">
        <f aca="false">IF(AND(D303="Yes",Inputs!$C$10="Advance",MOD(A303-1,Inputs!$C$22)=0),Inputs!$C$8*E303,0)</f>
        <v>0</v>
      </c>
      <c r="G303" s="28" t="n">
        <f aca="false">IF(AND(D303="Yes",Inputs!$C$10="Arrears",MOD(A303,Inputs!$C$22)=0),Inputs!$C$8*IF(N(Inputs!$C$12)=0,1,(1+Inputs!$C$11)^INT((A303-Inputs!$C$22)/Inputs!$C$12)),0)</f>
        <v>0</v>
      </c>
      <c r="H303" s="29" t="n">
        <f aca="false">1/(1+Inputs!$C$23)^(A303-1)</f>
        <v>0.108231600365305</v>
      </c>
      <c r="I303" s="29" t="n">
        <f aca="false">1/(1+Inputs!$C$23)^A303</f>
        <v>0.107416147001977</v>
      </c>
      <c r="J303" s="30" t="n">
        <f aca="false">F303*H303+G303*I303</f>
        <v>0</v>
      </c>
      <c r="K303" s="30" t="n">
        <f aca="false">M302</f>
        <v>-2.31665708150703E-009</v>
      </c>
      <c r="L303" s="30" t="n">
        <f aca="false">IF(D303="Yes",(K303-F303)*Inputs!$C$23,0)</f>
        <v>0</v>
      </c>
      <c r="M303" s="30" t="n">
        <f aca="false">K303-F303+L303-G303</f>
        <v>-2.31665708150703E-009</v>
      </c>
      <c r="N303" s="30" t="n">
        <f aca="false">F303+G303</f>
        <v>0</v>
      </c>
      <c r="O303" s="30" t="n">
        <f aca="false">N303-L303</f>
        <v>0</v>
      </c>
      <c r="P303" s="30" t="n">
        <f aca="false">R302</f>
        <v>1.30967237055302E-009</v>
      </c>
      <c r="Q303" s="30" t="n">
        <f aca="false">IF(A303&lt;=Inputs!$C$24,Inputs!$C$29/Inputs!$C$24,0)</f>
        <v>0</v>
      </c>
      <c r="R303" s="30" t="n">
        <f aca="false">P303-Q303</f>
        <v>1.30967237055302E-009</v>
      </c>
      <c r="S303" s="10" t="str">
        <f aca="false">"FY "&amp;(YEAR(B303)-(MONTH(B303)&lt;4))&amp;"-"&amp;RIGHT(YEAR(B303)-(MONTH(B303)&lt;4)+1,2)</f>
        <v>FY 2050-51</v>
      </c>
    </row>
    <row r="304" customFormat="false" ht="15" hidden="false" customHeight="false" outlineLevel="0" collapsed="false">
      <c r="A304" s="22" t="n">
        <v>296</v>
      </c>
      <c r="B304" s="24" t="n">
        <f aca="false">EDATE(Inputs!$C$6,A304-1)</f>
        <v>55093</v>
      </c>
      <c r="C304" s="24" t="n">
        <f aca="false">EDATE(Inputs!$C$6,A304)-1</f>
        <v>55122</v>
      </c>
      <c r="D304" s="10" t="str">
        <f aca="false">IF(A304&lt;=Inputs!$C$7,"Yes","No")</f>
        <v>No</v>
      </c>
      <c r="E304" s="27" t="n">
        <f aca="false">IF(N(Inputs!$C$12)=0,1,(1+Inputs!$C$11)^INT((A304-1)/Inputs!$C$12))</f>
        <v>3.2250999437137</v>
      </c>
      <c r="F304" s="28" t="n">
        <f aca="false">IF(AND(D304="Yes",Inputs!$C$10="Advance",MOD(A304-1,Inputs!$C$22)=0),Inputs!$C$8*E304,0)</f>
        <v>0</v>
      </c>
      <c r="G304" s="28" t="n">
        <f aca="false">IF(AND(D304="Yes",Inputs!$C$10="Arrears",MOD(A304,Inputs!$C$22)=0),Inputs!$C$8*IF(N(Inputs!$C$12)=0,1,(1+Inputs!$C$11)^INT((A304-Inputs!$C$22)/Inputs!$C$12)),0)</f>
        <v>0</v>
      </c>
      <c r="H304" s="29" t="n">
        <f aca="false">1/(1+Inputs!$C$23)^(A304-1)</f>
        <v>0.107416147001977</v>
      </c>
      <c r="I304" s="29" t="n">
        <f aca="false">1/(1+Inputs!$C$23)^A304</f>
        <v>0.106606837539188</v>
      </c>
      <c r="J304" s="30" t="n">
        <f aca="false">F304*H304+G304*I304</f>
        <v>0</v>
      </c>
      <c r="K304" s="30" t="n">
        <f aca="false">M303</f>
        <v>-2.31665708150703E-009</v>
      </c>
      <c r="L304" s="30" t="n">
        <f aca="false">IF(D304="Yes",(K304-F304)*Inputs!$C$23,0)</f>
        <v>0</v>
      </c>
      <c r="M304" s="30" t="n">
        <f aca="false">K304-F304+L304-G304</f>
        <v>-2.31665708150703E-009</v>
      </c>
      <c r="N304" s="30" t="n">
        <f aca="false">F304+G304</f>
        <v>0</v>
      </c>
      <c r="O304" s="30" t="n">
        <f aca="false">N304-L304</f>
        <v>0</v>
      </c>
      <c r="P304" s="30" t="n">
        <f aca="false">R303</f>
        <v>1.30967237055302E-009</v>
      </c>
      <c r="Q304" s="30" t="n">
        <f aca="false">IF(A304&lt;=Inputs!$C$24,Inputs!$C$29/Inputs!$C$24,0)</f>
        <v>0</v>
      </c>
      <c r="R304" s="30" t="n">
        <f aca="false">P304-Q304</f>
        <v>1.30967237055302E-009</v>
      </c>
      <c r="S304" s="10" t="str">
        <f aca="false">"FY "&amp;(YEAR(B304)-(MONTH(B304)&lt;4))&amp;"-"&amp;RIGHT(YEAR(B304)-(MONTH(B304)&lt;4)+1,2)</f>
        <v>FY 2050-51</v>
      </c>
    </row>
    <row r="305" customFormat="false" ht="15" hidden="false" customHeight="false" outlineLevel="0" collapsed="false">
      <c r="A305" s="22" t="n">
        <v>297</v>
      </c>
      <c r="B305" s="24" t="n">
        <f aca="false">EDATE(Inputs!$C$6,A305-1)</f>
        <v>55123</v>
      </c>
      <c r="C305" s="24" t="n">
        <f aca="false">EDATE(Inputs!$C$6,A305)-1</f>
        <v>55153</v>
      </c>
      <c r="D305" s="10" t="str">
        <f aca="false">IF(A305&lt;=Inputs!$C$7,"Yes","No")</f>
        <v>No</v>
      </c>
      <c r="E305" s="27" t="n">
        <f aca="false">IF(N(Inputs!$C$12)=0,1,(1+Inputs!$C$11)^INT((A305-1)/Inputs!$C$12))</f>
        <v>3.2250999437137</v>
      </c>
      <c r="F305" s="28" t="n">
        <f aca="false">IF(AND(D305="Yes",Inputs!$C$10="Advance",MOD(A305-1,Inputs!$C$22)=0),Inputs!$C$8*E305,0)</f>
        <v>0</v>
      </c>
      <c r="G305" s="28" t="n">
        <f aca="false">IF(AND(D305="Yes",Inputs!$C$10="Arrears",MOD(A305,Inputs!$C$22)=0),Inputs!$C$8*IF(N(Inputs!$C$12)=0,1,(1+Inputs!$C$11)^INT((A305-Inputs!$C$22)/Inputs!$C$12)),0)</f>
        <v>0</v>
      </c>
      <c r="H305" s="29" t="n">
        <f aca="false">1/(1+Inputs!$C$23)^(A305-1)</f>
        <v>0.106606837539188</v>
      </c>
      <c r="I305" s="29" t="n">
        <f aca="false">1/(1+Inputs!$C$23)^A305</f>
        <v>0.105803625686719</v>
      </c>
      <c r="J305" s="30" t="n">
        <f aca="false">F305*H305+G305*I305</f>
        <v>0</v>
      </c>
      <c r="K305" s="30" t="n">
        <f aca="false">M304</f>
        <v>-2.31665708150703E-009</v>
      </c>
      <c r="L305" s="30" t="n">
        <f aca="false">IF(D305="Yes",(K305-F305)*Inputs!$C$23,0)</f>
        <v>0</v>
      </c>
      <c r="M305" s="30" t="n">
        <f aca="false">K305-F305+L305-G305</f>
        <v>-2.31665708150703E-009</v>
      </c>
      <c r="N305" s="30" t="n">
        <f aca="false">F305+G305</f>
        <v>0</v>
      </c>
      <c r="O305" s="30" t="n">
        <f aca="false">N305-L305</f>
        <v>0</v>
      </c>
      <c r="P305" s="30" t="n">
        <f aca="false">R304</f>
        <v>1.30967237055302E-009</v>
      </c>
      <c r="Q305" s="30" t="n">
        <f aca="false">IF(A305&lt;=Inputs!$C$24,Inputs!$C$29/Inputs!$C$24,0)</f>
        <v>0</v>
      </c>
      <c r="R305" s="30" t="n">
        <f aca="false">P305-Q305</f>
        <v>1.30967237055302E-009</v>
      </c>
      <c r="S305" s="10" t="str">
        <f aca="false">"FY "&amp;(YEAR(B305)-(MONTH(B305)&lt;4))&amp;"-"&amp;RIGHT(YEAR(B305)-(MONTH(B305)&lt;4)+1,2)</f>
        <v>FY 2050-51</v>
      </c>
    </row>
    <row r="306" customFormat="false" ht="15" hidden="false" customHeight="false" outlineLevel="0" collapsed="false">
      <c r="A306" s="22" t="n">
        <v>298</v>
      </c>
      <c r="B306" s="24" t="n">
        <f aca="false">EDATE(Inputs!$C$6,A306-1)</f>
        <v>55154</v>
      </c>
      <c r="C306" s="24" t="n">
        <f aca="false">EDATE(Inputs!$C$6,A306)-1</f>
        <v>55184</v>
      </c>
      <c r="D306" s="10" t="str">
        <f aca="false">IF(A306&lt;=Inputs!$C$7,"Yes","No")</f>
        <v>No</v>
      </c>
      <c r="E306" s="27" t="n">
        <f aca="false">IF(N(Inputs!$C$12)=0,1,(1+Inputs!$C$11)^INT((A306-1)/Inputs!$C$12))</f>
        <v>3.2250999437137</v>
      </c>
      <c r="F306" s="28" t="n">
        <f aca="false">IF(AND(D306="Yes",Inputs!$C$10="Advance",MOD(A306-1,Inputs!$C$22)=0),Inputs!$C$8*E306,0)</f>
        <v>0</v>
      </c>
      <c r="G306" s="28" t="n">
        <f aca="false">IF(AND(D306="Yes",Inputs!$C$10="Arrears",MOD(A306,Inputs!$C$22)=0),Inputs!$C$8*IF(N(Inputs!$C$12)=0,1,(1+Inputs!$C$11)^INT((A306-Inputs!$C$22)/Inputs!$C$12)),0)</f>
        <v>0</v>
      </c>
      <c r="H306" s="29" t="n">
        <f aca="false">1/(1+Inputs!$C$23)^(A306-1)</f>
        <v>0.105803625686719</v>
      </c>
      <c r="I306" s="29" t="n">
        <f aca="false">1/(1+Inputs!$C$23)^A306</f>
        <v>0.105006465503119</v>
      </c>
      <c r="J306" s="30" t="n">
        <f aca="false">F306*H306+G306*I306</f>
        <v>0</v>
      </c>
      <c r="K306" s="30" t="n">
        <f aca="false">M305</f>
        <v>-2.31665708150703E-009</v>
      </c>
      <c r="L306" s="30" t="n">
        <f aca="false">IF(D306="Yes",(K306-F306)*Inputs!$C$23,0)</f>
        <v>0</v>
      </c>
      <c r="M306" s="30" t="n">
        <f aca="false">K306-F306+L306-G306</f>
        <v>-2.31665708150703E-009</v>
      </c>
      <c r="N306" s="30" t="n">
        <f aca="false">F306+G306</f>
        <v>0</v>
      </c>
      <c r="O306" s="30" t="n">
        <f aca="false">N306-L306</f>
        <v>0</v>
      </c>
      <c r="P306" s="30" t="n">
        <f aca="false">R305</f>
        <v>1.30967237055302E-009</v>
      </c>
      <c r="Q306" s="30" t="n">
        <f aca="false">IF(A306&lt;=Inputs!$C$24,Inputs!$C$29/Inputs!$C$24,0)</f>
        <v>0</v>
      </c>
      <c r="R306" s="30" t="n">
        <f aca="false">P306-Q306</f>
        <v>1.30967237055302E-009</v>
      </c>
      <c r="S306" s="10" t="str">
        <f aca="false">"FY "&amp;(YEAR(B306)-(MONTH(B306)&lt;4))&amp;"-"&amp;RIGHT(YEAR(B306)-(MONTH(B306)&lt;4)+1,2)</f>
        <v>FY 2050-51</v>
      </c>
    </row>
    <row r="307" customFormat="false" ht="15" hidden="false" customHeight="false" outlineLevel="0" collapsed="false">
      <c r="A307" s="22" t="n">
        <v>299</v>
      </c>
      <c r="B307" s="24" t="n">
        <f aca="false">EDATE(Inputs!$C$6,A307-1)</f>
        <v>55185</v>
      </c>
      <c r="C307" s="24" t="n">
        <f aca="false">EDATE(Inputs!$C$6,A307)-1</f>
        <v>55212</v>
      </c>
      <c r="D307" s="10" t="str">
        <f aca="false">IF(A307&lt;=Inputs!$C$7,"Yes","No")</f>
        <v>No</v>
      </c>
      <c r="E307" s="27" t="n">
        <f aca="false">IF(N(Inputs!$C$12)=0,1,(1+Inputs!$C$11)^INT((A307-1)/Inputs!$C$12))</f>
        <v>3.2250999437137</v>
      </c>
      <c r="F307" s="28" t="n">
        <f aca="false">IF(AND(D307="Yes",Inputs!$C$10="Advance",MOD(A307-1,Inputs!$C$22)=0),Inputs!$C$8*E307,0)</f>
        <v>0</v>
      </c>
      <c r="G307" s="28" t="n">
        <f aca="false">IF(AND(D307="Yes",Inputs!$C$10="Arrears",MOD(A307,Inputs!$C$22)=0),Inputs!$C$8*IF(N(Inputs!$C$12)=0,1,(1+Inputs!$C$11)^INT((A307-Inputs!$C$22)/Inputs!$C$12)),0)</f>
        <v>0</v>
      </c>
      <c r="H307" s="29" t="n">
        <f aca="false">1/(1+Inputs!$C$23)^(A307-1)</f>
        <v>0.105006465503119</v>
      </c>
      <c r="I307" s="29" t="n">
        <f aca="false">1/(1+Inputs!$C$23)^A307</f>
        <v>0.104215311393075</v>
      </c>
      <c r="J307" s="30" t="n">
        <f aca="false">F307*H307+G307*I307</f>
        <v>0</v>
      </c>
      <c r="K307" s="30" t="n">
        <f aca="false">M306</f>
        <v>-2.31665708150703E-009</v>
      </c>
      <c r="L307" s="30" t="n">
        <f aca="false">IF(D307="Yes",(K307-F307)*Inputs!$C$23,0)</f>
        <v>0</v>
      </c>
      <c r="M307" s="30" t="n">
        <f aca="false">K307-F307+L307-G307</f>
        <v>-2.31665708150703E-009</v>
      </c>
      <c r="N307" s="30" t="n">
        <f aca="false">F307+G307</f>
        <v>0</v>
      </c>
      <c r="O307" s="30" t="n">
        <f aca="false">N307-L307</f>
        <v>0</v>
      </c>
      <c r="P307" s="30" t="n">
        <f aca="false">R306</f>
        <v>1.30967237055302E-009</v>
      </c>
      <c r="Q307" s="30" t="n">
        <f aca="false">IF(A307&lt;=Inputs!$C$24,Inputs!$C$29/Inputs!$C$24,0)</f>
        <v>0</v>
      </c>
      <c r="R307" s="30" t="n">
        <f aca="false">P307-Q307</f>
        <v>1.30967237055302E-009</v>
      </c>
      <c r="S307" s="10" t="str">
        <f aca="false">"FY "&amp;(YEAR(B307)-(MONTH(B307)&lt;4))&amp;"-"&amp;RIGHT(YEAR(B307)-(MONTH(B307)&lt;4)+1,2)</f>
        <v>FY 2050-51</v>
      </c>
    </row>
    <row r="308" customFormat="false" ht="15" hidden="false" customHeight="false" outlineLevel="0" collapsed="false">
      <c r="A308" s="22" t="n">
        <v>300</v>
      </c>
      <c r="B308" s="24" t="n">
        <f aca="false">EDATE(Inputs!$C$6,A308-1)</f>
        <v>55213</v>
      </c>
      <c r="C308" s="24" t="n">
        <f aca="false">EDATE(Inputs!$C$6,A308)-1</f>
        <v>55243</v>
      </c>
      <c r="D308" s="10" t="str">
        <f aca="false">IF(A308&lt;=Inputs!$C$7,"Yes","No")</f>
        <v>No</v>
      </c>
      <c r="E308" s="27" t="n">
        <f aca="false">IF(N(Inputs!$C$12)=0,1,(1+Inputs!$C$11)^INT((A308-1)/Inputs!$C$12))</f>
        <v>3.2250999437137</v>
      </c>
      <c r="F308" s="28" t="n">
        <f aca="false">IF(AND(D308="Yes",Inputs!$C$10="Advance",MOD(A308-1,Inputs!$C$22)=0),Inputs!$C$8*E308,0)</f>
        <v>0</v>
      </c>
      <c r="G308" s="28" t="n">
        <f aca="false">IF(AND(D308="Yes",Inputs!$C$10="Arrears",MOD(A308,Inputs!$C$22)=0),Inputs!$C$8*IF(N(Inputs!$C$12)=0,1,(1+Inputs!$C$11)^INT((A308-Inputs!$C$22)/Inputs!$C$12)),0)</f>
        <v>0</v>
      </c>
      <c r="H308" s="29" t="n">
        <f aca="false">1/(1+Inputs!$C$23)^(A308-1)</f>
        <v>0.104215311393075</v>
      </c>
      <c r="I308" s="29" t="n">
        <f aca="false">1/(1+Inputs!$C$23)^A308</f>
        <v>0.103430118104803</v>
      </c>
      <c r="J308" s="30" t="n">
        <f aca="false">F308*H308+G308*I308</f>
        <v>0</v>
      </c>
      <c r="K308" s="30" t="n">
        <f aca="false">M307</f>
        <v>-2.31665708150703E-009</v>
      </c>
      <c r="L308" s="30" t="n">
        <f aca="false">IF(D308="Yes",(K308-F308)*Inputs!$C$23,0)</f>
        <v>0</v>
      </c>
      <c r="M308" s="30" t="n">
        <f aca="false">K308-F308+L308-G308</f>
        <v>-2.31665708150703E-009</v>
      </c>
      <c r="N308" s="30" t="n">
        <f aca="false">F308+G308</f>
        <v>0</v>
      </c>
      <c r="O308" s="30" t="n">
        <f aca="false">N308-L308</f>
        <v>0</v>
      </c>
      <c r="P308" s="30" t="n">
        <f aca="false">R307</f>
        <v>1.30967237055302E-009</v>
      </c>
      <c r="Q308" s="30" t="n">
        <f aca="false">IF(A308&lt;=Inputs!$C$24,Inputs!$C$29/Inputs!$C$24,0)</f>
        <v>0</v>
      </c>
      <c r="R308" s="30" t="n">
        <f aca="false">P308-Q308</f>
        <v>1.30967237055302E-009</v>
      </c>
      <c r="S308" s="10" t="str">
        <f aca="false">"FY "&amp;(YEAR(B308)-(MONTH(B308)&lt;4))&amp;"-"&amp;RIGHT(YEAR(B308)-(MONTH(B308)&lt;4)+1,2)</f>
        <v>FY 2050-51</v>
      </c>
    </row>
    <row r="309" customFormat="false" ht="15" hidden="false" customHeight="false" outlineLevel="0" collapsed="false">
      <c r="A309" s="22" t="n">
        <v>301</v>
      </c>
      <c r="B309" s="24" t="n">
        <f aca="false">EDATE(Inputs!$C$6,A309-1)</f>
        <v>55244</v>
      </c>
      <c r="C309" s="24" t="n">
        <f aca="false">EDATE(Inputs!$C$6,A309)-1</f>
        <v>55273</v>
      </c>
      <c r="D309" s="10" t="str">
        <f aca="false">IF(A309&lt;=Inputs!$C$7,"Yes","No")</f>
        <v>No</v>
      </c>
      <c r="E309" s="27" t="n">
        <f aca="false">IF(N(Inputs!$C$12)=0,1,(1+Inputs!$C$11)^INT((A309-1)/Inputs!$C$12))</f>
        <v>3.38635494089939</v>
      </c>
      <c r="F309" s="28" t="n">
        <f aca="false">IF(AND(D309="Yes",Inputs!$C$10="Advance",MOD(A309-1,Inputs!$C$22)=0),Inputs!$C$8*E309,0)</f>
        <v>0</v>
      </c>
      <c r="G309" s="28" t="n">
        <f aca="false">IF(AND(D309="Yes",Inputs!$C$10="Arrears",MOD(A309,Inputs!$C$22)=0),Inputs!$C$8*IF(N(Inputs!$C$12)=0,1,(1+Inputs!$C$11)^INT((A309-Inputs!$C$22)/Inputs!$C$12)),0)</f>
        <v>0</v>
      </c>
      <c r="H309" s="29" t="n">
        <f aca="false">1/(1+Inputs!$C$23)^(A309-1)</f>
        <v>0.103430118104803</v>
      </c>
      <c r="I309" s="29" t="n">
        <f aca="false">1/(1+Inputs!$C$23)^A309</f>
        <v>0.102650840727463</v>
      </c>
      <c r="J309" s="30" t="n">
        <f aca="false">F309*H309+G309*I309</f>
        <v>0</v>
      </c>
      <c r="K309" s="30" t="n">
        <f aca="false">M308</f>
        <v>-2.31665708150703E-009</v>
      </c>
      <c r="L309" s="30" t="n">
        <f aca="false">IF(D309="Yes",(K309-F309)*Inputs!$C$23,0)</f>
        <v>0</v>
      </c>
      <c r="M309" s="30" t="n">
        <f aca="false">K309-F309+L309-G309</f>
        <v>-2.31665708150703E-009</v>
      </c>
      <c r="N309" s="30" t="n">
        <f aca="false">F309+G309</f>
        <v>0</v>
      </c>
      <c r="O309" s="30" t="n">
        <f aca="false">N309-L309</f>
        <v>0</v>
      </c>
      <c r="P309" s="30" t="n">
        <f aca="false">R308</f>
        <v>1.30967237055302E-009</v>
      </c>
      <c r="Q309" s="30" t="n">
        <f aca="false">IF(A309&lt;=Inputs!$C$24,Inputs!$C$29/Inputs!$C$24,0)</f>
        <v>0</v>
      </c>
      <c r="R309" s="30" t="n">
        <f aca="false">P309-Q309</f>
        <v>1.30967237055302E-009</v>
      </c>
      <c r="S309" s="10" t="str">
        <f aca="false">"FY "&amp;(YEAR(B309)-(MONTH(B309)&lt;4))&amp;"-"&amp;RIGHT(YEAR(B309)-(MONTH(B309)&lt;4)+1,2)</f>
        <v>FY 2051-52</v>
      </c>
    </row>
    <row r="310" customFormat="false" ht="15" hidden="false" customHeight="false" outlineLevel="0" collapsed="false">
      <c r="A310" s="22" t="n">
        <v>302</v>
      </c>
      <c r="B310" s="24" t="n">
        <f aca="false">EDATE(Inputs!$C$6,A310-1)</f>
        <v>55274</v>
      </c>
      <c r="C310" s="24" t="n">
        <f aca="false">EDATE(Inputs!$C$6,A310)-1</f>
        <v>55304</v>
      </c>
      <c r="D310" s="10" t="str">
        <f aca="false">IF(A310&lt;=Inputs!$C$7,"Yes","No")</f>
        <v>No</v>
      </c>
      <c r="E310" s="27" t="n">
        <f aca="false">IF(N(Inputs!$C$12)=0,1,(1+Inputs!$C$11)^INT((A310-1)/Inputs!$C$12))</f>
        <v>3.38635494089939</v>
      </c>
      <c r="F310" s="28" t="n">
        <f aca="false">IF(AND(D310="Yes",Inputs!$C$10="Advance",MOD(A310-1,Inputs!$C$22)=0),Inputs!$C$8*E310,0)</f>
        <v>0</v>
      </c>
      <c r="G310" s="28" t="n">
        <f aca="false">IF(AND(D310="Yes",Inputs!$C$10="Arrears",MOD(A310,Inputs!$C$22)=0),Inputs!$C$8*IF(N(Inputs!$C$12)=0,1,(1+Inputs!$C$11)^INT((A310-Inputs!$C$22)/Inputs!$C$12)),0)</f>
        <v>0</v>
      </c>
      <c r="H310" s="29" t="n">
        <f aca="false">1/(1+Inputs!$C$23)^(A310-1)</f>
        <v>0.102650840727463</v>
      </c>
      <c r="I310" s="29" t="n">
        <f aca="false">1/(1+Inputs!$C$23)^A310</f>
        <v>0.101877434688588</v>
      </c>
      <c r="J310" s="30" t="n">
        <f aca="false">F310*H310+G310*I310</f>
        <v>0</v>
      </c>
      <c r="K310" s="30" t="n">
        <f aca="false">M309</f>
        <v>-2.31665708150703E-009</v>
      </c>
      <c r="L310" s="30" t="n">
        <f aca="false">IF(D310="Yes",(K310-F310)*Inputs!$C$23,0)</f>
        <v>0</v>
      </c>
      <c r="M310" s="30" t="n">
        <f aca="false">K310-F310+L310-G310</f>
        <v>-2.31665708150703E-009</v>
      </c>
      <c r="N310" s="30" t="n">
        <f aca="false">F310+G310</f>
        <v>0</v>
      </c>
      <c r="O310" s="30" t="n">
        <f aca="false">N310-L310</f>
        <v>0</v>
      </c>
      <c r="P310" s="30" t="n">
        <f aca="false">R309</f>
        <v>1.30967237055302E-009</v>
      </c>
      <c r="Q310" s="30" t="n">
        <f aca="false">IF(A310&lt;=Inputs!$C$24,Inputs!$C$29/Inputs!$C$24,0)</f>
        <v>0</v>
      </c>
      <c r="R310" s="30" t="n">
        <f aca="false">P310-Q310</f>
        <v>1.30967237055302E-009</v>
      </c>
      <c r="S310" s="10" t="str">
        <f aca="false">"FY "&amp;(YEAR(B310)-(MONTH(B310)&lt;4))&amp;"-"&amp;RIGHT(YEAR(B310)-(MONTH(B310)&lt;4)+1,2)</f>
        <v>FY 2051-52</v>
      </c>
    </row>
    <row r="311" customFormat="false" ht="15" hidden="false" customHeight="false" outlineLevel="0" collapsed="false">
      <c r="A311" s="22" t="n">
        <v>303</v>
      </c>
      <c r="B311" s="24" t="n">
        <f aca="false">EDATE(Inputs!$C$6,A311-1)</f>
        <v>55305</v>
      </c>
      <c r="C311" s="24" t="n">
        <f aca="false">EDATE(Inputs!$C$6,A311)-1</f>
        <v>55334</v>
      </c>
      <c r="D311" s="10" t="str">
        <f aca="false">IF(A311&lt;=Inputs!$C$7,"Yes","No")</f>
        <v>No</v>
      </c>
      <c r="E311" s="27" t="n">
        <f aca="false">IF(N(Inputs!$C$12)=0,1,(1+Inputs!$C$11)^INT((A311-1)/Inputs!$C$12))</f>
        <v>3.38635494089939</v>
      </c>
      <c r="F311" s="28" t="n">
        <f aca="false">IF(AND(D311="Yes",Inputs!$C$10="Advance",MOD(A311-1,Inputs!$C$22)=0),Inputs!$C$8*E311,0)</f>
        <v>0</v>
      </c>
      <c r="G311" s="28" t="n">
        <f aca="false">IF(AND(D311="Yes",Inputs!$C$10="Arrears",MOD(A311,Inputs!$C$22)=0),Inputs!$C$8*IF(N(Inputs!$C$12)=0,1,(1+Inputs!$C$11)^INT((A311-Inputs!$C$22)/Inputs!$C$12)),0)</f>
        <v>0</v>
      </c>
      <c r="H311" s="29" t="n">
        <f aca="false">1/(1+Inputs!$C$23)^(A311-1)</f>
        <v>0.101877434688588</v>
      </c>
      <c r="I311" s="29" t="n">
        <f aca="false">1/(1+Inputs!$C$23)^A311</f>
        <v>0.101109855751535</v>
      </c>
      <c r="J311" s="30" t="n">
        <f aca="false">F311*H311+G311*I311</f>
        <v>0</v>
      </c>
      <c r="K311" s="30" t="n">
        <f aca="false">M310</f>
        <v>-2.31665708150703E-009</v>
      </c>
      <c r="L311" s="30" t="n">
        <f aca="false">IF(D311="Yes",(K311-F311)*Inputs!$C$23,0)</f>
        <v>0</v>
      </c>
      <c r="M311" s="30" t="n">
        <f aca="false">K311-F311+L311-G311</f>
        <v>-2.31665708150703E-009</v>
      </c>
      <c r="N311" s="30" t="n">
        <f aca="false">F311+G311</f>
        <v>0</v>
      </c>
      <c r="O311" s="30" t="n">
        <f aca="false">N311-L311</f>
        <v>0</v>
      </c>
      <c r="P311" s="30" t="n">
        <f aca="false">R310</f>
        <v>1.30967237055302E-009</v>
      </c>
      <c r="Q311" s="30" t="n">
        <f aca="false">IF(A311&lt;=Inputs!$C$24,Inputs!$C$29/Inputs!$C$24,0)</f>
        <v>0</v>
      </c>
      <c r="R311" s="30" t="n">
        <f aca="false">P311-Q311</f>
        <v>1.30967237055302E-009</v>
      </c>
      <c r="S311" s="10" t="str">
        <f aca="false">"FY "&amp;(YEAR(B311)-(MONTH(B311)&lt;4))&amp;"-"&amp;RIGHT(YEAR(B311)-(MONTH(B311)&lt;4)+1,2)</f>
        <v>FY 2051-52</v>
      </c>
    </row>
    <row r="312" customFormat="false" ht="15" hidden="false" customHeight="false" outlineLevel="0" collapsed="false">
      <c r="A312" s="22" t="n">
        <v>304</v>
      </c>
      <c r="B312" s="24" t="n">
        <f aca="false">EDATE(Inputs!$C$6,A312-1)</f>
        <v>55335</v>
      </c>
      <c r="C312" s="24" t="n">
        <f aca="false">EDATE(Inputs!$C$6,A312)-1</f>
        <v>55365</v>
      </c>
      <c r="D312" s="10" t="str">
        <f aca="false">IF(A312&lt;=Inputs!$C$7,"Yes","No")</f>
        <v>No</v>
      </c>
      <c r="E312" s="27" t="n">
        <f aca="false">IF(N(Inputs!$C$12)=0,1,(1+Inputs!$C$11)^INT((A312-1)/Inputs!$C$12))</f>
        <v>3.38635494089939</v>
      </c>
      <c r="F312" s="28" t="n">
        <f aca="false">IF(AND(D312="Yes",Inputs!$C$10="Advance",MOD(A312-1,Inputs!$C$22)=0),Inputs!$C$8*E312,0)</f>
        <v>0</v>
      </c>
      <c r="G312" s="28" t="n">
        <f aca="false">IF(AND(D312="Yes",Inputs!$C$10="Arrears",MOD(A312,Inputs!$C$22)=0),Inputs!$C$8*IF(N(Inputs!$C$12)=0,1,(1+Inputs!$C$11)^INT((A312-Inputs!$C$22)/Inputs!$C$12)),0)</f>
        <v>0</v>
      </c>
      <c r="H312" s="29" t="n">
        <f aca="false">1/(1+Inputs!$C$23)^(A312-1)</f>
        <v>0.101109855751535</v>
      </c>
      <c r="I312" s="29" t="n">
        <f aca="false">1/(1+Inputs!$C$23)^A312</f>
        <v>0.100348060012953</v>
      </c>
      <c r="J312" s="30" t="n">
        <f aca="false">F312*H312+G312*I312</f>
        <v>0</v>
      </c>
      <c r="K312" s="30" t="n">
        <f aca="false">M311</f>
        <v>-2.31665708150703E-009</v>
      </c>
      <c r="L312" s="30" t="n">
        <f aca="false">IF(D312="Yes",(K312-F312)*Inputs!$C$23,0)</f>
        <v>0</v>
      </c>
      <c r="M312" s="30" t="n">
        <f aca="false">K312-F312+L312-G312</f>
        <v>-2.31665708150703E-009</v>
      </c>
      <c r="N312" s="30" t="n">
        <f aca="false">F312+G312</f>
        <v>0</v>
      </c>
      <c r="O312" s="30" t="n">
        <f aca="false">N312-L312</f>
        <v>0</v>
      </c>
      <c r="P312" s="30" t="n">
        <f aca="false">R311</f>
        <v>1.30967237055302E-009</v>
      </c>
      <c r="Q312" s="30" t="n">
        <f aca="false">IF(A312&lt;=Inputs!$C$24,Inputs!$C$29/Inputs!$C$24,0)</f>
        <v>0</v>
      </c>
      <c r="R312" s="30" t="n">
        <f aca="false">P312-Q312</f>
        <v>1.30967237055302E-009</v>
      </c>
      <c r="S312" s="10" t="str">
        <f aca="false">"FY "&amp;(YEAR(B312)-(MONTH(B312)&lt;4))&amp;"-"&amp;RIGHT(YEAR(B312)-(MONTH(B312)&lt;4)+1,2)</f>
        <v>FY 2051-52</v>
      </c>
    </row>
    <row r="313" customFormat="false" ht="15" hidden="false" customHeight="false" outlineLevel="0" collapsed="false">
      <c r="A313" s="22" t="n">
        <v>305</v>
      </c>
      <c r="B313" s="24" t="n">
        <f aca="false">EDATE(Inputs!$C$6,A313-1)</f>
        <v>55366</v>
      </c>
      <c r="C313" s="24" t="n">
        <f aca="false">EDATE(Inputs!$C$6,A313)-1</f>
        <v>55396</v>
      </c>
      <c r="D313" s="10" t="str">
        <f aca="false">IF(A313&lt;=Inputs!$C$7,"Yes","No")</f>
        <v>No</v>
      </c>
      <c r="E313" s="27" t="n">
        <f aca="false">IF(N(Inputs!$C$12)=0,1,(1+Inputs!$C$11)^INT((A313-1)/Inputs!$C$12))</f>
        <v>3.38635494089939</v>
      </c>
      <c r="F313" s="28" t="n">
        <f aca="false">IF(AND(D313="Yes",Inputs!$C$10="Advance",MOD(A313-1,Inputs!$C$22)=0),Inputs!$C$8*E313,0)</f>
        <v>0</v>
      </c>
      <c r="G313" s="28" t="n">
        <f aca="false">IF(AND(D313="Yes",Inputs!$C$10="Arrears",MOD(A313,Inputs!$C$22)=0),Inputs!$C$8*IF(N(Inputs!$C$12)=0,1,(1+Inputs!$C$11)^INT((A313-Inputs!$C$22)/Inputs!$C$12)),0)</f>
        <v>0</v>
      </c>
      <c r="H313" s="29" t="n">
        <f aca="false">1/(1+Inputs!$C$23)^(A313-1)</f>
        <v>0.100348060012953</v>
      </c>
      <c r="I313" s="29" t="n">
        <f aca="false">1/(1+Inputs!$C$23)^A313</f>
        <v>0.0995920039002763</v>
      </c>
      <c r="J313" s="30" t="n">
        <f aca="false">F313*H313+G313*I313</f>
        <v>0</v>
      </c>
      <c r="K313" s="30" t="n">
        <f aca="false">M312</f>
        <v>-2.31665708150703E-009</v>
      </c>
      <c r="L313" s="30" t="n">
        <f aca="false">IF(D313="Yes",(K313-F313)*Inputs!$C$23,0)</f>
        <v>0</v>
      </c>
      <c r="M313" s="30" t="n">
        <f aca="false">K313-F313+L313-G313</f>
        <v>-2.31665708150703E-009</v>
      </c>
      <c r="N313" s="30" t="n">
        <f aca="false">F313+G313</f>
        <v>0</v>
      </c>
      <c r="O313" s="30" t="n">
        <f aca="false">N313-L313</f>
        <v>0</v>
      </c>
      <c r="P313" s="30" t="n">
        <f aca="false">R312</f>
        <v>1.30967237055302E-009</v>
      </c>
      <c r="Q313" s="30" t="n">
        <f aca="false">IF(A313&lt;=Inputs!$C$24,Inputs!$C$29/Inputs!$C$24,0)</f>
        <v>0</v>
      </c>
      <c r="R313" s="30" t="n">
        <f aca="false">P313-Q313</f>
        <v>1.30967237055302E-009</v>
      </c>
      <c r="S313" s="10" t="str">
        <f aca="false">"FY "&amp;(YEAR(B313)-(MONTH(B313)&lt;4))&amp;"-"&amp;RIGHT(YEAR(B313)-(MONTH(B313)&lt;4)+1,2)</f>
        <v>FY 2051-52</v>
      </c>
    </row>
    <row r="314" customFormat="false" ht="15" hidden="false" customHeight="false" outlineLevel="0" collapsed="false">
      <c r="A314" s="22" t="n">
        <v>306</v>
      </c>
      <c r="B314" s="24" t="n">
        <f aca="false">EDATE(Inputs!$C$6,A314-1)</f>
        <v>55397</v>
      </c>
      <c r="C314" s="24" t="n">
        <f aca="false">EDATE(Inputs!$C$6,A314)-1</f>
        <v>55426</v>
      </c>
      <c r="D314" s="10" t="str">
        <f aca="false">IF(A314&lt;=Inputs!$C$7,"Yes","No")</f>
        <v>No</v>
      </c>
      <c r="E314" s="27" t="n">
        <f aca="false">IF(N(Inputs!$C$12)=0,1,(1+Inputs!$C$11)^INT((A314-1)/Inputs!$C$12))</f>
        <v>3.38635494089939</v>
      </c>
      <c r="F314" s="28" t="n">
        <f aca="false">IF(AND(D314="Yes",Inputs!$C$10="Advance",MOD(A314-1,Inputs!$C$22)=0),Inputs!$C$8*E314,0)</f>
        <v>0</v>
      </c>
      <c r="G314" s="28" t="n">
        <f aca="false">IF(AND(D314="Yes",Inputs!$C$10="Arrears",MOD(A314,Inputs!$C$22)=0),Inputs!$C$8*IF(N(Inputs!$C$12)=0,1,(1+Inputs!$C$11)^INT((A314-Inputs!$C$22)/Inputs!$C$12)),0)</f>
        <v>0</v>
      </c>
      <c r="H314" s="29" t="n">
        <f aca="false">1/(1+Inputs!$C$23)^(A314-1)</f>
        <v>0.0995920039002763</v>
      </c>
      <c r="I314" s="29" t="n">
        <f aca="false">1/(1+Inputs!$C$23)^A314</f>
        <v>0.098841644169228</v>
      </c>
      <c r="J314" s="30" t="n">
        <f aca="false">F314*H314+G314*I314</f>
        <v>0</v>
      </c>
      <c r="K314" s="30" t="n">
        <f aca="false">M313</f>
        <v>-2.31665708150703E-009</v>
      </c>
      <c r="L314" s="30" t="n">
        <f aca="false">IF(D314="Yes",(K314-F314)*Inputs!$C$23,0)</f>
        <v>0</v>
      </c>
      <c r="M314" s="30" t="n">
        <f aca="false">K314-F314+L314-G314</f>
        <v>-2.31665708150703E-009</v>
      </c>
      <c r="N314" s="30" t="n">
        <f aca="false">F314+G314</f>
        <v>0</v>
      </c>
      <c r="O314" s="30" t="n">
        <f aca="false">N314-L314</f>
        <v>0</v>
      </c>
      <c r="P314" s="30" t="n">
        <f aca="false">R313</f>
        <v>1.30967237055302E-009</v>
      </c>
      <c r="Q314" s="30" t="n">
        <f aca="false">IF(A314&lt;=Inputs!$C$24,Inputs!$C$29/Inputs!$C$24,0)</f>
        <v>0</v>
      </c>
      <c r="R314" s="30" t="n">
        <f aca="false">P314-Q314</f>
        <v>1.30967237055302E-009</v>
      </c>
      <c r="S314" s="10" t="str">
        <f aca="false">"FY "&amp;(YEAR(B314)-(MONTH(B314)&lt;4))&amp;"-"&amp;RIGHT(YEAR(B314)-(MONTH(B314)&lt;4)+1,2)</f>
        <v>FY 2051-52</v>
      </c>
    </row>
    <row r="315" customFormat="false" ht="15" hidden="false" customHeight="false" outlineLevel="0" collapsed="false">
      <c r="A315" s="22" t="n">
        <v>307</v>
      </c>
      <c r="B315" s="24" t="n">
        <f aca="false">EDATE(Inputs!$C$6,A315-1)</f>
        <v>55427</v>
      </c>
      <c r="C315" s="24" t="n">
        <f aca="false">EDATE(Inputs!$C$6,A315)-1</f>
        <v>55457</v>
      </c>
      <c r="D315" s="10" t="str">
        <f aca="false">IF(A315&lt;=Inputs!$C$7,"Yes","No")</f>
        <v>No</v>
      </c>
      <c r="E315" s="27" t="n">
        <f aca="false">IF(N(Inputs!$C$12)=0,1,(1+Inputs!$C$11)^INT((A315-1)/Inputs!$C$12))</f>
        <v>3.38635494089939</v>
      </c>
      <c r="F315" s="28" t="n">
        <f aca="false">IF(AND(D315="Yes",Inputs!$C$10="Advance",MOD(A315-1,Inputs!$C$22)=0),Inputs!$C$8*E315,0)</f>
        <v>0</v>
      </c>
      <c r="G315" s="28" t="n">
        <f aca="false">IF(AND(D315="Yes",Inputs!$C$10="Arrears",MOD(A315,Inputs!$C$22)=0),Inputs!$C$8*IF(N(Inputs!$C$12)=0,1,(1+Inputs!$C$11)^INT((A315-Inputs!$C$22)/Inputs!$C$12)),0)</f>
        <v>0</v>
      </c>
      <c r="H315" s="29" t="n">
        <f aca="false">1/(1+Inputs!$C$23)^(A315-1)</f>
        <v>0.098841644169228</v>
      </c>
      <c r="I315" s="29" t="n">
        <f aca="false">1/(1+Inputs!$C$23)^A315</f>
        <v>0.0980969379013488</v>
      </c>
      <c r="J315" s="30" t="n">
        <f aca="false">F315*H315+G315*I315</f>
        <v>0</v>
      </c>
      <c r="K315" s="30" t="n">
        <f aca="false">M314</f>
        <v>-2.31665708150703E-009</v>
      </c>
      <c r="L315" s="30" t="n">
        <f aca="false">IF(D315="Yes",(K315-F315)*Inputs!$C$23,0)</f>
        <v>0</v>
      </c>
      <c r="M315" s="30" t="n">
        <f aca="false">K315-F315+L315-G315</f>
        <v>-2.31665708150703E-009</v>
      </c>
      <c r="N315" s="30" t="n">
        <f aca="false">F315+G315</f>
        <v>0</v>
      </c>
      <c r="O315" s="30" t="n">
        <f aca="false">N315-L315</f>
        <v>0</v>
      </c>
      <c r="P315" s="30" t="n">
        <f aca="false">R314</f>
        <v>1.30967237055302E-009</v>
      </c>
      <c r="Q315" s="30" t="n">
        <f aca="false">IF(A315&lt;=Inputs!$C$24,Inputs!$C$29/Inputs!$C$24,0)</f>
        <v>0</v>
      </c>
      <c r="R315" s="30" t="n">
        <f aca="false">P315-Q315</f>
        <v>1.30967237055302E-009</v>
      </c>
      <c r="S315" s="10" t="str">
        <f aca="false">"FY "&amp;(YEAR(B315)-(MONTH(B315)&lt;4))&amp;"-"&amp;RIGHT(YEAR(B315)-(MONTH(B315)&lt;4)+1,2)</f>
        <v>FY 2051-52</v>
      </c>
    </row>
    <row r="316" customFormat="false" ht="15" hidden="false" customHeight="false" outlineLevel="0" collapsed="false">
      <c r="A316" s="22" t="n">
        <v>308</v>
      </c>
      <c r="B316" s="24" t="n">
        <f aca="false">EDATE(Inputs!$C$6,A316-1)</f>
        <v>55458</v>
      </c>
      <c r="C316" s="24" t="n">
        <f aca="false">EDATE(Inputs!$C$6,A316)-1</f>
        <v>55487</v>
      </c>
      <c r="D316" s="10" t="str">
        <f aca="false">IF(A316&lt;=Inputs!$C$7,"Yes","No")</f>
        <v>No</v>
      </c>
      <c r="E316" s="27" t="n">
        <f aca="false">IF(N(Inputs!$C$12)=0,1,(1+Inputs!$C$11)^INT((A316-1)/Inputs!$C$12))</f>
        <v>3.38635494089939</v>
      </c>
      <c r="F316" s="28" t="n">
        <f aca="false">IF(AND(D316="Yes",Inputs!$C$10="Advance",MOD(A316-1,Inputs!$C$22)=0),Inputs!$C$8*E316,0)</f>
        <v>0</v>
      </c>
      <c r="G316" s="28" t="n">
        <f aca="false">IF(AND(D316="Yes",Inputs!$C$10="Arrears",MOD(A316,Inputs!$C$22)=0),Inputs!$C$8*IF(N(Inputs!$C$12)=0,1,(1+Inputs!$C$11)^INT((A316-Inputs!$C$22)/Inputs!$C$12)),0)</f>
        <v>0</v>
      </c>
      <c r="H316" s="29" t="n">
        <f aca="false">1/(1+Inputs!$C$23)^(A316-1)</f>
        <v>0.0980969379013488</v>
      </c>
      <c r="I316" s="29" t="n">
        <f aca="false">1/(1+Inputs!$C$23)^A316</f>
        <v>0.0973578425015412</v>
      </c>
      <c r="J316" s="30" t="n">
        <f aca="false">F316*H316+G316*I316</f>
        <v>0</v>
      </c>
      <c r="K316" s="30" t="n">
        <f aca="false">M315</f>
        <v>-2.31665708150703E-009</v>
      </c>
      <c r="L316" s="30" t="n">
        <f aca="false">IF(D316="Yes",(K316-F316)*Inputs!$C$23,0)</f>
        <v>0</v>
      </c>
      <c r="M316" s="30" t="n">
        <f aca="false">K316-F316+L316-G316</f>
        <v>-2.31665708150703E-009</v>
      </c>
      <c r="N316" s="30" t="n">
        <f aca="false">F316+G316</f>
        <v>0</v>
      </c>
      <c r="O316" s="30" t="n">
        <f aca="false">N316-L316</f>
        <v>0</v>
      </c>
      <c r="P316" s="30" t="n">
        <f aca="false">R315</f>
        <v>1.30967237055302E-009</v>
      </c>
      <c r="Q316" s="30" t="n">
        <f aca="false">IF(A316&lt;=Inputs!$C$24,Inputs!$C$29/Inputs!$C$24,0)</f>
        <v>0</v>
      </c>
      <c r="R316" s="30" t="n">
        <f aca="false">P316-Q316</f>
        <v>1.30967237055302E-009</v>
      </c>
      <c r="S316" s="10" t="str">
        <f aca="false">"FY "&amp;(YEAR(B316)-(MONTH(B316)&lt;4))&amp;"-"&amp;RIGHT(YEAR(B316)-(MONTH(B316)&lt;4)+1,2)</f>
        <v>FY 2051-52</v>
      </c>
    </row>
    <row r="317" customFormat="false" ht="15" hidden="false" customHeight="false" outlineLevel="0" collapsed="false">
      <c r="A317" s="22" t="n">
        <v>309</v>
      </c>
      <c r="B317" s="24" t="n">
        <f aca="false">EDATE(Inputs!$C$6,A317-1)</f>
        <v>55488</v>
      </c>
      <c r="C317" s="24" t="n">
        <f aca="false">EDATE(Inputs!$C$6,A317)-1</f>
        <v>55518</v>
      </c>
      <c r="D317" s="10" t="str">
        <f aca="false">IF(A317&lt;=Inputs!$C$7,"Yes","No")</f>
        <v>No</v>
      </c>
      <c r="E317" s="27" t="n">
        <f aca="false">IF(N(Inputs!$C$12)=0,1,(1+Inputs!$C$11)^INT((A317-1)/Inputs!$C$12))</f>
        <v>3.38635494089939</v>
      </c>
      <c r="F317" s="28" t="n">
        <f aca="false">IF(AND(D317="Yes",Inputs!$C$10="Advance",MOD(A317-1,Inputs!$C$22)=0),Inputs!$C$8*E317,0)</f>
        <v>0</v>
      </c>
      <c r="G317" s="28" t="n">
        <f aca="false">IF(AND(D317="Yes",Inputs!$C$10="Arrears",MOD(A317,Inputs!$C$22)=0),Inputs!$C$8*IF(N(Inputs!$C$12)=0,1,(1+Inputs!$C$11)^INT((A317-Inputs!$C$22)/Inputs!$C$12)),0)</f>
        <v>0</v>
      </c>
      <c r="H317" s="29" t="n">
        <f aca="false">1/(1+Inputs!$C$23)^(A317-1)</f>
        <v>0.0973578425015412</v>
      </c>
      <c r="I317" s="29" t="n">
        <f aca="false">1/(1+Inputs!$C$23)^A317</f>
        <v>0.0966243156956337</v>
      </c>
      <c r="J317" s="30" t="n">
        <f aca="false">F317*H317+G317*I317</f>
        <v>0</v>
      </c>
      <c r="K317" s="30" t="n">
        <f aca="false">M316</f>
        <v>-2.31665708150703E-009</v>
      </c>
      <c r="L317" s="30" t="n">
        <f aca="false">IF(D317="Yes",(K317-F317)*Inputs!$C$23,0)</f>
        <v>0</v>
      </c>
      <c r="M317" s="30" t="n">
        <f aca="false">K317-F317+L317-G317</f>
        <v>-2.31665708150703E-009</v>
      </c>
      <c r="N317" s="30" t="n">
        <f aca="false">F317+G317</f>
        <v>0</v>
      </c>
      <c r="O317" s="30" t="n">
        <f aca="false">N317-L317</f>
        <v>0</v>
      </c>
      <c r="P317" s="30" t="n">
        <f aca="false">R316</f>
        <v>1.30967237055302E-009</v>
      </c>
      <c r="Q317" s="30" t="n">
        <f aca="false">IF(A317&lt;=Inputs!$C$24,Inputs!$C$29/Inputs!$C$24,0)</f>
        <v>0</v>
      </c>
      <c r="R317" s="30" t="n">
        <f aca="false">P317-Q317</f>
        <v>1.30967237055302E-009</v>
      </c>
      <c r="S317" s="10" t="str">
        <f aca="false">"FY "&amp;(YEAR(B317)-(MONTH(B317)&lt;4))&amp;"-"&amp;RIGHT(YEAR(B317)-(MONTH(B317)&lt;4)+1,2)</f>
        <v>FY 2051-52</v>
      </c>
    </row>
    <row r="318" customFormat="false" ht="15" hidden="false" customHeight="false" outlineLevel="0" collapsed="false">
      <c r="A318" s="22" t="n">
        <v>310</v>
      </c>
      <c r="B318" s="24" t="n">
        <f aca="false">EDATE(Inputs!$C$6,A318-1)</f>
        <v>55519</v>
      </c>
      <c r="C318" s="24" t="n">
        <f aca="false">EDATE(Inputs!$C$6,A318)-1</f>
        <v>55549</v>
      </c>
      <c r="D318" s="10" t="str">
        <f aca="false">IF(A318&lt;=Inputs!$C$7,"Yes","No")</f>
        <v>No</v>
      </c>
      <c r="E318" s="27" t="n">
        <f aca="false">IF(N(Inputs!$C$12)=0,1,(1+Inputs!$C$11)^INT((A318-1)/Inputs!$C$12))</f>
        <v>3.38635494089939</v>
      </c>
      <c r="F318" s="28" t="n">
        <f aca="false">IF(AND(D318="Yes",Inputs!$C$10="Advance",MOD(A318-1,Inputs!$C$22)=0),Inputs!$C$8*E318,0)</f>
        <v>0</v>
      </c>
      <c r="G318" s="28" t="n">
        <f aca="false">IF(AND(D318="Yes",Inputs!$C$10="Arrears",MOD(A318,Inputs!$C$22)=0),Inputs!$C$8*IF(N(Inputs!$C$12)=0,1,(1+Inputs!$C$11)^INT((A318-Inputs!$C$22)/Inputs!$C$12)),0)</f>
        <v>0</v>
      </c>
      <c r="H318" s="29" t="n">
        <f aca="false">1/(1+Inputs!$C$23)^(A318-1)</f>
        <v>0.0966243156956337</v>
      </c>
      <c r="I318" s="29" t="n">
        <f aca="false">1/(1+Inputs!$C$23)^A318</f>
        <v>0.0958963155279627</v>
      </c>
      <c r="J318" s="30" t="n">
        <f aca="false">F318*H318+G318*I318</f>
        <v>0</v>
      </c>
      <c r="K318" s="30" t="n">
        <f aca="false">M317</f>
        <v>-2.31665708150703E-009</v>
      </c>
      <c r="L318" s="30" t="n">
        <f aca="false">IF(D318="Yes",(K318-F318)*Inputs!$C$23,0)</f>
        <v>0</v>
      </c>
      <c r="M318" s="30" t="n">
        <f aca="false">K318-F318+L318-G318</f>
        <v>-2.31665708150703E-009</v>
      </c>
      <c r="N318" s="30" t="n">
        <f aca="false">F318+G318</f>
        <v>0</v>
      </c>
      <c r="O318" s="30" t="n">
        <f aca="false">N318-L318</f>
        <v>0</v>
      </c>
      <c r="P318" s="30" t="n">
        <f aca="false">R317</f>
        <v>1.30967237055302E-009</v>
      </c>
      <c r="Q318" s="30" t="n">
        <f aca="false">IF(A318&lt;=Inputs!$C$24,Inputs!$C$29/Inputs!$C$24,0)</f>
        <v>0</v>
      </c>
      <c r="R318" s="30" t="n">
        <f aca="false">P318-Q318</f>
        <v>1.30967237055302E-009</v>
      </c>
      <c r="S318" s="10" t="str">
        <f aca="false">"FY "&amp;(YEAR(B318)-(MONTH(B318)&lt;4))&amp;"-"&amp;RIGHT(YEAR(B318)-(MONTH(B318)&lt;4)+1,2)</f>
        <v>FY 2051-52</v>
      </c>
    </row>
    <row r="319" customFormat="false" ht="15" hidden="false" customHeight="false" outlineLevel="0" collapsed="false">
      <c r="A319" s="22" t="n">
        <v>311</v>
      </c>
      <c r="B319" s="24" t="n">
        <f aca="false">EDATE(Inputs!$C$6,A319-1)</f>
        <v>55550</v>
      </c>
      <c r="C319" s="24" t="n">
        <f aca="false">EDATE(Inputs!$C$6,A319)-1</f>
        <v>55578</v>
      </c>
      <c r="D319" s="10" t="str">
        <f aca="false">IF(A319&lt;=Inputs!$C$7,"Yes","No")</f>
        <v>No</v>
      </c>
      <c r="E319" s="27" t="n">
        <f aca="false">IF(N(Inputs!$C$12)=0,1,(1+Inputs!$C$11)^INT((A319-1)/Inputs!$C$12))</f>
        <v>3.38635494089939</v>
      </c>
      <c r="F319" s="28" t="n">
        <f aca="false">IF(AND(D319="Yes",Inputs!$C$10="Advance",MOD(A319-1,Inputs!$C$22)=0),Inputs!$C$8*E319,0)</f>
        <v>0</v>
      </c>
      <c r="G319" s="28" t="n">
        <f aca="false">IF(AND(D319="Yes",Inputs!$C$10="Arrears",MOD(A319,Inputs!$C$22)=0),Inputs!$C$8*IF(N(Inputs!$C$12)=0,1,(1+Inputs!$C$11)^INT((A319-Inputs!$C$22)/Inputs!$C$12)),0)</f>
        <v>0</v>
      </c>
      <c r="H319" s="29" t="n">
        <f aca="false">1/(1+Inputs!$C$23)^(A319-1)</f>
        <v>0.0958963155279627</v>
      </c>
      <c r="I319" s="29" t="n">
        <f aca="false">1/(1+Inputs!$C$23)^A319</f>
        <v>0.0951738003589725</v>
      </c>
      <c r="J319" s="30" t="n">
        <f aca="false">F319*H319+G319*I319</f>
        <v>0</v>
      </c>
      <c r="K319" s="30" t="n">
        <f aca="false">M318</f>
        <v>-2.31665708150703E-009</v>
      </c>
      <c r="L319" s="30" t="n">
        <f aca="false">IF(D319="Yes",(K319-F319)*Inputs!$C$23,0)</f>
        <v>0</v>
      </c>
      <c r="M319" s="30" t="n">
        <f aca="false">K319-F319+L319-G319</f>
        <v>-2.31665708150703E-009</v>
      </c>
      <c r="N319" s="30" t="n">
        <f aca="false">F319+G319</f>
        <v>0</v>
      </c>
      <c r="O319" s="30" t="n">
        <f aca="false">N319-L319</f>
        <v>0</v>
      </c>
      <c r="P319" s="30" t="n">
        <f aca="false">R318</f>
        <v>1.30967237055302E-009</v>
      </c>
      <c r="Q319" s="30" t="n">
        <f aca="false">IF(A319&lt;=Inputs!$C$24,Inputs!$C$29/Inputs!$C$24,0)</f>
        <v>0</v>
      </c>
      <c r="R319" s="30" t="n">
        <f aca="false">P319-Q319</f>
        <v>1.30967237055302E-009</v>
      </c>
      <c r="S319" s="10" t="str">
        <f aca="false">"FY "&amp;(YEAR(B319)-(MONTH(B319)&lt;4))&amp;"-"&amp;RIGHT(YEAR(B319)-(MONTH(B319)&lt;4)+1,2)</f>
        <v>FY 2051-52</v>
      </c>
    </row>
    <row r="320" customFormat="false" ht="15" hidden="false" customHeight="false" outlineLevel="0" collapsed="false">
      <c r="A320" s="22" t="n">
        <v>312</v>
      </c>
      <c r="B320" s="24" t="n">
        <f aca="false">EDATE(Inputs!$C$6,A320-1)</f>
        <v>55579</v>
      </c>
      <c r="C320" s="24" t="n">
        <f aca="false">EDATE(Inputs!$C$6,A320)-1</f>
        <v>55609</v>
      </c>
      <c r="D320" s="10" t="str">
        <f aca="false">IF(A320&lt;=Inputs!$C$7,"Yes","No")</f>
        <v>No</v>
      </c>
      <c r="E320" s="27" t="n">
        <f aca="false">IF(N(Inputs!$C$12)=0,1,(1+Inputs!$C$11)^INT((A320-1)/Inputs!$C$12))</f>
        <v>3.38635494089939</v>
      </c>
      <c r="F320" s="28" t="n">
        <f aca="false">IF(AND(D320="Yes",Inputs!$C$10="Advance",MOD(A320-1,Inputs!$C$22)=0),Inputs!$C$8*E320,0)</f>
        <v>0</v>
      </c>
      <c r="G320" s="28" t="n">
        <f aca="false">IF(AND(D320="Yes",Inputs!$C$10="Arrears",MOD(A320,Inputs!$C$22)=0),Inputs!$C$8*IF(N(Inputs!$C$12)=0,1,(1+Inputs!$C$11)^INT((A320-Inputs!$C$22)/Inputs!$C$12)),0)</f>
        <v>0</v>
      </c>
      <c r="H320" s="29" t="n">
        <f aca="false">1/(1+Inputs!$C$23)^(A320-1)</f>
        <v>0.0951738003589725</v>
      </c>
      <c r="I320" s="29" t="n">
        <f aca="false">1/(1+Inputs!$C$23)^A320</f>
        <v>0.094456728862834</v>
      </c>
      <c r="J320" s="30" t="n">
        <f aca="false">F320*H320+G320*I320</f>
        <v>0</v>
      </c>
      <c r="K320" s="30" t="n">
        <f aca="false">M319</f>
        <v>-2.31665708150703E-009</v>
      </c>
      <c r="L320" s="30" t="n">
        <f aca="false">IF(D320="Yes",(K320-F320)*Inputs!$C$23,0)</f>
        <v>0</v>
      </c>
      <c r="M320" s="30" t="n">
        <f aca="false">K320-F320+L320-G320</f>
        <v>-2.31665708150703E-009</v>
      </c>
      <c r="N320" s="30" t="n">
        <f aca="false">F320+G320</f>
        <v>0</v>
      </c>
      <c r="O320" s="30" t="n">
        <f aca="false">N320-L320</f>
        <v>0</v>
      </c>
      <c r="P320" s="30" t="n">
        <f aca="false">R319</f>
        <v>1.30967237055302E-009</v>
      </c>
      <c r="Q320" s="30" t="n">
        <f aca="false">IF(A320&lt;=Inputs!$C$24,Inputs!$C$29/Inputs!$C$24,0)</f>
        <v>0</v>
      </c>
      <c r="R320" s="30" t="n">
        <f aca="false">P320-Q320</f>
        <v>1.30967237055302E-009</v>
      </c>
      <c r="S320" s="10" t="str">
        <f aca="false">"FY "&amp;(YEAR(B320)-(MONTH(B320)&lt;4))&amp;"-"&amp;RIGHT(YEAR(B320)-(MONTH(B320)&lt;4)+1,2)</f>
        <v>FY 2051-52</v>
      </c>
    </row>
    <row r="321" customFormat="false" ht="15" hidden="false" customHeight="false" outlineLevel="0" collapsed="false">
      <c r="A321" s="22" t="n">
        <v>313</v>
      </c>
      <c r="B321" s="24" t="n">
        <f aca="false">EDATE(Inputs!$C$6,A321-1)</f>
        <v>55610</v>
      </c>
      <c r="C321" s="24" t="n">
        <f aca="false">EDATE(Inputs!$C$6,A321)-1</f>
        <v>55639</v>
      </c>
      <c r="D321" s="10" t="str">
        <f aca="false">IF(A321&lt;=Inputs!$C$7,"Yes","No")</f>
        <v>No</v>
      </c>
      <c r="E321" s="27" t="n">
        <f aca="false">IF(N(Inputs!$C$12)=0,1,(1+Inputs!$C$11)^INT((A321-1)/Inputs!$C$12))</f>
        <v>3.55567268794436</v>
      </c>
      <c r="F321" s="28" t="n">
        <f aca="false">IF(AND(D321="Yes",Inputs!$C$10="Advance",MOD(A321-1,Inputs!$C$22)=0),Inputs!$C$8*E321,0)</f>
        <v>0</v>
      </c>
      <c r="G321" s="28" t="n">
        <f aca="false">IF(AND(D321="Yes",Inputs!$C$10="Arrears",MOD(A321,Inputs!$C$22)=0),Inputs!$C$8*IF(N(Inputs!$C$12)=0,1,(1+Inputs!$C$11)^INT((A321-Inputs!$C$22)/Inputs!$C$12)),0)</f>
        <v>0</v>
      </c>
      <c r="H321" s="29" t="n">
        <f aca="false">1/(1+Inputs!$C$23)^(A321-1)</f>
        <v>0.094456728862834</v>
      </c>
      <c r="I321" s="29" t="n">
        <f aca="false">1/(1+Inputs!$C$23)^A321</f>
        <v>0.0937450600250809</v>
      </c>
      <c r="J321" s="30" t="n">
        <f aca="false">F321*H321+G321*I321</f>
        <v>0</v>
      </c>
      <c r="K321" s="30" t="n">
        <f aca="false">M320</f>
        <v>-2.31665708150703E-009</v>
      </c>
      <c r="L321" s="30" t="n">
        <f aca="false">IF(D321="Yes",(K321-F321)*Inputs!$C$23,0)</f>
        <v>0</v>
      </c>
      <c r="M321" s="30" t="n">
        <f aca="false">K321-F321+L321-G321</f>
        <v>-2.31665708150703E-009</v>
      </c>
      <c r="N321" s="30" t="n">
        <f aca="false">F321+G321</f>
        <v>0</v>
      </c>
      <c r="O321" s="30" t="n">
        <f aca="false">N321-L321</f>
        <v>0</v>
      </c>
      <c r="P321" s="30" t="n">
        <f aca="false">R320</f>
        <v>1.30967237055302E-009</v>
      </c>
      <c r="Q321" s="30" t="n">
        <f aca="false">IF(A321&lt;=Inputs!$C$24,Inputs!$C$29/Inputs!$C$24,0)</f>
        <v>0</v>
      </c>
      <c r="R321" s="30" t="n">
        <f aca="false">P321-Q321</f>
        <v>1.30967237055302E-009</v>
      </c>
      <c r="S321" s="10" t="str">
        <f aca="false">"FY "&amp;(YEAR(B321)-(MONTH(B321)&lt;4))&amp;"-"&amp;RIGHT(YEAR(B321)-(MONTH(B321)&lt;4)+1,2)</f>
        <v>FY 2052-53</v>
      </c>
    </row>
    <row r="322" customFormat="false" ht="15" hidden="false" customHeight="false" outlineLevel="0" collapsed="false">
      <c r="A322" s="22" t="n">
        <v>314</v>
      </c>
      <c r="B322" s="24" t="n">
        <f aca="false">EDATE(Inputs!$C$6,A322-1)</f>
        <v>55640</v>
      </c>
      <c r="C322" s="24" t="n">
        <f aca="false">EDATE(Inputs!$C$6,A322)-1</f>
        <v>55670</v>
      </c>
      <c r="D322" s="10" t="str">
        <f aca="false">IF(A322&lt;=Inputs!$C$7,"Yes","No")</f>
        <v>No</v>
      </c>
      <c r="E322" s="27" t="n">
        <f aca="false">IF(N(Inputs!$C$12)=0,1,(1+Inputs!$C$11)^INT((A322-1)/Inputs!$C$12))</f>
        <v>3.55567268794436</v>
      </c>
      <c r="F322" s="28" t="n">
        <f aca="false">IF(AND(D322="Yes",Inputs!$C$10="Advance",MOD(A322-1,Inputs!$C$22)=0),Inputs!$C$8*E322,0)</f>
        <v>0</v>
      </c>
      <c r="G322" s="28" t="n">
        <f aca="false">IF(AND(D322="Yes",Inputs!$C$10="Arrears",MOD(A322,Inputs!$C$22)=0),Inputs!$C$8*IF(N(Inputs!$C$12)=0,1,(1+Inputs!$C$11)^INT((A322-Inputs!$C$22)/Inputs!$C$12)),0)</f>
        <v>0</v>
      </c>
      <c r="H322" s="29" t="n">
        <f aca="false">1/(1+Inputs!$C$23)^(A322-1)</f>
        <v>0.0937450600250809</v>
      </c>
      <c r="I322" s="29" t="n">
        <f aca="false">1/(1+Inputs!$C$23)^A322</f>
        <v>0.0930387531402635</v>
      </c>
      <c r="J322" s="30" t="n">
        <f aca="false">F322*H322+G322*I322</f>
        <v>0</v>
      </c>
      <c r="K322" s="30" t="n">
        <f aca="false">M321</f>
        <v>-2.31665708150703E-009</v>
      </c>
      <c r="L322" s="30" t="n">
        <f aca="false">IF(D322="Yes",(K322-F322)*Inputs!$C$23,0)</f>
        <v>0</v>
      </c>
      <c r="M322" s="30" t="n">
        <f aca="false">K322-F322+L322-G322</f>
        <v>-2.31665708150703E-009</v>
      </c>
      <c r="N322" s="30" t="n">
        <f aca="false">F322+G322</f>
        <v>0</v>
      </c>
      <c r="O322" s="30" t="n">
        <f aca="false">N322-L322</f>
        <v>0</v>
      </c>
      <c r="P322" s="30" t="n">
        <f aca="false">R321</f>
        <v>1.30967237055302E-009</v>
      </c>
      <c r="Q322" s="30" t="n">
        <f aca="false">IF(A322&lt;=Inputs!$C$24,Inputs!$C$29/Inputs!$C$24,0)</f>
        <v>0</v>
      </c>
      <c r="R322" s="30" t="n">
        <f aca="false">P322-Q322</f>
        <v>1.30967237055302E-009</v>
      </c>
      <c r="S322" s="10" t="str">
        <f aca="false">"FY "&amp;(YEAR(B322)-(MONTH(B322)&lt;4))&amp;"-"&amp;RIGHT(YEAR(B322)-(MONTH(B322)&lt;4)+1,2)</f>
        <v>FY 2052-53</v>
      </c>
    </row>
    <row r="323" customFormat="false" ht="15" hidden="false" customHeight="false" outlineLevel="0" collapsed="false">
      <c r="A323" s="22" t="n">
        <v>315</v>
      </c>
      <c r="B323" s="24" t="n">
        <f aca="false">EDATE(Inputs!$C$6,A323-1)</f>
        <v>55671</v>
      </c>
      <c r="C323" s="24" t="n">
        <f aca="false">EDATE(Inputs!$C$6,A323)-1</f>
        <v>55700</v>
      </c>
      <c r="D323" s="10" t="str">
        <f aca="false">IF(A323&lt;=Inputs!$C$7,"Yes","No")</f>
        <v>No</v>
      </c>
      <c r="E323" s="27" t="n">
        <f aca="false">IF(N(Inputs!$C$12)=0,1,(1+Inputs!$C$11)^INT((A323-1)/Inputs!$C$12))</f>
        <v>3.55567268794436</v>
      </c>
      <c r="F323" s="28" t="n">
        <f aca="false">IF(AND(D323="Yes",Inputs!$C$10="Advance",MOD(A323-1,Inputs!$C$22)=0),Inputs!$C$8*E323,0)</f>
        <v>0</v>
      </c>
      <c r="G323" s="28" t="n">
        <f aca="false">IF(AND(D323="Yes",Inputs!$C$10="Arrears",MOD(A323,Inputs!$C$22)=0),Inputs!$C$8*IF(N(Inputs!$C$12)=0,1,(1+Inputs!$C$11)^INT((A323-Inputs!$C$22)/Inputs!$C$12)),0)</f>
        <v>0</v>
      </c>
      <c r="H323" s="29" t="n">
        <f aca="false">1/(1+Inputs!$C$23)^(A323-1)</f>
        <v>0.0930387531402635</v>
      </c>
      <c r="I323" s="29" t="n">
        <f aca="false">1/(1+Inputs!$C$23)^A323</f>
        <v>0.0923377678096209</v>
      </c>
      <c r="J323" s="30" t="n">
        <f aca="false">F323*H323+G323*I323</f>
        <v>0</v>
      </c>
      <c r="K323" s="30" t="n">
        <f aca="false">M322</f>
        <v>-2.31665708150703E-009</v>
      </c>
      <c r="L323" s="30" t="n">
        <f aca="false">IF(D323="Yes",(K323-F323)*Inputs!$C$23,0)</f>
        <v>0</v>
      </c>
      <c r="M323" s="30" t="n">
        <f aca="false">K323-F323+L323-G323</f>
        <v>-2.31665708150703E-009</v>
      </c>
      <c r="N323" s="30" t="n">
        <f aca="false">F323+G323</f>
        <v>0</v>
      </c>
      <c r="O323" s="30" t="n">
        <f aca="false">N323-L323</f>
        <v>0</v>
      </c>
      <c r="P323" s="30" t="n">
        <f aca="false">R322</f>
        <v>1.30967237055302E-009</v>
      </c>
      <c r="Q323" s="30" t="n">
        <f aca="false">IF(A323&lt;=Inputs!$C$24,Inputs!$C$29/Inputs!$C$24,0)</f>
        <v>0</v>
      </c>
      <c r="R323" s="30" t="n">
        <f aca="false">P323-Q323</f>
        <v>1.30967237055302E-009</v>
      </c>
      <c r="S323" s="10" t="str">
        <f aca="false">"FY "&amp;(YEAR(B323)-(MONTH(B323)&lt;4))&amp;"-"&amp;RIGHT(YEAR(B323)-(MONTH(B323)&lt;4)+1,2)</f>
        <v>FY 2052-53</v>
      </c>
    </row>
    <row r="324" customFormat="false" ht="15" hidden="false" customHeight="false" outlineLevel="0" collapsed="false">
      <c r="A324" s="22" t="n">
        <v>316</v>
      </c>
      <c r="B324" s="24" t="n">
        <f aca="false">EDATE(Inputs!$C$6,A324-1)</f>
        <v>55701</v>
      </c>
      <c r="C324" s="24" t="n">
        <f aca="false">EDATE(Inputs!$C$6,A324)-1</f>
        <v>55731</v>
      </c>
      <c r="D324" s="10" t="str">
        <f aca="false">IF(A324&lt;=Inputs!$C$7,"Yes","No")</f>
        <v>No</v>
      </c>
      <c r="E324" s="27" t="n">
        <f aca="false">IF(N(Inputs!$C$12)=0,1,(1+Inputs!$C$11)^INT((A324-1)/Inputs!$C$12))</f>
        <v>3.55567268794436</v>
      </c>
      <c r="F324" s="28" t="n">
        <f aca="false">IF(AND(D324="Yes",Inputs!$C$10="Advance",MOD(A324-1,Inputs!$C$22)=0),Inputs!$C$8*E324,0)</f>
        <v>0</v>
      </c>
      <c r="G324" s="28" t="n">
        <f aca="false">IF(AND(D324="Yes",Inputs!$C$10="Arrears",MOD(A324,Inputs!$C$22)=0),Inputs!$C$8*IF(N(Inputs!$C$12)=0,1,(1+Inputs!$C$11)^INT((A324-Inputs!$C$22)/Inputs!$C$12)),0)</f>
        <v>0</v>
      </c>
      <c r="H324" s="29" t="n">
        <f aca="false">1/(1+Inputs!$C$23)^(A324-1)</f>
        <v>0.0923377678096209</v>
      </c>
      <c r="I324" s="29" t="n">
        <f aca="false">1/(1+Inputs!$C$23)^A324</f>
        <v>0.09164206393877</v>
      </c>
      <c r="J324" s="30" t="n">
        <f aca="false">F324*H324+G324*I324</f>
        <v>0</v>
      </c>
      <c r="K324" s="30" t="n">
        <f aca="false">M323</f>
        <v>-2.31665708150703E-009</v>
      </c>
      <c r="L324" s="30" t="n">
        <f aca="false">IF(D324="Yes",(K324-F324)*Inputs!$C$23,0)</f>
        <v>0</v>
      </c>
      <c r="M324" s="30" t="n">
        <f aca="false">K324-F324+L324-G324</f>
        <v>-2.31665708150703E-009</v>
      </c>
      <c r="N324" s="30" t="n">
        <f aca="false">F324+G324</f>
        <v>0</v>
      </c>
      <c r="O324" s="30" t="n">
        <f aca="false">N324-L324</f>
        <v>0</v>
      </c>
      <c r="P324" s="30" t="n">
        <f aca="false">R323</f>
        <v>1.30967237055302E-009</v>
      </c>
      <c r="Q324" s="30" t="n">
        <f aca="false">IF(A324&lt;=Inputs!$C$24,Inputs!$C$29/Inputs!$C$24,0)</f>
        <v>0</v>
      </c>
      <c r="R324" s="30" t="n">
        <f aca="false">P324-Q324</f>
        <v>1.30967237055302E-009</v>
      </c>
      <c r="S324" s="10" t="str">
        <f aca="false">"FY "&amp;(YEAR(B324)-(MONTH(B324)&lt;4))&amp;"-"&amp;RIGHT(YEAR(B324)-(MONTH(B324)&lt;4)+1,2)</f>
        <v>FY 2052-53</v>
      </c>
    </row>
    <row r="325" customFormat="false" ht="15" hidden="false" customHeight="false" outlineLevel="0" collapsed="false">
      <c r="A325" s="22" t="n">
        <v>317</v>
      </c>
      <c r="B325" s="24" t="n">
        <f aca="false">EDATE(Inputs!$C$6,A325-1)</f>
        <v>55732</v>
      </c>
      <c r="C325" s="24" t="n">
        <f aca="false">EDATE(Inputs!$C$6,A325)-1</f>
        <v>55762</v>
      </c>
      <c r="D325" s="10" t="str">
        <f aca="false">IF(A325&lt;=Inputs!$C$7,"Yes","No")</f>
        <v>No</v>
      </c>
      <c r="E325" s="27" t="n">
        <f aca="false">IF(N(Inputs!$C$12)=0,1,(1+Inputs!$C$11)^INT((A325-1)/Inputs!$C$12))</f>
        <v>3.55567268794436</v>
      </c>
      <c r="F325" s="28" t="n">
        <f aca="false">IF(AND(D325="Yes",Inputs!$C$10="Advance",MOD(A325-1,Inputs!$C$22)=0),Inputs!$C$8*E325,0)</f>
        <v>0</v>
      </c>
      <c r="G325" s="28" t="n">
        <f aca="false">IF(AND(D325="Yes",Inputs!$C$10="Arrears",MOD(A325,Inputs!$C$22)=0),Inputs!$C$8*IF(N(Inputs!$C$12)=0,1,(1+Inputs!$C$11)^INT((A325-Inputs!$C$22)/Inputs!$C$12)),0)</f>
        <v>0</v>
      </c>
      <c r="H325" s="29" t="n">
        <f aca="false">1/(1+Inputs!$C$23)^(A325-1)</f>
        <v>0.09164206393877</v>
      </c>
      <c r="I325" s="29" t="n">
        <f aca="false">1/(1+Inputs!$C$23)^A325</f>
        <v>0.0909516017354122</v>
      </c>
      <c r="J325" s="30" t="n">
        <f aca="false">F325*H325+G325*I325</f>
        <v>0</v>
      </c>
      <c r="K325" s="30" t="n">
        <f aca="false">M324</f>
        <v>-2.31665708150703E-009</v>
      </c>
      <c r="L325" s="30" t="n">
        <f aca="false">IF(D325="Yes",(K325-F325)*Inputs!$C$23,0)</f>
        <v>0</v>
      </c>
      <c r="M325" s="30" t="n">
        <f aca="false">K325-F325+L325-G325</f>
        <v>-2.31665708150703E-009</v>
      </c>
      <c r="N325" s="30" t="n">
        <f aca="false">F325+G325</f>
        <v>0</v>
      </c>
      <c r="O325" s="30" t="n">
        <f aca="false">N325-L325</f>
        <v>0</v>
      </c>
      <c r="P325" s="30" t="n">
        <f aca="false">R324</f>
        <v>1.30967237055302E-009</v>
      </c>
      <c r="Q325" s="30" t="n">
        <f aca="false">IF(A325&lt;=Inputs!$C$24,Inputs!$C$29/Inputs!$C$24,0)</f>
        <v>0</v>
      </c>
      <c r="R325" s="30" t="n">
        <f aca="false">P325-Q325</f>
        <v>1.30967237055302E-009</v>
      </c>
      <c r="S325" s="10" t="str">
        <f aca="false">"FY "&amp;(YEAR(B325)-(MONTH(B325)&lt;4))&amp;"-"&amp;RIGHT(YEAR(B325)-(MONTH(B325)&lt;4)+1,2)</f>
        <v>FY 2052-53</v>
      </c>
    </row>
    <row r="326" customFormat="false" ht="15" hidden="false" customHeight="false" outlineLevel="0" collapsed="false">
      <c r="A326" s="22" t="n">
        <v>318</v>
      </c>
      <c r="B326" s="24" t="n">
        <f aca="false">EDATE(Inputs!$C$6,A326-1)</f>
        <v>55763</v>
      </c>
      <c r="C326" s="24" t="n">
        <f aca="false">EDATE(Inputs!$C$6,A326)-1</f>
        <v>55792</v>
      </c>
      <c r="D326" s="10" t="str">
        <f aca="false">IF(A326&lt;=Inputs!$C$7,"Yes","No")</f>
        <v>No</v>
      </c>
      <c r="E326" s="27" t="n">
        <f aca="false">IF(N(Inputs!$C$12)=0,1,(1+Inputs!$C$11)^INT((A326-1)/Inputs!$C$12))</f>
        <v>3.55567268794436</v>
      </c>
      <c r="F326" s="28" t="n">
        <f aca="false">IF(AND(D326="Yes",Inputs!$C$10="Advance",MOD(A326-1,Inputs!$C$22)=0),Inputs!$C$8*E326,0)</f>
        <v>0</v>
      </c>
      <c r="G326" s="28" t="n">
        <f aca="false">IF(AND(D326="Yes",Inputs!$C$10="Arrears",MOD(A326,Inputs!$C$22)=0),Inputs!$C$8*IF(N(Inputs!$C$12)=0,1,(1+Inputs!$C$11)^INT((A326-Inputs!$C$22)/Inputs!$C$12)),0)</f>
        <v>0</v>
      </c>
      <c r="H326" s="29" t="n">
        <f aca="false">1/(1+Inputs!$C$23)^(A326-1)</f>
        <v>0.0909516017354122</v>
      </c>
      <c r="I326" s="29" t="n">
        <f aca="false">1/(1+Inputs!$C$23)^A326</f>
        <v>0.0902663417070576</v>
      </c>
      <c r="J326" s="30" t="n">
        <f aca="false">F326*H326+G326*I326</f>
        <v>0</v>
      </c>
      <c r="K326" s="30" t="n">
        <f aca="false">M325</f>
        <v>-2.31665708150703E-009</v>
      </c>
      <c r="L326" s="30" t="n">
        <f aca="false">IF(D326="Yes",(K326-F326)*Inputs!$C$23,0)</f>
        <v>0</v>
      </c>
      <c r="M326" s="30" t="n">
        <f aca="false">K326-F326+L326-G326</f>
        <v>-2.31665708150703E-009</v>
      </c>
      <c r="N326" s="30" t="n">
        <f aca="false">F326+G326</f>
        <v>0</v>
      </c>
      <c r="O326" s="30" t="n">
        <f aca="false">N326-L326</f>
        <v>0</v>
      </c>
      <c r="P326" s="30" t="n">
        <f aca="false">R325</f>
        <v>1.30967237055302E-009</v>
      </c>
      <c r="Q326" s="30" t="n">
        <f aca="false">IF(A326&lt;=Inputs!$C$24,Inputs!$C$29/Inputs!$C$24,0)</f>
        <v>0</v>
      </c>
      <c r="R326" s="30" t="n">
        <f aca="false">P326-Q326</f>
        <v>1.30967237055302E-009</v>
      </c>
      <c r="S326" s="10" t="str">
        <f aca="false">"FY "&amp;(YEAR(B326)-(MONTH(B326)&lt;4))&amp;"-"&amp;RIGHT(YEAR(B326)-(MONTH(B326)&lt;4)+1,2)</f>
        <v>FY 2052-53</v>
      </c>
    </row>
    <row r="327" customFormat="false" ht="15" hidden="false" customHeight="false" outlineLevel="0" collapsed="false">
      <c r="A327" s="22" t="n">
        <v>319</v>
      </c>
      <c r="B327" s="24" t="n">
        <f aca="false">EDATE(Inputs!$C$6,A327-1)</f>
        <v>55793</v>
      </c>
      <c r="C327" s="24" t="n">
        <f aca="false">EDATE(Inputs!$C$6,A327)-1</f>
        <v>55823</v>
      </c>
      <c r="D327" s="10" t="str">
        <f aca="false">IF(A327&lt;=Inputs!$C$7,"Yes","No")</f>
        <v>No</v>
      </c>
      <c r="E327" s="27" t="n">
        <f aca="false">IF(N(Inputs!$C$12)=0,1,(1+Inputs!$C$11)^INT((A327-1)/Inputs!$C$12))</f>
        <v>3.55567268794436</v>
      </c>
      <c r="F327" s="28" t="n">
        <f aca="false">IF(AND(D327="Yes",Inputs!$C$10="Advance",MOD(A327-1,Inputs!$C$22)=0),Inputs!$C$8*E327,0)</f>
        <v>0</v>
      </c>
      <c r="G327" s="28" t="n">
        <f aca="false">IF(AND(D327="Yes",Inputs!$C$10="Arrears",MOD(A327,Inputs!$C$22)=0),Inputs!$C$8*IF(N(Inputs!$C$12)=0,1,(1+Inputs!$C$11)^INT((A327-Inputs!$C$22)/Inputs!$C$12)),0)</f>
        <v>0</v>
      </c>
      <c r="H327" s="29" t="n">
        <f aca="false">1/(1+Inputs!$C$23)^(A327-1)</f>
        <v>0.0902663417070576</v>
      </c>
      <c r="I327" s="29" t="n">
        <f aca="false">1/(1+Inputs!$C$23)^A327</f>
        <v>0.0895862446587661</v>
      </c>
      <c r="J327" s="30" t="n">
        <f aca="false">F327*H327+G327*I327</f>
        <v>0</v>
      </c>
      <c r="K327" s="30" t="n">
        <f aca="false">M326</f>
        <v>-2.31665708150703E-009</v>
      </c>
      <c r="L327" s="30" t="n">
        <f aca="false">IF(D327="Yes",(K327-F327)*Inputs!$C$23,0)</f>
        <v>0</v>
      </c>
      <c r="M327" s="30" t="n">
        <f aca="false">K327-F327+L327-G327</f>
        <v>-2.31665708150703E-009</v>
      </c>
      <c r="N327" s="30" t="n">
        <f aca="false">F327+G327</f>
        <v>0</v>
      </c>
      <c r="O327" s="30" t="n">
        <f aca="false">N327-L327</f>
        <v>0</v>
      </c>
      <c r="P327" s="30" t="n">
        <f aca="false">R326</f>
        <v>1.30967237055302E-009</v>
      </c>
      <c r="Q327" s="30" t="n">
        <f aca="false">IF(A327&lt;=Inputs!$C$24,Inputs!$C$29/Inputs!$C$24,0)</f>
        <v>0</v>
      </c>
      <c r="R327" s="30" t="n">
        <f aca="false">P327-Q327</f>
        <v>1.30967237055302E-009</v>
      </c>
      <c r="S327" s="10" t="str">
        <f aca="false">"FY "&amp;(YEAR(B327)-(MONTH(B327)&lt;4))&amp;"-"&amp;RIGHT(YEAR(B327)-(MONTH(B327)&lt;4)+1,2)</f>
        <v>FY 2052-53</v>
      </c>
    </row>
    <row r="328" customFormat="false" ht="15" hidden="false" customHeight="false" outlineLevel="0" collapsed="false">
      <c r="A328" s="22" t="n">
        <v>320</v>
      </c>
      <c r="B328" s="24" t="n">
        <f aca="false">EDATE(Inputs!$C$6,A328-1)</f>
        <v>55824</v>
      </c>
      <c r="C328" s="24" t="n">
        <f aca="false">EDATE(Inputs!$C$6,A328)-1</f>
        <v>55853</v>
      </c>
      <c r="D328" s="10" t="str">
        <f aca="false">IF(A328&lt;=Inputs!$C$7,"Yes","No")</f>
        <v>No</v>
      </c>
      <c r="E328" s="27" t="n">
        <f aca="false">IF(N(Inputs!$C$12)=0,1,(1+Inputs!$C$11)^INT((A328-1)/Inputs!$C$12))</f>
        <v>3.55567268794436</v>
      </c>
      <c r="F328" s="28" t="n">
        <f aca="false">IF(AND(D328="Yes",Inputs!$C$10="Advance",MOD(A328-1,Inputs!$C$22)=0),Inputs!$C$8*E328,0)</f>
        <v>0</v>
      </c>
      <c r="G328" s="28" t="n">
        <f aca="false">IF(AND(D328="Yes",Inputs!$C$10="Arrears",MOD(A328,Inputs!$C$22)=0),Inputs!$C$8*IF(N(Inputs!$C$12)=0,1,(1+Inputs!$C$11)^INT((A328-Inputs!$C$22)/Inputs!$C$12)),0)</f>
        <v>0</v>
      </c>
      <c r="H328" s="29" t="n">
        <f aca="false">1/(1+Inputs!$C$23)^(A328-1)</f>
        <v>0.0895862446587661</v>
      </c>
      <c r="I328" s="29" t="n">
        <f aca="false">1/(1+Inputs!$C$23)^A328</f>
        <v>0.0889112716909053</v>
      </c>
      <c r="J328" s="30" t="n">
        <f aca="false">F328*H328+G328*I328</f>
        <v>0</v>
      </c>
      <c r="K328" s="30" t="n">
        <f aca="false">M327</f>
        <v>-2.31665708150703E-009</v>
      </c>
      <c r="L328" s="30" t="n">
        <f aca="false">IF(D328="Yes",(K328-F328)*Inputs!$C$23,0)</f>
        <v>0</v>
      </c>
      <c r="M328" s="30" t="n">
        <f aca="false">K328-F328+L328-G328</f>
        <v>-2.31665708150703E-009</v>
      </c>
      <c r="N328" s="30" t="n">
        <f aca="false">F328+G328</f>
        <v>0</v>
      </c>
      <c r="O328" s="30" t="n">
        <f aca="false">N328-L328</f>
        <v>0</v>
      </c>
      <c r="P328" s="30" t="n">
        <f aca="false">R327</f>
        <v>1.30967237055302E-009</v>
      </c>
      <c r="Q328" s="30" t="n">
        <f aca="false">IF(A328&lt;=Inputs!$C$24,Inputs!$C$29/Inputs!$C$24,0)</f>
        <v>0</v>
      </c>
      <c r="R328" s="30" t="n">
        <f aca="false">P328-Q328</f>
        <v>1.30967237055302E-009</v>
      </c>
      <c r="S328" s="10" t="str">
        <f aca="false">"FY "&amp;(YEAR(B328)-(MONTH(B328)&lt;4))&amp;"-"&amp;RIGHT(YEAR(B328)-(MONTH(B328)&lt;4)+1,2)</f>
        <v>FY 2052-53</v>
      </c>
    </row>
    <row r="329" customFormat="false" ht="15" hidden="false" customHeight="false" outlineLevel="0" collapsed="false">
      <c r="A329" s="22" t="n">
        <v>321</v>
      </c>
      <c r="B329" s="24" t="n">
        <f aca="false">EDATE(Inputs!$C$6,A329-1)</f>
        <v>55854</v>
      </c>
      <c r="C329" s="24" t="n">
        <f aca="false">EDATE(Inputs!$C$6,A329)-1</f>
        <v>55884</v>
      </c>
      <c r="D329" s="10" t="str">
        <f aca="false">IF(A329&lt;=Inputs!$C$7,"Yes","No")</f>
        <v>No</v>
      </c>
      <c r="E329" s="27" t="n">
        <f aca="false">IF(N(Inputs!$C$12)=0,1,(1+Inputs!$C$11)^INT((A329-1)/Inputs!$C$12))</f>
        <v>3.55567268794436</v>
      </c>
      <c r="F329" s="28" t="n">
        <f aca="false">IF(AND(D329="Yes",Inputs!$C$10="Advance",MOD(A329-1,Inputs!$C$22)=0),Inputs!$C$8*E329,0)</f>
        <v>0</v>
      </c>
      <c r="G329" s="28" t="n">
        <f aca="false">IF(AND(D329="Yes",Inputs!$C$10="Arrears",MOD(A329,Inputs!$C$22)=0),Inputs!$C$8*IF(N(Inputs!$C$12)=0,1,(1+Inputs!$C$11)^INT((A329-Inputs!$C$22)/Inputs!$C$12)),0)</f>
        <v>0</v>
      </c>
      <c r="H329" s="29" t="n">
        <f aca="false">1/(1+Inputs!$C$23)^(A329-1)</f>
        <v>0.0889112716909053</v>
      </c>
      <c r="I329" s="29" t="n">
        <f aca="false">1/(1+Inputs!$C$23)^A329</f>
        <v>0.0882413841969258</v>
      </c>
      <c r="J329" s="30" t="n">
        <f aca="false">F329*H329+G329*I329</f>
        <v>0</v>
      </c>
      <c r="K329" s="30" t="n">
        <f aca="false">M328</f>
        <v>-2.31665708150703E-009</v>
      </c>
      <c r="L329" s="30" t="n">
        <f aca="false">IF(D329="Yes",(K329-F329)*Inputs!$C$23,0)</f>
        <v>0</v>
      </c>
      <c r="M329" s="30" t="n">
        <f aca="false">K329-F329+L329-G329</f>
        <v>-2.31665708150703E-009</v>
      </c>
      <c r="N329" s="30" t="n">
        <f aca="false">F329+G329</f>
        <v>0</v>
      </c>
      <c r="O329" s="30" t="n">
        <f aca="false">N329-L329</f>
        <v>0</v>
      </c>
      <c r="P329" s="30" t="n">
        <f aca="false">R328</f>
        <v>1.30967237055302E-009</v>
      </c>
      <c r="Q329" s="30" t="n">
        <f aca="false">IF(A329&lt;=Inputs!$C$24,Inputs!$C$29/Inputs!$C$24,0)</f>
        <v>0</v>
      </c>
      <c r="R329" s="30" t="n">
        <f aca="false">P329-Q329</f>
        <v>1.30967237055302E-009</v>
      </c>
      <c r="S329" s="10" t="str">
        <f aca="false">"FY "&amp;(YEAR(B329)-(MONTH(B329)&lt;4))&amp;"-"&amp;RIGHT(YEAR(B329)-(MONTH(B329)&lt;4)+1,2)</f>
        <v>FY 2052-53</v>
      </c>
    </row>
    <row r="330" customFormat="false" ht="15" hidden="false" customHeight="false" outlineLevel="0" collapsed="false">
      <c r="A330" s="22" t="n">
        <v>322</v>
      </c>
      <c r="B330" s="24" t="n">
        <f aca="false">EDATE(Inputs!$C$6,A330-1)</f>
        <v>55885</v>
      </c>
      <c r="C330" s="24" t="n">
        <f aca="false">EDATE(Inputs!$C$6,A330)-1</f>
        <v>55915</v>
      </c>
      <c r="D330" s="10" t="str">
        <f aca="false">IF(A330&lt;=Inputs!$C$7,"Yes","No")</f>
        <v>No</v>
      </c>
      <c r="E330" s="27" t="n">
        <f aca="false">IF(N(Inputs!$C$12)=0,1,(1+Inputs!$C$11)^INT((A330-1)/Inputs!$C$12))</f>
        <v>3.55567268794436</v>
      </c>
      <c r="F330" s="28" t="n">
        <f aca="false">IF(AND(D330="Yes",Inputs!$C$10="Advance",MOD(A330-1,Inputs!$C$22)=0),Inputs!$C$8*E330,0)</f>
        <v>0</v>
      </c>
      <c r="G330" s="28" t="n">
        <f aca="false">IF(AND(D330="Yes",Inputs!$C$10="Arrears",MOD(A330,Inputs!$C$22)=0),Inputs!$C$8*IF(N(Inputs!$C$12)=0,1,(1+Inputs!$C$11)^INT((A330-Inputs!$C$22)/Inputs!$C$12)),0)</f>
        <v>0</v>
      </c>
      <c r="H330" s="29" t="n">
        <f aca="false">1/(1+Inputs!$C$23)^(A330-1)</f>
        <v>0.0882413841969258</v>
      </c>
      <c r="I330" s="29" t="n">
        <f aca="false">1/(1+Inputs!$C$23)^A330</f>
        <v>0.0875765438611532</v>
      </c>
      <c r="J330" s="30" t="n">
        <f aca="false">F330*H330+G330*I330</f>
        <v>0</v>
      </c>
      <c r="K330" s="30" t="n">
        <f aca="false">M329</f>
        <v>-2.31665708150703E-009</v>
      </c>
      <c r="L330" s="30" t="n">
        <f aca="false">IF(D330="Yes",(K330-F330)*Inputs!$C$23,0)</f>
        <v>0</v>
      </c>
      <c r="M330" s="30" t="n">
        <f aca="false">K330-F330+L330-G330</f>
        <v>-2.31665708150703E-009</v>
      </c>
      <c r="N330" s="30" t="n">
        <f aca="false">F330+G330</f>
        <v>0</v>
      </c>
      <c r="O330" s="30" t="n">
        <f aca="false">N330-L330</f>
        <v>0</v>
      </c>
      <c r="P330" s="30" t="n">
        <f aca="false">R329</f>
        <v>1.30967237055302E-009</v>
      </c>
      <c r="Q330" s="30" t="n">
        <f aca="false">IF(A330&lt;=Inputs!$C$24,Inputs!$C$29/Inputs!$C$24,0)</f>
        <v>0</v>
      </c>
      <c r="R330" s="30" t="n">
        <f aca="false">P330-Q330</f>
        <v>1.30967237055302E-009</v>
      </c>
      <c r="S330" s="10" t="str">
        <f aca="false">"FY "&amp;(YEAR(B330)-(MONTH(B330)&lt;4))&amp;"-"&amp;RIGHT(YEAR(B330)-(MONTH(B330)&lt;4)+1,2)</f>
        <v>FY 2052-53</v>
      </c>
    </row>
    <row r="331" customFormat="false" ht="15" hidden="false" customHeight="false" outlineLevel="0" collapsed="false">
      <c r="A331" s="22" t="n">
        <v>323</v>
      </c>
      <c r="B331" s="24" t="n">
        <f aca="false">EDATE(Inputs!$C$6,A331-1)</f>
        <v>55916</v>
      </c>
      <c r="C331" s="24" t="n">
        <f aca="false">EDATE(Inputs!$C$6,A331)-1</f>
        <v>55943</v>
      </c>
      <c r="D331" s="10" t="str">
        <f aca="false">IF(A331&lt;=Inputs!$C$7,"Yes","No")</f>
        <v>No</v>
      </c>
      <c r="E331" s="27" t="n">
        <f aca="false">IF(N(Inputs!$C$12)=0,1,(1+Inputs!$C$11)^INT((A331-1)/Inputs!$C$12))</f>
        <v>3.55567268794436</v>
      </c>
      <c r="F331" s="28" t="n">
        <f aca="false">IF(AND(D331="Yes",Inputs!$C$10="Advance",MOD(A331-1,Inputs!$C$22)=0),Inputs!$C$8*E331,0)</f>
        <v>0</v>
      </c>
      <c r="G331" s="28" t="n">
        <f aca="false">IF(AND(D331="Yes",Inputs!$C$10="Arrears",MOD(A331,Inputs!$C$22)=0),Inputs!$C$8*IF(N(Inputs!$C$12)=0,1,(1+Inputs!$C$11)^INT((A331-Inputs!$C$22)/Inputs!$C$12)),0)</f>
        <v>0</v>
      </c>
      <c r="H331" s="29" t="n">
        <f aca="false">1/(1+Inputs!$C$23)^(A331-1)</f>
        <v>0.0875765438611532</v>
      </c>
      <c r="I331" s="29" t="n">
        <f aca="false">1/(1+Inputs!$C$23)^A331</f>
        <v>0.0869167126565959</v>
      </c>
      <c r="J331" s="30" t="n">
        <f aca="false">F331*H331+G331*I331</f>
        <v>0</v>
      </c>
      <c r="K331" s="30" t="n">
        <f aca="false">M330</f>
        <v>-2.31665708150703E-009</v>
      </c>
      <c r="L331" s="30" t="n">
        <f aca="false">IF(D331="Yes",(K331-F331)*Inputs!$C$23,0)</f>
        <v>0</v>
      </c>
      <c r="M331" s="30" t="n">
        <f aca="false">K331-F331+L331-G331</f>
        <v>-2.31665708150703E-009</v>
      </c>
      <c r="N331" s="30" t="n">
        <f aca="false">F331+G331</f>
        <v>0</v>
      </c>
      <c r="O331" s="30" t="n">
        <f aca="false">N331-L331</f>
        <v>0</v>
      </c>
      <c r="P331" s="30" t="n">
        <f aca="false">R330</f>
        <v>1.30967237055302E-009</v>
      </c>
      <c r="Q331" s="30" t="n">
        <f aca="false">IF(A331&lt;=Inputs!$C$24,Inputs!$C$29/Inputs!$C$24,0)</f>
        <v>0</v>
      </c>
      <c r="R331" s="30" t="n">
        <f aca="false">P331-Q331</f>
        <v>1.30967237055302E-009</v>
      </c>
      <c r="S331" s="10" t="str">
        <f aca="false">"FY "&amp;(YEAR(B331)-(MONTH(B331)&lt;4))&amp;"-"&amp;RIGHT(YEAR(B331)-(MONTH(B331)&lt;4)+1,2)</f>
        <v>FY 2052-53</v>
      </c>
    </row>
    <row r="332" customFormat="false" ht="15" hidden="false" customHeight="false" outlineLevel="0" collapsed="false">
      <c r="A332" s="22" t="n">
        <v>324</v>
      </c>
      <c r="B332" s="24" t="n">
        <f aca="false">EDATE(Inputs!$C$6,A332-1)</f>
        <v>55944</v>
      </c>
      <c r="C332" s="24" t="n">
        <f aca="false">EDATE(Inputs!$C$6,A332)-1</f>
        <v>55974</v>
      </c>
      <c r="D332" s="10" t="str">
        <f aca="false">IF(A332&lt;=Inputs!$C$7,"Yes","No")</f>
        <v>No</v>
      </c>
      <c r="E332" s="27" t="n">
        <f aca="false">IF(N(Inputs!$C$12)=0,1,(1+Inputs!$C$11)^INT((A332-1)/Inputs!$C$12))</f>
        <v>3.55567268794436</v>
      </c>
      <c r="F332" s="28" t="n">
        <f aca="false">IF(AND(D332="Yes",Inputs!$C$10="Advance",MOD(A332-1,Inputs!$C$22)=0),Inputs!$C$8*E332,0)</f>
        <v>0</v>
      </c>
      <c r="G332" s="28" t="n">
        <f aca="false">IF(AND(D332="Yes",Inputs!$C$10="Arrears",MOD(A332,Inputs!$C$22)=0),Inputs!$C$8*IF(N(Inputs!$C$12)=0,1,(1+Inputs!$C$11)^INT((A332-Inputs!$C$22)/Inputs!$C$12)),0)</f>
        <v>0</v>
      </c>
      <c r="H332" s="29" t="n">
        <f aca="false">1/(1+Inputs!$C$23)^(A332-1)</f>
        <v>0.0869167126565959</v>
      </c>
      <c r="I332" s="29" t="n">
        <f aca="false">1/(1+Inputs!$C$23)^A332</f>
        <v>0.0862618528427708</v>
      </c>
      <c r="J332" s="30" t="n">
        <f aca="false">F332*H332+G332*I332</f>
        <v>0</v>
      </c>
      <c r="K332" s="30" t="n">
        <f aca="false">M331</f>
        <v>-2.31665708150703E-009</v>
      </c>
      <c r="L332" s="30" t="n">
        <f aca="false">IF(D332="Yes",(K332-F332)*Inputs!$C$23,0)</f>
        <v>0</v>
      </c>
      <c r="M332" s="30" t="n">
        <f aca="false">K332-F332+L332-G332</f>
        <v>-2.31665708150703E-009</v>
      </c>
      <c r="N332" s="30" t="n">
        <f aca="false">F332+G332</f>
        <v>0</v>
      </c>
      <c r="O332" s="30" t="n">
        <f aca="false">N332-L332</f>
        <v>0</v>
      </c>
      <c r="P332" s="30" t="n">
        <f aca="false">R331</f>
        <v>1.30967237055302E-009</v>
      </c>
      <c r="Q332" s="30" t="n">
        <f aca="false">IF(A332&lt;=Inputs!$C$24,Inputs!$C$29/Inputs!$C$24,0)</f>
        <v>0</v>
      </c>
      <c r="R332" s="30" t="n">
        <f aca="false">P332-Q332</f>
        <v>1.30967237055302E-009</v>
      </c>
      <c r="S332" s="10" t="str">
        <f aca="false">"FY "&amp;(YEAR(B332)-(MONTH(B332)&lt;4))&amp;"-"&amp;RIGHT(YEAR(B332)-(MONTH(B332)&lt;4)+1,2)</f>
        <v>FY 2052-53</v>
      </c>
    </row>
    <row r="333" customFormat="false" ht="15" hidden="false" customHeight="false" outlineLevel="0" collapsed="false">
      <c r="A333" s="22" t="n">
        <v>325</v>
      </c>
      <c r="B333" s="24" t="n">
        <f aca="false">EDATE(Inputs!$C$6,A333-1)</f>
        <v>55975</v>
      </c>
      <c r="C333" s="24" t="n">
        <f aca="false">EDATE(Inputs!$C$6,A333)-1</f>
        <v>56004</v>
      </c>
      <c r="D333" s="10" t="str">
        <f aca="false">IF(A333&lt;=Inputs!$C$7,"Yes","No")</f>
        <v>No</v>
      </c>
      <c r="E333" s="27" t="n">
        <f aca="false">IF(N(Inputs!$C$12)=0,1,(1+Inputs!$C$11)^INT((A333-1)/Inputs!$C$12))</f>
        <v>3.73345632234158</v>
      </c>
      <c r="F333" s="28" t="n">
        <f aca="false">IF(AND(D333="Yes",Inputs!$C$10="Advance",MOD(A333-1,Inputs!$C$22)=0),Inputs!$C$8*E333,0)</f>
        <v>0</v>
      </c>
      <c r="G333" s="28" t="n">
        <f aca="false">IF(AND(D333="Yes",Inputs!$C$10="Arrears",MOD(A333,Inputs!$C$22)=0),Inputs!$C$8*IF(N(Inputs!$C$12)=0,1,(1+Inputs!$C$11)^INT((A333-Inputs!$C$22)/Inputs!$C$12)),0)</f>
        <v>0</v>
      </c>
      <c r="H333" s="29" t="n">
        <f aca="false">1/(1+Inputs!$C$23)^(A333-1)</f>
        <v>0.0862618528427708</v>
      </c>
      <c r="I333" s="29" t="n">
        <f aca="false">1/(1+Inputs!$C$23)^A333</f>
        <v>0.0856119269635443</v>
      </c>
      <c r="J333" s="30" t="n">
        <f aca="false">F333*H333+G333*I333</f>
        <v>0</v>
      </c>
      <c r="K333" s="30" t="n">
        <f aca="false">M332</f>
        <v>-2.31665708150703E-009</v>
      </c>
      <c r="L333" s="30" t="n">
        <f aca="false">IF(D333="Yes",(K333-F333)*Inputs!$C$23,0)</f>
        <v>0</v>
      </c>
      <c r="M333" s="30" t="n">
        <f aca="false">K333-F333+L333-G333</f>
        <v>-2.31665708150703E-009</v>
      </c>
      <c r="N333" s="30" t="n">
        <f aca="false">F333+G333</f>
        <v>0</v>
      </c>
      <c r="O333" s="30" t="n">
        <f aca="false">N333-L333</f>
        <v>0</v>
      </c>
      <c r="P333" s="30" t="n">
        <f aca="false">R332</f>
        <v>1.30967237055302E-009</v>
      </c>
      <c r="Q333" s="30" t="n">
        <f aca="false">IF(A333&lt;=Inputs!$C$24,Inputs!$C$29/Inputs!$C$24,0)</f>
        <v>0</v>
      </c>
      <c r="R333" s="30" t="n">
        <f aca="false">P333-Q333</f>
        <v>1.30967237055302E-009</v>
      </c>
      <c r="S333" s="10" t="str">
        <f aca="false">"FY "&amp;(YEAR(B333)-(MONTH(B333)&lt;4))&amp;"-"&amp;RIGHT(YEAR(B333)-(MONTH(B333)&lt;4)+1,2)</f>
        <v>FY 2053-54</v>
      </c>
    </row>
    <row r="334" customFormat="false" ht="15" hidden="false" customHeight="false" outlineLevel="0" collapsed="false">
      <c r="A334" s="22" t="n">
        <v>326</v>
      </c>
      <c r="B334" s="24" t="n">
        <f aca="false">EDATE(Inputs!$C$6,A334-1)</f>
        <v>56005</v>
      </c>
      <c r="C334" s="24" t="n">
        <f aca="false">EDATE(Inputs!$C$6,A334)-1</f>
        <v>56035</v>
      </c>
      <c r="D334" s="10" t="str">
        <f aca="false">IF(A334&lt;=Inputs!$C$7,"Yes","No")</f>
        <v>No</v>
      </c>
      <c r="E334" s="27" t="n">
        <f aca="false">IF(N(Inputs!$C$12)=0,1,(1+Inputs!$C$11)^INT((A334-1)/Inputs!$C$12))</f>
        <v>3.73345632234158</v>
      </c>
      <c r="F334" s="28" t="n">
        <f aca="false">IF(AND(D334="Yes",Inputs!$C$10="Advance",MOD(A334-1,Inputs!$C$22)=0),Inputs!$C$8*E334,0)</f>
        <v>0</v>
      </c>
      <c r="G334" s="28" t="n">
        <f aca="false">IF(AND(D334="Yes",Inputs!$C$10="Arrears",MOD(A334,Inputs!$C$22)=0),Inputs!$C$8*IF(N(Inputs!$C$12)=0,1,(1+Inputs!$C$11)^INT((A334-Inputs!$C$22)/Inputs!$C$12)),0)</f>
        <v>0</v>
      </c>
      <c r="H334" s="29" t="n">
        <f aca="false">1/(1+Inputs!$C$23)^(A334-1)</f>
        <v>0.0856119269635443</v>
      </c>
      <c r="I334" s="29" t="n">
        <f aca="false">1/(1+Inputs!$C$23)^A334</f>
        <v>0.0849668978449896</v>
      </c>
      <c r="J334" s="30" t="n">
        <f aca="false">F334*H334+G334*I334</f>
        <v>0</v>
      </c>
      <c r="K334" s="30" t="n">
        <f aca="false">M333</f>
        <v>-2.31665708150703E-009</v>
      </c>
      <c r="L334" s="30" t="n">
        <f aca="false">IF(D334="Yes",(K334-F334)*Inputs!$C$23,0)</f>
        <v>0</v>
      </c>
      <c r="M334" s="30" t="n">
        <f aca="false">K334-F334+L334-G334</f>
        <v>-2.31665708150703E-009</v>
      </c>
      <c r="N334" s="30" t="n">
        <f aca="false">F334+G334</f>
        <v>0</v>
      </c>
      <c r="O334" s="30" t="n">
        <f aca="false">N334-L334</f>
        <v>0</v>
      </c>
      <c r="P334" s="30" t="n">
        <f aca="false">R333</f>
        <v>1.30967237055302E-009</v>
      </c>
      <c r="Q334" s="30" t="n">
        <f aca="false">IF(A334&lt;=Inputs!$C$24,Inputs!$C$29/Inputs!$C$24,0)</f>
        <v>0</v>
      </c>
      <c r="R334" s="30" t="n">
        <f aca="false">P334-Q334</f>
        <v>1.30967237055302E-009</v>
      </c>
      <c r="S334" s="10" t="str">
        <f aca="false">"FY "&amp;(YEAR(B334)-(MONTH(B334)&lt;4))&amp;"-"&amp;RIGHT(YEAR(B334)-(MONTH(B334)&lt;4)+1,2)</f>
        <v>FY 2053-54</v>
      </c>
    </row>
    <row r="335" customFormat="false" ht="15" hidden="false" customHeight="false" outlineLevel="0" collapsed="false">
      <c r="A335" s="22" t="n">
        <v>327</v>
      </c>
      <c r="B335" s="24" t="n">
        <f aca="false">EDATE(Inputs!$C$6,A335-1)</f>
        <v>56036</v>
      </c>
      <c r="C335" s="24" t="n">
        <f aca="false">EDATE(Inputs!$C$6,A335)-1</f>
        <v>56065</v>
      </c>
      <c r="D335" s="10" t="str">
        <f aca="false">IF(A335&lt;=Inputs!$C$7,"Yes","No")</f>
        <v>No</v>
      </c>
      <c r="E335" s="27" t="n">
        <f aca="false">IF(N(Inputs!$C$12)=0,1,(1+Inputs!$C$11)^INT((A335-1)/Inputs!$C$12))</f>
        <v>3.73345632234158</v>
      </c>
      <c r="F335" s="28" t="n">
        <f aca="false">IF(AND(D335="Yes",Inputs!$C$10="Advance",MOD(A335-1,Inputs!$C$22)=0),Inputs!$C$8*E335,0)</f>
        <v>0</v>
      </c>
      <c r="G335" s="28" t="n">
        <f aca="false">IF(AND(D335="Yes",Inputs!$C$10="Arrears",MOD(A335,Inputs!$C$22)=0),Inputs!$C$8*IF(N(Inputs!$C$12)=0,1,(1+Inputs!$C$11)^INT((A335-Inputs!$C$22)/Inputs!$C$12)),0)</f>
        <v>0</v>
      </c>
      <c r="H335" s="29" t="n">
        <f aca="false">1/(1+Inputs!$C$23)^(A335-1)</f>
        <v>0.0849668978449896</v>
      </c>
      <c r="I335" s="29" t="n">
        <f aca="false">1/(1+Inputs!$C$23)^A335</f>
        <v>0.0843267285932612</v>
      </c>
      <c r="J335" s="30" t="n">
        <f aca="false">F335*H335+G335*I335</f>
        <v>0</v>
      </c>
      <c r="K335" s="30" t="n">
        <f aca="false">M334</f>
        <v>-2.31665708150703E-009</v>
      </c>
      <c r="L335" s="30" t="n">
        <f aca="false">IF(D335="Yes",(K335-F335)*Inputs!$C$23,0)</f>
        <v>0</v>
      </c>
      <c r="M335" s="30" t="n">
        <f aca="false">K335-F335+L335-G335</f>
        <v>-2.31665708150703E-009</v>
      </c>
      <c r="N335" s="30" t="n">
        <f aca="false">F335+G335</f>
        <v>0</v>
      </c>
      <c r="O335" s="30" t="n">
        <f aca="false">N335-L335</f>
        <v>0</v>
      </c>
      <c r="P335" s="30" t="n">
        <f aca="false">R334</f>
        <v>1.30967237055302E-009</v>
      </c>
      <c r="Q335" s="30" t="n">
        <f aca="false">IF(A335&lt;=Inputs!$C$24,Inputs!$C$29/Inputs!$C$24,0)</f>
        <v>0</v>
      </c>
      <c r="R335" s="30" t="n">
        <f aca="false">P335-Q335</f>
        <v>1.30967237055302E-009</v>
      </c>
      <c r="S335" s="10" t="str">
        <f aca="false">"FY "&amp;(YEAR(B335)-(MONTH(B335)&lt;4))&amp;"-"&amp;RIGHT(YEAR(B335)-(MONTH(B335)&lt;4)+1,2)</f>
        <v>FY 2053-54</v>
      </c>
    </row>
    <row r="336" customFormat="false" ht="15" hidden="false" customHeight="false" outlineLevel="0" collapsed="false">
      <c r="A336" s="22" t="n">
        <v>328</v>
      </c>
      <c r="B336" s="24" t="n">
        <f aca="false">EDATE(Inputs!$C$6,A336-1)</f>
        <v>56066</v>
      </c>
      <c r="C336" s="24" t="n">
        <f aca="false">EDATE(Inputs!$C$6,A336)-1</f>
        <v>56096</v>
      </c>
      <c r="D336" s="10" t="str">
        <f aca="false">IF(A336&lt;=Inputs!$C$7,"Yes","No")</f>
        <v>No</v>
      </c>
      <c r="E336" s="27" t="n">
        <f aca="false">IF(N(Inputs!$C$12)=0,1,(1+Inputs!$C$11)^INT((A336-1)/Inputs!$C$12))</f>
        <v>3.73345632234158</v>
      </c>
      <c r="F336" s="28" t="n">
        <f aca="false">IF(AND(D336="Yes",Inputs!$C$10="Advance",MOD(A336-1,Inputs!$C$22)=0),Inputs!$C$8*E336,0)</f>
        <v>0</v>
      </c>
      <c r="G336" s="28" t="n">
        <f aca="false">IF(AND(D336="Yes",Inputs!$C$10="Arrears",MOD(A336,Inputs!$C$22)=0),Inputs!$C$8*IF(N(Inputs!$C$12)=0,1,(1+Inputs!$C$11)^INT((A336-Inputs!$C$22)/Inputs!$C$12)),0)</f>
        <v>0</v>
      </c>
      <c r="H336" s="29" t="n">
        <f aca="false">1/(1+Inputs!$C$23)^(A336-1)</f>
        <v>0.0843267285932612</v>
      </c>
      <c r="I336" s="29" t="n">
        <f aca="false">1/(1+Inputs!$C$23)^A336</f>
        <v>0.0836913825924841</v>
      </c>
      <c r="J336" s="30" t="n">
        <f aca="false">F336*H336+G336*I336</f>
        <v>0</v>
      </c>
      <c r="K336" s="30" t="n">
        <f aca="false">M335</f>
        <v>-2.31665708150703E-009</v>
      </c>
      <c r="L336" s="30" t="n">
        <f aca="false">IF(D336="Yes",(K336-F336)*Inputs!$C$23,0)</f>
        <v>0</v>
      </c>
      <c r="M336" s="30" t="n">
        <f aca="false">K336-F336+L336-G336</f>
        <v>-2.31665708150703E-009</v>
      </c>
      <c r="N336" s="30" t="n">
        <f aca="false">F336+G336</f>
        <v>0</v>
      </c>
      <c r="O336" s="30" t="n">
        <f aca="false">N336-L336</f>
        <v>0</v>
      </c>
      <c r="P336" s="30" t="n">
        <f aca="false">R335</f>
        <v>1.30967237055302E-009</v>
      </c>
      <c r="Q336" s="30" t="n">
        <f aca="false">IF(A336&lt;=Inputs!$C$24,Inputs!$C$29/Inputs!$C$24,0)</f>
        <v>0</v>
      </c>
      <c r="R336" s="30" t="n">
        <f aca="false">P336-Q336</f>
        <v>1.30967237055302E-009</v>
      </c>
      <c r="S336" s="10" t="str">
        <f aca="false">"FY "&amp;(YEAR(B336)-(MONTH(B336)&lt;4))&amp;"-"&amp;RIGHT(YEAR(B336)-(MONTH(B336)&lt;4)+1,2)</f>
        <v>FY 2053-54</v>
      </c>
    </row>
    <row r="337" customFormat="false" ht="15" hidden="false" customHeight="false" outlineLevel="0" collapsed="false">
      <c r="A337" s="22" t="n">
        <v>329</v>
      </c>
      <c r="B337" s="24" t="n">
        <f aca="false">EDATE(Inputs!$C$6,A337-1)</f>
        <v>56097</v>
      </c>
      <c r="C337" s="24" t="n">
        <f aca="false">EDATE(Inputs!$C$6,A337)-1</f>
        <v>56127</v>
      </c>
      <c r="D337" s="10" t="str">
        <f aca="false">IF(A337&lt;=Inputs!$C$7,"Yes","No")</f>
        <v>No</v>
      </c>
      <c r="E337" s="27" t="n">
        <f aca="false">IF(N(Inputs!$C$12)=0,1,(1+Inputs!$C$11)^INT((A337-1)/Inputs!$C$12))</f>
        <v>3.73345632234158</v>
      </c>
      <c r="F337" s="28" t="n">
        <f aca="false">IF(AND(D337="Yes",Inputs!$C$10="Advance",MOD(A337-1,Inputs!$C$22)=0),Inputs!$C$8*E337,0)</f>
        <v>0</v>
      </c>
      <c r="G337" s="28" t="n">
        <f aca="false">IF(AND(D337="Yes",Inputs!$C$10="Arrears",MOD(A337,Inputs!$C$22)=0),Inputs!$C$8*IF(N(Inputs!$C$12)=0,1,(1+Inputs!$C$11)^INT((A337-Inputs!$C$22)/Inputs!$C$12)),0)</f>
        <v>0</v>
      </c>
      <c r="H337" s="29" t="n">
        <f aca="false">1/(1+Inputs!$C$23)^(A337-1)</f>
        <v>0.0836913825924841</v>
      </c>
      <c r="I337" s="29" t="n">
        <f aca="false">1/(1+Inputs!$C$23)^A337</f>
        <v>0.0830608235026596</v>
      </c>
      <c r="J337" s="30" t="n">
        <f aca="false">F337*H337+G337*I337</f>
        <v>0</v>
      </c>
      <c r="K337" s="30" t="n">
        <f aca="false">M336</f>
        <v>-2.31665708150703E-009</v>
      </c>
      <c r="L337" s="30" t="n">
        <f aca="false">IF(D337="Yes",(K337-F337)*Inputs!$C$23,0)</f>
        <v>0</v>
      </c>
      <c r="M337" s="30" t="n">
        <f aca="false">K337-F337+L337-G337</f>
        <v>-2.31665708150703E-009</v>
      </c>
      <c r="N337" s="30" t="n">
        <f aca="false">F337+G337</f>
        <v>0</v>
      </c>
      <c r="O337" s="30" t="n">
        <f aca="false">N337-L337</f>
        <v>0</v>
      </c>
      <c r="P337" s="30" t="n">
        <f aca="false">R336</f>
        <v>1.30967237055302E-009</v>
      </c>
      <c r="Q337" s="30" t="n">
        <f aca="false">IF(A337&lt;=Inputs!$C$24,Inputs!$C$29/Inputs!$C$24,0)</f>
        <v>0</v>
      </c>
      <c r="R337" s="30" t="n">
        <f aca="false">P337-Q337</f>
        <v>1.30967237055302E-009</v>
      </c>
      <c r="S337" s="10" t="str">
        <f aca="false">"FY "&amp;(YEAR(B337)-(MONTH(B337)&lt;4))&amp;"-"&amp;RIGHT(YEAR(B337)-(MONTH(B337)&lt;4)+1,2)</f>
        <v>FY 2053-54</v>
      </c>
    </row>
    <row r="338" customFormat="false" ht="15" hidden="false" customHeight="false" outlineLevel="0" collapsed="false">
      <c r="A338" s="22" t="n">
        <v>330</v>
      </c>
      <c r="B338" s="24" t="n">
        <f aca="false">EDATE(Inputs!$C$6,A338-1)</f>
        <v>56128</v>
      </c>
      <c r="C338" s="24" t="n">
        <f aca="false">EDATE(Inputs!$C$6,A338)-1</f>
        <v>56157</v>
      </c>
      <c r="D338" s="10" t="str">
        <f aca="false">IF(A338&lt;=Inputs!$C$7,"Yes","No")</f>
        <v>No</v>
      </c>
      <c r="E338" s="27" t="n">
        <f aca="false">IF(N(Inputs!$C$12)=0,1,(1+Inputs!$C$11)^INT((A338-1)/Inputs!$C$12))</f>
        <v>3.73345632234158</v>
      </c>
      <c r="F338" s="28" t="n">
        <f aca="false">IF(AND(D338="Yes",Inputs!$C$10="Advance",MOD(A338-1,Inputs!$C$22)=0),Inputs!$C$8*E338,0)</f>
        <v>0</v>
      </c>
      <c r="G338" s="28" t="n">
        <f aca="false">IF(AND(D338="Yes",Inputs!$C$10="Arrears",MOD(A338,Inputs!$C$22)=0),Inputs!$C$8*IF(N(Inputs!$C$12)=0,1,(1+Inputs!$C$11)^INT((A338-Inputs!$C$22)/Inputs!$C$12)),0)</f>
        <v>0</v>
      </c>
      <c r="H338" s="29" t="n">
        <f aca="false">1/(1+Inputs!$C$23)^(A338-1)</f>
        <v>0.0830608235026596</v>
      </c>
      <c r="I338" s="29" t="n">
        <f aca="false">1/(1+Inputs!$C$23)^A338</f>
        <v>0.0824350152575869</v>
      </c>
      <c r="J338" s="30" t="n">
        <f aca="false">F338*H338+G338*I338</f>
        <v>0</v>
      </c>
      <c r="K338" s="30" t="n">
        <f aca="false">M337</f>
        <v>-2.31665708150703E-009</v>
      </c>
      <c r="L338" s="30" t="n">
        <f aca="false">IF(D338="Yes",(K338-F338)*Inputs!$C$23,0)</f>
        <v>0</v>
      </c>
      <c r="M338" s="30" t="n">
        <f aca="false">K338-F338+L338-G338</f>
        <v>-2.31665708150703E-009</v>
      </c>
      <c r="N338" s="30" t="n">
        <f aca="false">F338+G338</f>
        <v>0</v>
      </c>
      <c r="O338" s="30" t="n">
        <f aca="false">N338-L338</f>
        <v>0</v>
      </c>
      <c r="P338" s="30" t="n">
        <f aca="false">R337</f>
        <v>1.30967237055302E-009</v>
      </c>
      <c r="Q338" s="30" t="n">
        <f aca="false">IF(A338&lt;=Inputs!$C$24,Inputs!$C$29/Inputs!$C$24,0)</f>
        <v>0</v>
      </c>
      <c r="R338" s="30" t="n">
        <f aca="false">P338-Q338</f>
        <v>1.30967237055302E-009</v>
      </c>
      <c r="S338" s="10" t="str">
        <f aca="false">"FY "&amp;(YEAR(B338)-(MONTH(B338)&lt;4))&amp;"-"&amp;RIGHT(YEAR(B338)-(MONTH(B338)&lt;4)+1,2)</f>
        <v>FY 2053-54</v>
      </c>
    </row>
    <row r="339" customFormat="false" ht="15" hidden="false" customHeight="false" outlineLevel="0" collapsed="false">
      <c r="A339" s="22" t="n">
        <v>331</v>
      </c>
      <c r="B339" s="24" t="n">
        <f aca="false">EDATE(Inputs!$C$6,A339-1)</f>
        <v>56158</v>
      </c>
      <c r="C339" s="24" t="n">
        <f aca="false">EDATE(Inputs!$C$6,A339)-1</f>
        <v>56188</v>
      </c>
      <c r="D339" s="10" t="str">
        <f aca="false">IF(A339&lt;=Inputs!$C$7,"Yes","No")</f>
        <v>No</v>
      </c>
      <c r="E339" s="27" t="n">
        <f aca="false">IF(N(Inputs!$C$12)=0,1,(1+Inputs!$C$11)^INT((A339-1)/Inputs!$C$12))</f>
        <v>3.73345632234158</v>
      </c>
      <c r="F339" s="28" t="n">
        <f aca="false">IF(AND(D339="Yes",Inputs!$C$10="Advance",MOD(A339-1,Inputs!$C$22)=0),Inputs!$C$8*E339,0)</f>
        <v>0</v>
      </c>
      <c r="G339" s="28" t="n">
        <f aca="false">IF(AND(D339="Yes",Inputs!$C$10="Arrears",MOD(A339,Inputs!$C$22)=0),Inputs!$C$8*IF(N(Inputs!$C$12)=0,1,(1+Inputs!$C$11)^INT((A339-Inputs!$C$22)/Inputs!$C$12)),0)</f>
        <v>0</v>
      </c>
      <c r="H339" s="29" t="n">
        <f aca="false">1/(1+Inputs!$C$23)^(A339-1)</f>
        <v>0.0824350152575869</v>
      </c>
      <c r="I339" s="29" t="n">
        <f aca="false">1/(1+Inputs!$C$23)^A339</f>
        <v>0.0818139220628002</v>
      </c>
      <c r="J339" s="30" t="n">
        <f aca="false">F339*H339+G339*I339</f>
        <v>0</v>
      </c>
      <c r="K339" s="30" t="n">
        <f aca="false">M338</f>
        <v>-2.31665708150703E-009</v>
      </c>
      <c r="L339" s="30" t="n">
        <f aca="false">IF(D339="Yes",(K339-F339)*Inputs!$C$23,0)</f>
        <v>0</v>
      </c>
      <c r="M339" s="30" t="n">
        <f aca="false">K339-F339+L339-G339</f>
        <v>-2.31665708150703E-009</v>
      </c>
      <c r="N339" s="30" t="n">
        <f aca="false">F339+G339</f>
        <v>0</v>
      </c>
      <c r="O339" s="30" t="n">
        <f aca="false">N339-L339</f>
        <v>0</v>
      </c>
      <c r="P339" s="30" t="n">
        <f aca="false">R338</f>
        <v>1.30967237055302E-009</v>
      </c>
      <c r="Q339" s="30" t="n">
        <f aca="false">IF(A339&lt;=Inputs!$C$24,Inputs!$C$29/Inputs!$C$24,0)</f>
        <v>0</v>
      </c>
      <c r="R339" s="30" t="n">
        <f aca="false">P339-Q339</f>
        <v>1.30967237055302E-009</v>
      </c>
      <c r="S339" s="10" t="str">
        <f aca="false">"FY "&amp;(YEAR(B339)-(MONTH(B339)&lt;4))&amp;"-"&amp;RIGHT(YEAR(B339)-(MONTH(B339)&lt;4)+1,2)</f>
        <v>FY 2053-54</v>
      </c>
    </row>
    <row r="340" customFormat="false" ht="15" hidden="false" customHeight="false" outlineLevel="0" collapsed="false">
      <c r="A340" s="22" t="n">
        <v>332</v>
      </c>
      <c r="B340" s="24" t="n">
        <f aca="false">EDATE(Inputs!$C$6,A340-1)</f>
        <v>56189</v>
      </c>
      <c r="C340" s="24" t="n">
        <f aca="false">EDATE(Inputs!$C$6,A340)-1</f>
        <v>56218</v>
      </c>
      <c r="D340" s="10" t="str">
        <f aca="false">IF(A340&lt;=Inputs!$C$7,"Yes","No")</f>
        <v>No</v>
      </c>
      <c r="E340" s="27" t="n">
        <f aca="false">IF(N(Inputs!$C$12)=0,1,(1+Inputs!$C$11)^INT((A340-1)/Inputs!$C$12))</f>
        <v>3.73345632234158</v>
      </c>
      <c r="F340" s="28" t="n">
        <f aca="false">IF(AND(D340="Yes",Inputs!$C$10="Advance",MOD(A340-1,Inputs!$C$22)=0),Inputs!$C$8*E340,0)</f>
        <v>0</v>
      </c>
      <c r="G340" s="28" t="n">
        <f aca="false">IF(AND(D340="Yes",Inputs!$C$10="Arrears",MOD(A340,Inputs!$C$22)=0),Inputs!$C$8*IF(N(Inputs!$C$12)=0,1,(1+Inputs!$C$11)^INT((A340-Inputs!$C$22)/Inputs!$C$12)),0)</f>
        <v>0</v>
      </c>
      <c r="H340" s="29" t="n">
        <f aca="false">1/(1+Inputs!$C$23)^(A340-1)</f>
        <v>0.0818139220628002</v>
      </c>
      <c r="I340" s="29" t="n">
        <f aca="false">1/(1+Inputs!$C$23)^A340</f>
        <v>0.0811975083935209</v>
      </c>
      <c r="J340" s="30" t="n">
        <f aca="false">F340*H340+G340*I340</f>
        <v>0</v>
      </c>
      <c r="K340" s="30" t="n">
        <f aca="false">M339</f>
        <v>-2.31665708150703E-009</v>
      </c>
      <c r="L340" s="30" t="n">
        <f aca="false">IF(D340="Yes",(K340-F340)*Inputs!$C$23,0)</f>
        <v>0</v>
      </c>
      <c r="M340" s="30" t="n">
        <f aca="false">K340-F340+L340-G340</f>
        <v>-2.31665708150703E-009</v>
      </c>
      <c r="N340" s="30" t="n">
        <f aca="false">F340+G340</f>
        <v>0</v>
      </c>
      <c r="O340" s="30" t="n">
        <f aca="false">N340-L340</f>
        <v>0</v>
      </c>
      <c r="P340" s="30" t="n">
        <f aca="false">R339</f>
        <v>1.30967237055302E-009</v>
      </c>
      <c r="Q340" s="30" t="n">
        <f aca="false">IF(A340&lt;=Inputs!$C$24,Inputs!$C$29/Inputs!$C$24,0)</f>
        <v>0</v>
      </c>
      <c r="R340" s="30" t="n">
        <f aca="false">P340-Q340</f>
        <v>1.30967237055302E-009</v>
      </c>
      <c r="S340" s="10" t="str">
        <f aca="false">"FY "&amp;(YEAR(B340)-(MONTH(B340)&lt;4))&amp;"-"&amp;RIGHT(YEAR(B340)-(MONTH(B340)&lt;4)+1,2)</f>
        <v>FY 2053-54</v>
      </c>
    </row>
    <row r="341" customFormat="false" ht="15" hidden="false" customHeight="false" outlineLevel="0" collapsed="false">
      <c r="A341" s="22" t="n">
        <v>333</v>
      </c>
      <c r="B341" s="24" t="n">
        <f aca="false">EDATE(Inputs!$C$6,A341-1)</f>
        <v>56219</v>
      </c>
      <c r="C341" s="24" t="n">
        <f aca="false">EDATE(Inputs!$C$6,A341)-1</f>
        <v>56249</v>
      </c>
      <c r="D341" s="10" t="str">
        <f aca="false">IF(A341&lt;=Inputs!$C$7,"Yes","No")</f>
        <v>No</v>
      </c>
      <c r="E341" s="27" t="n">
        <f aca="false">IF(N(Inputs!$C$12)=0,1,(1+Inputs!$C$11)^INT((A341-1)/Inputs!$C$12))</f>
        <v>3.73345632234158</v>
      </c>
      <c r="F341" s="28" t="n">
        <f aca="false">IF(AND(D341="Yes",Inputs!$C$10="Advance",MOD(A341-1,Inputs!$C$22)=0),Inputs!$C$8*E341,0)</f>
        <v>0</v>
      </c>
      <c r="G341" s="28" t="n">
        <f aca="false">IF(AND(D341="Yes",Inputs!$C$10="Arrears",MOD(A341,Inputs!$C$22)=0),Inputs!$C$8*IF(N(Inputs!$C$12)=0,1,(1+Inputs!$C$11)^INT((A341-Inputs!$C$22)/Inputs!$C$12)),0)</f>
        <v>0</v>
      </c>
      <c r="H341" s="29" t="n">
        <f aca="false">1/(1+Inputs!$C$23)^(A341-1)</f>
        <v>0.0811975083935209</v>
      </c>
      <c r="I341" s="29" t="n">
        <f aca="false">1/(1+Inputs!$C$23)^A341</f>
        <v>0.0805857389926264</v>
      </c>
      <c r="J341" s="30" t="n">
        <f aca="false">F341*H341+G341*I341</f>
        <v>0</v>
      </c>
      <c r="K341" s="30" t="n">
        <f aca="false">M340</f>
        <v>-2.31665708150703E-009</v>
      </c>
      <c r="L341" s="30" t="n">
        <f aca="false">IF(D341="Yes",(K341-F341)*Inputs!$C$23,0)</f>
        <v>0</v>
      </c>
      <c r="M341" s="30" t="n">
        <f aca="false">K341-F341+L341-G341</f>
        <v>-2.31665708150703E-009</v>
      </c>
      <c r="N341" s="30" t="n">
        <f aca="false">F341+G341</f>
        <v>0</v>
      </c>
      <c r="O341" s="30" t="n">
        <f aca="false">N341-L341</f>
        <v>0</v>
      </c>
      <c r="P341" s="30" t="n">
        <f aca="false">R340</f>
        <v>1.30967237055302E-009</v>
      </c>
      <c r="Q341" s="30" t="n">
        <f aca="false">IF(A341&lt;=Inputs!$C$24,Inputs!$C$29/Inputs!$C$24,0)</f>
        <v>0</v>
      </c>
      <c r="R341" s="30" t="n">
        <f aca="false">P341-Q341</f>
        <v>1.30967237055302E-009</v>
      </c>
      <c r="S341" s="10" t="str">
        <f aca="false">"FY "&amp;(YEAR(B341)-(MONTH(B341)&lt;4))&amp;"-"&amp;RIGHT(YEAR(B341)-(MONTH(B341)&lt;4)+1,2)</f>
        <v>FY 2053-54</v>
      </c>
    </row>
    <row r="342" customFormat="false" ht="15" hidden="false" customHeight="false" outlineLevel="0" collapsed="false">
      <c r="A342" s="22" t="n">
        <v>334</v>
      </c>
      <c r="B342" s="24" t="n">
        <f aca="false">EDATE(Inputs!$C$6,A342-1)</f>
        <v>56250</v>
      </c>
      <c r="C342" s="24" t="n">
        <f aca="false">EDATE(Inputs!$C$6,A342)-1</f>
        <v>56280</v>
      </c>
      <c r="D342" s="10" t="str">
        <f aca="false">IF(A342&lt;=Inputs!$C$7,"Yes","No")</f>
        <v>No</v>
      </c>
      <c r="E342" s="27" t="n">
        <f aca="false">IF(N(Inputs!$C$12)=0,1,(1+Inputs!$C$11)^INT((A342-1)/Inputs!$C$12))</f>
        <v>3.73345632234158</v>
      </c>
      <c r="F342" s="28" t="n">
        <f aca="false">IF(AND(D342="Yes",Inputs!$C$10="Advance",MOD(A342-1,Inputs!$C$22)=0),Inputs!$C$8*E342,0)</f>
        <v>0</v>
      </c>
      <c r="G342" s="28" t="n">
        <f aca="false">IF(AND(D342="Yes",Inputs!$C$10="Arrears",MOD(A342,Inputs!$C$22)=0),Inputs!$C$8*IF(N(Inputs!$C$12)=0,1,(1+Inputs!$C$11)^INT((A342-Inputs!$C$22)/Inputs!$C$12)),0)</f>
        <v>0</v>
      </c>
      <c r="H342" s="29" t="n">
        <f aca="false">1/(1+Inputs!$C$23)^(A342-1)</f>
        <v>0.0805857389926264</v>
      </c>
      <c r="I342" s="29" t="n">
        <f aca="false">1/(1+Inputs!$C$23)^A342</f>
        <v>0.0799785788686331</v>
      </c>
      <c r="J342" s="30" t="n">
        <f aca="false">F342*H342+G342*I342</f>
        <v>0</v>
      </c>
      <c r="K342" s="30" t="n">
        <f aca="false">M341</f>
        <v>-2.31665708150703E-009</v>
      </c>
      <c r="L342" s="30" t="n">
        <f aca="false">IF(D342="Yes",(K342-F342)*Inputs!$C$23,0)</f>
        <v>0</v>
      </c>
      <c r="M342" s="30" t="n">
        <f aca="false">K342-F342+L342-G342</f>
        <v>-2.31665708150703E-009</v>
      </c>
      <c r="N342" s="30" t="n">
        <f aca="false">F342+G342</f>
        <v>0</v>
      </c>
      <c r="O342" s="30" t="n">
        <f aca="false">N342-L342</f>
        <v>0</v>
      </c>
      <c r="P342" s="30" t="n">
        <f aca="false">R341</f>
        <v>1.30967237055302E-009</v>
      </c>
      <c r="Q342" s="30" t="n">
        <f aca="false">IF(A342&lt;=Inputs!$C$24,Inputs!$C$29/Inputs!$C$24,0)</f>
        <v>0</v>
      </c>
      <c r="R342" s="30" t="n">
        <f aca="false">P342-Q342</f>
        <v>1.30967237055302E-009</v>
      </c>
      <c r="S342" s="10" t="str">
        <f aca="false">"FY "&amp;(YEAR(B342)-(MONTH(B342)&lt;4))&amp;"-"&amp;RIGHT(YEAR(B342)-(MONTH(B342)&lt;4)+1,2)</f>
        <v>FY 2053-54</v>
      </c>
    </row>
    <row r="343" customFormat="false" ht="15" hidden="false" customHeight="false" outlineLevel="0" collapsed="false">
      <c r="A343" s="22" t="n">
        <v>335</v>
      </c>
      <c r="B343" s="24" t="n">
        <f aca="false">EDATE(Inputs!$C$6,A343-1)</f>
        <v>56281</v>
      </c>
      <c r="C343" s="24" t="n">
        <f aca="false">EDATE(Inputs!$C$6,A343)-1</f>
        <v>56308</v>
      </c>
      <c r="D343" s="10" t="str">
        <f aca="false">IF(A343&lt;=Inputs!$C$7,"Yes","No")</f>
        <v>No</v>
      </c>
      <c r="E343" s="27" t="n">
        <f aca="false">IF(N(Inputs!$C$12)=0,1,(1+Inputs!$C$11)^INT((A343-1)/Inputs!$C$12))</f>
        <v>3.73345632234158</v>
      </c>
      <c r="F343" s="28" t="n">
        <f aca="false">IF(AND(D343="Yes",Inputs!$C$10="Advance",MOD(A343-1,Inputs!$C$22)=0),Inputs!$C$8*E343,0)</f>
        <v>0</v>
      </c>
      <c r="G343" s="28" t="n">
        <f aca="false">IF(AND(D343="Yes",Inputs!$C$10="Arrears",MOD(A343,Inputs!$C$22)=0),Inputs!$C$8*IF(N(Inputs!$C$12)=0,1,(1+Inputs!$C$11)^INT((A343-Inputs!$C$22)/Inputs!$C$12)),0)</f>
        <v>0</v>
      </c>
      <c r="H343" s="29" t="n">
        <f aca="false">1/(1+Inputs!$C$23)^(A343-1)</f>
        <v>0.0799785788686331</v>
      </c>
      <c r="I343" s="29" t="n">
        <f aca="false">1/(1+Inputs!$C$23)^A343</f>
        <v>0.079375993293695</v>
      </c>
      <c r="J343" s="30" t="n">
        <f aca="false">F343*H343+G343*I343</f>
        <v>0</v>
      </c>
      <c r="K343" s="30" t="n">
        <f aca="false">M342</f>
        <v>-2.31665708150703E-009</v>
      </c>
      <c r="L343" s="30" t="n">
        <f aca="false">IF(D343="Yes",(K343-F343)*Inputs!$C$23,0)</f>
        <v>0</v>
      </c>
      <c r="M343" s="30" t="n">
        <f aca="false">K343-F343+L343-G343</f>
        <v>-2.31665708150703E-009</v>
      </c>
      <c r="N343" s="30" t="n">
        <f aca="false">F343+G343</f>
        <v>0</v>
      </c>
      <c r="O343" s="30" t="n">
        <f aca="false">N343-L343</f>
        <v>0</v>
      </c>
      <c r="P343" s="30" t="n">
        <f aca="false">R342</f>
        <v>1.30967237055302E-009</v>
      </c>
      <c r="Q343" s="30" t="n">
        <f aca="false">IF(A343&lt;=Inputs!$C$24,Inputs!$C$29/Inputs!$C$24,0)</f>
        <v>0</v>
      </c>
      <c r="R343" s="30" t="n">
        <f aca="false">P343-Q343</f>
        <v>1.30967237055302E-009</v>
      </c>
      <c r="S343" s="10" t="str">
        <f aca="false">"FY "&amp;(YEAR(B343)-(MONTH(B343)&lt;4))&amp;"-"&amp;RIGHT(YEAR(B343)-(MONTH(B343)&lt;4)+1,2)</f>
        <v>FY 2053-54</v>
      </c>
    </row>
    <row r="344" customFormat="false" ht="15" hidden="false" customHeight="false" outlineLevel="0" collapsed="false">
      <c r="A344" s="22" t="n">
        <v>336</v>
      </c>
      <c r="B344" s="24" t="n">
        <f aca="false">EDATE(Inputs!$C$6,A344-1)</f>
        <v>56309</v>
      </c>
      <c r="C344" s="24" t="n">
        <f aca="false">EDATE(Inputs!$C$6,A344)-1</f>
        <v>56339</v>
      </c>
      <c r="D344" s="10" t="str">
        <f aca="false">IF(A344&lt;=Inputs!$C$7,"Yes","No")</f>
        <v>No</v>
      </c>
      <c r="E344" s="27" t="n">
        <f aca="false">IF(N(Inputs!$C$12)=0,1,(1+Inputs!$C$11)^INT((A344-1)/Inputs!$C$12))</f>
        <v>3.73345632234158</v>
      </c>
      <c r="F344" s="28" t="n">
        <f aca="false">IF(AND(D344="Yes",Inputs!$C$10="Advance",MOD(A344-1,Inputs!$C$22)=0),Inputs!$C$8*E344,0)</f>
        <v>0</v>
      </c>
      <c r="G344" s="28" t="n">
        <f aca="false">IF(AND(D344="Yes",Inputs!$C$10="Arrears",MOD(A344,Inputs!$C$22)=0),Inputs!$C$8*IF(N(Inputs!$C$12)=0,1,(1+Inputs!$C$11)^INT((A344-Inputs!$C$22)/Inputs!$C$12)),0)</f>
        <v>0</v>
      </c>
      <c r="H344" s="29" t="n">
        <f aca="false">1/(1+Inputs!$C$23)^(A344-1)</f>
        <v>0.079375993293695</v>
      </c>
      <c r="I344" s="29" t="n">
        <f aca="false">1/(1+Inputs!$C$23)^A344</f>
        <v>0.0787779478016173</v>
      </c>
      <c r="J344" s="30" t="n">
        <f aca="false">F344*H344+G344*I344</f>
        <v>0</v>
      </c>
      <c r="K344" s="30" t="n">
        <f aca="false">M343</f>
        <v>-2.31665708150703E-009</v>
      </c>
      <c r="L344" s="30" t="n">
        <f aca="false">IF(D344="Yes",(K344-F344)*Inputs!$C$23,0)</f>
        <v>0</v>
      </c>
      <c r="M344" s="30" t="n">
        <f aca="false">K344-F344+L344-G344</f>
        <v>-2.31665708150703E-009</v>
      </c>
      <c r="N344" s="30" t="n">
        <f aca="false">F344+G344</f>
        <v>0</v>
      </c>
      <c r="O344" s="30" t="n">
        <f aca="false">N344-L344</f>
        <v>0</v>
      </c>
      <c r="P344" s="30" t="n">
        <f aca="false">R343</f>
        <v>1.30967237055302E-009</v>
      </c>
      <c r="Q344" s="30" t="n">
        <f aca="false">IF(A344&lt;=Inputs!$C$24,Inputs!$C$29/Inputs!$C$24,0)</f>
        <v>0</v>
      </c>
      <c r="R344" s="30" t="n">
        <f aca="false">P344-Q344</f>
        <v>1.30967237055302E-009</v>
      </c>
      <c r="S344" s="10" t="str">
        <f aca="false">"FY "&amp;(YEAR(B344)-(MONTH(B344)&lt;4))&amp;"-"&amp;RIGHT(YEAR(B344)-(MONTH(B344)&lt;4)+1,2)</f>
        <v>FY 2053-54</v>
      </c>
    </row>
    <row r="345" customFormat="false" ht="15" hidden="false" customHeight="false" outlineLevel="0" collapsed="false">
      <c r="A345" s="22" t="n">
        <v>337</v>
      </c>
      <c r="B345" s="24" t="n">
        <f aca="false">EDATE(Inputs!$C$6,A345-1)</f>
        <v>56340</v>
      </c>
      <c r="C345" s="24" t="n">
        <f aca="false">EDATE(Inputs!$C$6,A345)-1</f>
        <v>56369</v>
      </c>
      <c r="D345" s="10" t="str">
        <f aca="false">IF(A345&lt;=Inputs!$C$7,"Yes","No")</f>
        <v>No</v>
      </c>
      <c r="E345" s="27" t="n">
        <f aca="false">IF(N(Inputs!$C$12)=0,1,(1+Inputs!$C$11)^INT((A345-1)/Inputs!$C$12))</f>
        <v>3.92012913845866</v>
      </c>
      <c r="F345" s="28" t="n">
        <f aca="false">IF(AND(D345="Yes",Inputs!$C$10="Advance",MOD(A345-1,Inputs!$C$22)=0),Inputs!$C$8*E345,0)</f>
        <v>0</v>
      </c>
      <c r="G345" s="28" t="n">
        <f aca="false">IF(AND(D345="Yes",Inputs!$C$10="Arrears",MOD(A345,Inputs!$C$22)=0),Inputs!$C$8*IF(N(Inputs!$C$12)=0,1,(1+Inputs!$C$11)^INT((A345-Inputs!$C$22)/Inputs!$C$12)),0)</f>
        <v>0</v>
      </c>
      <c r="H345" s="29" t="n">
        <f aca="false">1/(1+Inputs!$C$23)^(A345-1)</f>
        <v>0.0787779478016173</v>
      </c>
      <c r="I345" s="29" t="n">
        <f aca="false">1/(1+Inputs!$C$23)^A345</f>
        <v>0.0781844081858852</v>
      </c>
      <c r="J345" s="30" t="n">
        <f aca="false">F345*H345+G345*I345</f>
        <v>0</v>
      </c>
      <c r="K345" s="30" t="n">
        <f aca="false">M344</f>
        <v>-2.31665708150703E-009</v>
      </c>
      <c r="L345" s="30" t="n">
        <f aca="false">IF(D345="Yes",(K345-F345)*Inputs!$C$23,0)</f>
        <v>0</v>
      </c>
      <c r="M345" s="30" t="n">
        <f aca="false">K345-F345+L345-G345</f>
        <v>-2.31665708150703E-009</v>
      </c>
      <c r="N345" s="30" t="n">
        <f aca="false">F345+G345</f>
        <v>0</v>
      </c>
      <c r="O345" s="30" t="n">
        <f aca="false">N345-L345</f>
        <v>0</v>
      </c>
      <c r="P345" s="30" t="n">
        <f aca="false">R344</f>
        <v>1.30967237055302E-009</v>
      </c>
      <c r="Q345" s="30" t="n">
        <f aca="false">IF(A345&lt;=Inputs!$C$24,Inputs!$C$29/Inputs!$C$24,0)</f>
        <v>0</v>
      </c>
      <c r="R345" s="30" t="n">
        <f aca="false">P345-Q345</f>
        <v>1.30967237055302E-009</v>
      </c>
      <c r="S345" s="10" t="str">
        <f aca="false">"FY "&amp;(YEAR(B345)-(MONTH(B345)&lt;4))&amp;"-"&amp;RIGHT(YEAR(B345)-(MONTH(B345)&lt;4)+1,2)</f>
        <v>FY 2054-55</v>
      </c>
    </row>
    <row r="346" customFormat="false" ht="15" hidden="false" customHeight="false" outlineLevel="0" collapsed="false">
      <c r="A346" s="22" t="n">
        <v>338</v>
      </c>
      <c r="B346" s="24" t="n">
        <f aca="false">EDATE(Inputs!$C$6,A346-1)</f>
        <v>56370</v>
      </c>
      <c r="C346" s="24" t="n">
        <f aca="false">EDATE(Inputs!$C$6,A346)-1</f>
        <v>56400</v>
      </c>
      <c r="D346" s="10" t="str">
        <f aca="false">IF(A346&lt;=Inputs!$C$7,"Yes","No")</f>
        <v>No</v>
      </c>
      <c r="E346" s="27" t="n">
        <f aca="false">IF(N(Inputs!$C$12)=0,1,(1+Inputs!$C$11)^INT((A346-1)/Inputs!$C$12))</f>
        <v>3.92012913845866</v>
      </c>
      <c r="F346" s="28" t="n">
        <f aca="false">IF(AND(D346="Yes",Inputs!$C$10="Advance",MOD(A346-1,Inputs!$C$22)=0),Inputs!$C$8*E346,0)</f>
        <v>0</v>
      </c>
      <c r="G346" s="28" t="n">
        <f aca="false">IF(AND(D346="Yes",Inputs!$C$10="Arrears",MOD(A346,Inputs!$C$22)=0),Inputs!$C$8*IF(N(Inputs!$C$12)=0,1,(1+Inputs!$C$11)^INT((A346-Inputs!$C$22)/Inputs!$C$12)),0)</f>
        <v>0</v>
      </c>
      <c r="H346" s="29" t="n">
        <f aca="false">1/(1+Inputs!$C$23)^(A346-1)</f>
        <v>0.0781844081858852</v>
      </c>
      <c r="I346" s="29" t="n">
        <f aca="false">1/(1+Inputs!$C$23)^A346</f>
        <v>0.0775953404977074</v>
      </c>
      <c r="J346" s="30" t="n">
        <f aca="false">F346*H346+G346*I346</f>
        <v>0</v>
      </c>
      <c r="K346" s="30" t="n">
        <f aca="false">M345</f>
        <v>-2.31665708150703E-009</v>
      </c>
      <c r="L346" s="30" t="n">
        <f aca="false">IF(D346="Yes",(K346-F346)*Inputs!$C$23,0)</f>
        <v>0</v>
      </c>
      <c r="M346" s="30" t="n">
        <f aca="false">K346-F346+L346-G346</f>
        <v>-2.31665708150703E-009</v>
      </c>
      <c r="N346" s="30" t="n">
        <f aca="false">F346+G346</f>
        <v>0</v>
      </c>
      <c r="O346" s="30" t="n">
        <f aca="false">N346-L346</f>
        <v>0</v>
      </c>
      <c r="P346" s="30" t="n">
        <f aca="false">R345</f>
        <v>1.30967237055302E-009</v>
      </c>
      <c r="Q346" s="30" t="n">
        <f aca="false">IF(A346&lt;=Inputs!$C$24,Inputs!$C$29/Inputs!$C$24,0)</f>
        <v>0</v>
      </c>
      <c r="R346" s="30" t="n">
        <f aca="false">P346-Q346</f>
        <v>1.30967237055302E-009</v>
      </c>
      <c r="S346" s="10" t="str">
        <f aca="false">"FY "&amp;(YEAR(B346)-(MONTH(B346)&lt;4))&amp;"-"&amp;RIGHT(YEAR(B346)-(MONTH(B346)&lt;4)+1,2)</f>
        <v>FY 2054-55</v>
      </c>
    </row>
    <row r="347" customFormat="false" ht="15" hidden="false" customHeight="false" outlineLevel="0" collapsed="false">
      <c r="A347" s="22" t="n">
        <v>339</v>
      </c>
      <c r="B347" s="24" t="n">
        <f aca="false">EDATE(Inputs!$C$6,A347-1)</f>
        <v>56401</v>
      </c>
      <c r="C347" s="24" t="n">
        <f aca="false">EDATE(Inputs!$C$6,A347)-1</f>
        <v>56430</v>
      </c>
      <c r="D347" s="10" t="str">
        <f aca="false">IF(A347&lt;=Inputs!$C$7,"Yes","No")</f>
        <v>No</v>
      </c>
      <c r="E347" s="27" t="n">
        <f aca="false">IF(N(Inputs!$C$12)=0,1,(1+Inputs!$C$11)^INT((A347-1)/Inputs!$C$12))</f>
        <v>3.92012913845866</v>
      </c>
      <c r="F347" s="28" t="n">
        <f aca="false">IF(AND(D347="Yes",Inputs!$C$10="Advance",MOD(A347-1,Inputs!$C$22)=0),Inputs!$C$8*E347,0)</f>
        <v>0</v>
      </c>
      <c r="G347" s="28" t="n">
        <f aca="false">IF(AND(D347="Yes",Inputs!$C$10="Arrears",MOD(A347,Inputs!$C$22)=0),Inputs!$C$8*IF(N(Inputs!$C$12)=0,1,(1+Inputs!$C$11)^INT((A347-Inputs!$C$22)/Inputs!$C$12)),0)</f>
        <v>0</v>
      </c>
      <c r="H347" s="29" t="n">
        <f aca="false">1/(1+Inputs!$C$23)^(A347-1)</f>
        <v>0.0775953404977074</v>
      </c>
      <c r="I347" s="29" t="n">
        <f aca="false">1/(1+Inputs!$C$23)^A347</f>
        <v>0.0770107110440742</v>
      </c>
      <c r="J347" s="30" t="n">
        <f aca="false">F347*H347+G347*I347</f>
        <v>0</v>
      </c>
      <c r="K347" s="30" t="n">
        <f aca="false">M346</f>
        <v>-2.31665708150703E-009</v>
      </c>
      <c r="L347" s="30" t="n">
        <f aca="false">IF(D347="Yes",(K347-F347)*Inputs!$C$23,0)</f>
        <v>0</v>
      </c>
      <c r="M347" s="30" t="n">
        <f aca="false">K347-F347+L347-G347</f>
        <v>-2.31665708150703E-009</v>
      </c>
      <c r="N347" s="30" t="n">
        <f aca="false">F347+G347</f>
        <v>0</v>
      </c>
      <c r="O347" s="30" t="n">
        <f aca="false">N347-L347</f>
        <v>0</v>
      </c>
      <c r="P347" s="30" t="n">
        <f aca="false">R346</f>
        <v>1.30967237055302E-009</v>
      </c>
      <c r="Q347" s="30" t="n">
        <f aca="false">IF(A347&lt;=Inputs!$C$24,Inputs!$C$29/Inputs!$C$24,0)</f>
        <v>0</v>
      </c>
      <c r="R347" s="30" t="n">
        <f aca="false">P347-Q347</f>
        <v>1.30967237055302E-009</v>
      </c>
      <c r="S347" s="10" t="str">
        <f aca="false">"FY "&amp;(YEAR(B347)-(MONTH(B347)&lt;4))&amp;"-"&amp;RIGHT(YEAR(B347)-(MONTH(B347)&lt;4)+1,2)</f>
        <v>FY 2054-55</v>
      </c>
    </row>
    <row r="348" customFormat="false" ht="15" hidden="false" customHeight="false" outlineLevel="0" collapsed="false">
      <c r="A348" s="22" t="n">
        <v>340</v>
      </c>
      <c r="B348" s="24" t="n">
        <f aca="false">EDATE(Inputs!$C$6,A348-1)</f>
        <v>56431</v>
      </c>
      <c r="C348" s="24" t="n">
        <f aca="false">EDATE(Inputs!$C$6,A348)-1</f>
        <v>56461</v>
      </c>
      <c r="D348" s="10" t="str">
        <f aca="false">IF(A348&lt;=Inputs!$C$7,"Yes","No")</f>
        <v>No</v>
      </c>
      <c r="E348" s="27" t="n">
        <f aca="false">IF(N(Inputs!$C$12)=0,1,(1+Inputs!$C$11)^INT((A348-1)/Inputs!$C$12))</f>
        <v>3.92012913845866</v>
      </c>
      <c r="F348" s="28" t="n">
        <f aca="false">IF(AND(D348="Yes",Inputs!$C$10="Advance",MOD(A348-1,Inputs!$C$22)=0),Inputs!$C$8*E348,0)</f>
        <v>0</v>
      </c>
      <c r="G348" s="28" t="n">
        <f aca="false">IF(AND(D348="Yes",Inputs!$C$10="Arrears",MOD(A348,Inputs!$C$22)=0),Inputs!$C$8*IF(N(Inputs!$C$12)=0,1,(1+Inputs!$C$11)^INT((A348-Inputs!$C$22)/Inputs!$C$12)),0)</f>
        <v>0</v>
      </c>
      <c r="H348" s="29" t="n">
        <f aca="false">1/(1+Inputs!$C$23)^(A348-1)</f>
        <v>0.0770107110440742</v>
      </c>
      <c r="I348" s="29" t="n">
        <f aca="false">1/(1+Inputs!$C$23)^A348</f>
        <v>0.0764304863858303</v>
      </c>
      <c r="J348" s="30" t="n">
        <f aca="false">F348*H348+G348*I348</f>
        <v>0</v>
      </c>
      <c r="K348" s="30" t="n">
        <f aca="false">M347</f>
        <v>-2.31665708150703E-009</v>
      </c>
      <c r="L348" s="30" t="n">
        <f aca="false">IF(D348="Yes",(K348-F348)*Inputs!$C$23,0)</f>
        <v>0</v>
      </c>
      <c r="M348" s="30" t="n">
        <f aca="false">K348-F348+L348-G348</f>
        <v>-2.31665708150703E-009</v>
      </c>
      <c r="N348" s="30" t="n">
        <f aca="false">F348+G348</f>
        <v>0</v>
      </c>
      <c r="O348" s="30" t="n">
        <f aca="false">N348-L348</f>
        <v>0</v>
      </c>
      <c r="P348" s="30" t="n">
        <f aca="false">R347</f>
        <v>1.30967237055302E-009</v>
      </c>
      <c r="Q348" s="30" t="n">
        <f aca="false">IF(A348&lt;=Inputs!$C$24,Inputs!$C$29/Inputs!$C$24,0)</f>
        <v>0</v>
      </c>
      <c r="R348" s="30" t="n">
        <f aca="false">P348-Q348</f>
        <v>1.30967237055302E-009</v>
      </c>
      <c r="S348" s="10" t="str">
        <f aca="false">"FY "&amp;(YEAR(B348)-(MONTH(B348)&lt;4))&amp;"-"&amp;RIGHT(YEAR(B348)-(MONTH(B348)&lt;4)+1,2)</f>
        <v>FY 2054-55</v>
      </c>
    </row>
    <row r="349" customFormat="false" ht="15" hidden="false" customHeight="false" outlineLevel="0" collapsed="false">
      <c r="A349" s="22" t="n">
        <v>341</v>
      </c>
      <c r="B349" s="24" t="n">
        <f aca="false">EDATE(Inputs!$C$6,A349-1)</f>
        <v>56462</v>
      </c>
      <c r="C349" s="24" t="n">
        <f aca="false">EDATE(Inputs!$C$6,A349)-1</f>
        <v>56492</v>
      </c>
      <c r="D349" s="10" t="str">
        <f aca="false">IF(A349&lt;=Inputs!$C$7,"Yes","No")</f>
        <v>No</v>
      </c>
      <c r="E349" s="27" t="n">
        <f aca="false">IF(N(Inputs!$C$12)=0,1,(1+Inputs!$C$11)^INT((A349-1)/Inputs!$C$12))</f>
        <v>3.92012913845866</v>
      </c>
      <c r="F349" s="28" t="n">
        <f aca="false">IF(AND(D349="Yes",Inputs!$C$10="Advance",MOD(A349-1,Inputs!$C$22)=0),Inputs!$C$8*E349,0)</f>
        <v>0</v>
      </c>
      <c r="G349" s="28" t="n">
        <f aca="false">IF(AND(D349="Yes",Inputs!$C$10="Arrears",MOD(A349,Inputs!$C$22)=0),Inputs!$C$8*IF(N(Inputs!$C$12)=0,1,(1+Inputs!$C$11)^INT((A349-Inputs!$C$22)/Inputs!$C$12)),0)</f>
        <v>0</v>
      </c>
      <c r="H349" s="29" t="n">
        <f aca="false">1/(1+Inputs!$C$23)^(A349-1)</f>
        <v>0.0764304863858303</v>
      </c>
      <c r="I349" s="29" t="n">
        <f aca="false">1/(1+Inputs!$C$23)^A349</f>
        <v>0.0758546333357623</v>
      </c>
      <c r="J349" s="30" t="n">
        <f aca="false">F349*H349+G349*I349</f>
        <v>0</v>
      </c>
      <c r="K349" s="30" t="n">
        <f aca="false">M348</f>
        <v>-2.31665708150703E-009</v>
      </c>
      <c r="L349" s="30" t="n">
        <f aca="false">IF(D349="Yes",(K349-F349)*Inputs!$C$23,0)</f>
        <v>0</v>
      </c>
      <c r="M349" s="30" t="n">
        <f aca="false">K349-F349+L349-G349</f>
        <v>-2.31665708150703E-009</v>
      </c>
      <c r="N349" s="30" t="n">
        <f aca="false">F349+G349</f>
        <v>0</v>
      </c>
      <c r="O349" s="30" t="n">
        <f aca="false">N349-L349</f>
        <v>0</v>
      </c>
      <c r="P349" s="30" t="n">
        <f aca="false">R348</f>
        <v>1.30967237055302E-009</v>
      </c>
      <c r="Q349" s="30" t="n">
        <f aca="false">IF(A349&lt;=Inputs!$C$24,Inputs!$C$29/Inputs!$C$24,0)</f>
        <v>0</v>
      </c>
      <c r="R349" s="30" t="n">
        <f aca="false">P349-Q349</f>
        <v>1.30967237055302E-009</v>
      </c>
      <c r="S349" s="10" t="str">
        <f aca="false">"FY "&amp;(YEAR(B349)-(MONTH(B349)&lt;4))&amp;"-"&amp;RIGHT(YEAR(B349)-(MONTH(B349)&lt;4)+1,2)</f>
        <v>FY 2054-55</v>
      </c>
    </row>
    <row r="350" customFormat="false" ht="15" hidden="false" customHeight="false" outlineLevel="0" collapsed="false">
      <c r="A350" s="22" t="n">
        <v>342</v>
      </c>
      <c r="B350" s="24" t="n">
        <f aca="false">EDATE(Inputs!$C$6,A350-1)</f>
        <v>56493</v>
      </c>
      <c r="C350" s="24" t="n">
        <f aca="false">EDATE(Inputs!$C$6,A350)-1</f>
        <v>56522</v>
      </c>
      <c r="D350" s="10" t="str">
        <f aca="false">IF(A350&lt;=Inputs!$C$7,"Yes","No")</f>
        <v>No</v>
      </c>
      <c r="E350" s="27" t="n">
        <f aca="false">IF(N(Inputs!$C$12)=0,1,(1+Inputs!$C$11)^INT((A350-1)/Inputs!$C$12))</f>
        <v>3.92012913845866</v>
      </c>
      <c r="F350" s="28" t="n">
        <f aca="false">IF(AND(D350="Yes",Inputs!$C$10="Advance",MOD(A350-1,Inputs!$C$22)=0),Inputs!$C$8*E350,0)</f>
        <v>0</v>
      </c>
      <c r="G350" s="28" t="n">
        <f aca="false">IF(AND(D350="Yes",Inputs!$C$10="Arrears",MOD(A350,Inputs!$C$22)=0),Inputs!$C$8*IF(N(Inputs!$C$12)=0,1,(1+Inputs!$C$11)^INT((A350-Inputs!$C$22)/Inputs!$C$12)),0)</f>
        <v>0</v>
      </c>
      <c r="H350" s="29" t="n">
        <f aca="false">1/(1+Inputs!$C$23)^(A350-1)</f>
        <v>0.0758546333357623</v>
      </c>
      <c r="I350" s="29" t="n">
        <f aca="false">1/(1+Inputs!$C$23)^A350</f>
        <v>0.0752831189567005</v>
      </c>
      <c r="J350" s="30" t="n">
        <f aca="false">F350*H350+G350*I350</f>
        <v>0</v>
      </c>
      <c r="K350" s="30" t="n">
        <f aca="false">M349</f>
        <v>-2.31665708150703E-009</v>
      </c>
      <c r="L350" s="30" t="n">
        <f aca="false">IF(D350="Yes",(K350-F350)*Inputs!$C$23,0)</f>
        <v>0</v>
      </c>
      <c r="M350" s="30" t="n">
        <f aca="false">K350-F350+L350-G350</f>
        <v>-2.31665708150703E-009</v>
      </c>
      <c r="N350" s="30" t="n">
        <f aca="false">F350+G350</f>
        <v>0</v>
      </c>
      <c r="O350" s="30" t="n">
        <f aca="false">N350-L350</f>
        <v>0</v>
      </c>
      <c r="P350" s="30" t="n">
        <f aca="false">R349</f>
        <v>1.30967237055302E-009</v>
      </c>
      <c r="Q350" s="30" t="n">
        <f aca="false">IF(A350&lt;=Inputs!$C$24,Inputs!$C$29/Inputs!$C$24,0)</f>
        <v>0</v>
      </c>
      <c r="R350" s="30" t="n">
        <f aca="false">P350-Q350</f>
        <v>1.30967237055302E-009</v>
      </c>
      <c r="S350" s="10" t="str">
        <f aca="false">"FY "&amp;(YEAR(B350)-(MONTH(B350)&lt;4))&amp;"-"&amp;RIGHT(YEAR(B350)-(MONTH(B350)&lt;4)+1,2)</f>
        <v>FY 2054-55</v>
      </c>
    </row>
    <row r="351" customFormat="false" ht="15" hidden="false" customHeight="false" outlineLevel="0" collapsed="false">
      <c r="A351" s="22" t="n">
        <v>343</v>
      </c>
      <c r="B351" s="24" t="n">
        <f aca="false">EDATE(Inputs!$C$6,A351-1)</f>
        <v>56523</v>
      </c>
      <c r="C351" s="24" t="n">
        <f aca="false">EDATE(Inputs!$C$6,A351)-1</f>
        <v>56553</v>
      </c>
      <c r="D351" s="10" t="str">
        <f aca="false">IF(A351&lt;=Inputs!$C$7,"Yes","No")</f>
        <v>No</v>
      </c>
      <c r="E351" s="27" t="n">
        <f aca="false">IF(N(Inputs!$C$12)=0,1,(1+Inputs!$C$11)^INT((A351-1)/Inputs!$C$12))</f>
        <v>3.92012913845866</v>
      </c>
      <c r="F351" s="28" t="n">
        <f aca="false">IF(AND(D351="Yes",Inputs!$C$10="Advance",MOD(A351-1,Inputs!$C$22)=0),Inputs!$C$8*E351,0)</f>
        <v>0</v>
      </c>
      <c r="G351" s="28" t="n">
        <f aca="false">IF(AND(D351="Yes",Inputs!$C$10="Arrears",MOD(A351,Inputs!$C$22)=0),Inputs!$C$8*IF(N(Inputs!$C$12)=0,1,(1+Inputs!$C$11)^INT((A351-Inputs!$C$22)/Inputs!$C$12)),0)</f>
        <v>0</v>
      </c>
      <c r="H351" s="29" t="n">
        <f aca="false">1/(1+Inputs!$C$23)^(A351-1)</f>
        <v>0.0752831189567005</v>
      </c>
      <c r="I351" s="29" t="n">
        <f aca="false">1/(1+Inputs!$C$23)^A351</f>
        <v>0.0747159105596349</v>
      </c>
      <c r="J351" s="30" t="n">
        <f aca="false">F351*H351+G351*I351</f>
        <v>0</v>
      </c>
      <c r="K351" s="30" t="n">
        <f aca="false">M350</f>
        <v>-2.31665708150703E-009</v>
      </c>
      <c r="L351" s="30" t="n">
        <f aca="false">IF(D351="Yes",(K351-F351)*Inputs!$C$23,0)</f>
        <v>0</v>
      </c>
      <c r="M351" s="30" t="n">
        <f aca="false">K351-F351+L351-G351</f>
        <v>-2.31665708150703E-009</v>
      </c>
      <c r="N351" s="30" t="n">
        <f aca="false">F351+G351</f>
        <v>0</v>
      </c>
      <c r="O351" s="30" t="n">
        <f aca="false">N351-L351</f>
        <v>0</v>
      </c>
      <c r="P351" s="30" t="n">
        <f aca="false">R350</f>
        <v>1.30967237055302E-009</v>
      </c>
      <c r="Q351" s="30" t="n">
        <f aca="false">IF(A351&lt;=Inputs!$C$24,Inputs!$C$29/Inputs!$C$24,0)</f>
        <v>0</v>
      </c>
      <c r="R351" s="30" t="n">
        <f aca="false">P351-Q351</f>
        <v>1.30967237055302E-009</v>
      </c>
      <c r="S351" s="10" t="str">
        <f aca="false">"FY "&amp;(YEAR(B351)-(MONTH(B351)&lt;4))&amp;"-"&amp;RIGHT(YEAR(B351)-(MONTH(B351)&lt;4)+1,2)</f>
        <v>FY 2054-55</v>
      </c>
    </row>
    <row r="352" customFormat="false" ht="15" hidden="false" customHeight="false" outlineLevel="0" collapsed="false">
      <c r="A352" s="22" t="n">
        <v>344</v>
      </c>
      <c r="B352" s="24" t="n">
        <f aca="false">EDATE(Inputs!$C$6,A352-1)</f>
        <v>56554</v>
      </c>
      <c r="C352" s="24" t="n">
        <f aca="false">EDATE(Inputs!$C$6,A352)-1</f>
        <v>56583</v>
      </c>
      <c r="D352" s="10" t="str">
        <f aca="false">IF(A352&lt;=Inputs!$C$7,"Yes","No")</f>
        <v>No</v>
      </c>
      <c r="E352" s="27" t="n">
        <f aca="false">IF(N(Inputs!$C$12)=0,1,(1+Inputs!$C$11)^INT((A352-1)/Inputs!$C$12))</f>
        <v>3.92012913845866</v>
      </c>
      <c r="F352" s="28" t="n">
        <f aca="false">IF(AND(D352="Yes",Inputs!$C$10="Advance",MOD(A352-1,Inputs!$C$22)=0),Inputs!$C$8*E352,0)</f>
        <v>0</v>
      </c>
      <c r="G352" s="28" t="n">
        <f aca="false">IF(AND(D352="Yes",Inputs!$C$10="Arrears",MOD(A352,Inputs!$C$22)=0),Inputs!$C$8*IF(N(Inputs!$C$12)=0,1,(1+Inputs!$C$11)^INT((A352-Inputs!$C$22)/Inputs!$C$12)),0)</f>
        <v>0</v>
      </c>
      <c r="H352" s="29" t="n">
        <f aca="false">1/(1+Inputs!$C$23)^(A352-1)</f>
        <v>0.0747159105596349</v>
      </c>
      <c r="I352" s="29" t="n">
        <f aca="false">1/(1+Inputs!$C$23)^A352</f>
        <v>0.0741529757018456</v>
      </c>
      <c r="J352" s="30" t="n">
        <f aca="false">F352*H352+G352*I352</f>
        <v>0</v>
      </c>
      <c r="K352" s="30" t="n">
        <f aca="false">M351</f>
        <v>-2.31665708150703E-009</v>
      </c>
      <c r="L352" s="30" t="n">
        <f aca="false">IF(D352="Yes",(K352-F352)*Inputs!$C$23,0)</f>
        <v>0</v>
      </c>
      <c r="M352" s="30" t="n">
        <f aca="false">K352-F352+L352-G352</f>
        <v>-2.31665708150703E-009</v>
      </c>
      <c r="N352" s="30" t="n">
        <f aca="false">F352+G352</f>
        <v>0</v>
      </c>
      <c r="O352" s="30" t="n">
        <f aca="false">N352-L352</f>
        <v>0</v>
      </c>
      <c r="P352" s="30" t="n">
        <f aca="false">R351</f>
        <v>1.30967237055302E-009</v>
      </c>
      <c r="Q352" s="30" t="n">
        <f aca="false">IF(A352&lt;=Inputs!$C$24,Inputs!$C$29/Inputs!$C$24,0)</f>
        <v>0</v>
      </c>
      <c r="R352" s="30" t="n">
        <f aca="false">P352-Q352</f>
        <v>1.30967237055302E-009</v>
      </c>
      <c r="S352" s="10" t="str">
        <f aca="false">"FY "&amp;(YEAR(B352)-(MONTH(B352)&lt;4))&amp;"-"&amp;RIGHT(YEAR(B352)-(MONTH(B352)&lt;4)+1,2)</f>
        <v>FY 2054-55</v>
      </c>
    </row>
    <row r="353" customFormat="false" ht="15" hidden="false" customHeight="false" outlineLevel="0" collapsed="false">
      <c r="A353" s="22" t="n">
        <v>345</v>
      </c>
      <c r="B353" s="24" t="n">
        <f aca="false">EDATE(Inputs!$C$6,A353-1)</f>
        <v>56584</v>
      </c>
      <c r="C353" s="24" t="n">
        <f aca="false">EDATE(Inputs!$C$6,A353)-1</f>
        <v>56614</v>
      </c>
      <c r="D353" s="10" t="str">
        <f aca="false">IF(A353&lt;=Inputs!$C$7,"Yes","No")</f>
        <v>No</v>
      </c>
      <c r="E353" s="27" t="n">
        <f aca="false">IF(N(Inputs!$C$12)=0,1,(1+Inputs!$C$11)^INT((A353-1)/Inputs!$C$12))</f>
        <v>3.92012913845866</v>
      </c>
      <c r="F353" s="28" t="n">
        <f aca="false">IF(AND(D353="Yes",Inputs!$C$10="Advance",MOD(A353-1,Inputs!$C$22)=0),Inputs!$C$8*E353,0)</f>
        <v>0</v>
      </c>
      <c r="G353" s="28" t="n">
        <f aca="false">IF(AND(D353="Yes",Inputs!$C$10="Arrears",MOD(A353,Inputs!$C$22)=0),Inputs!$C$8*IF(N(Inputs!$C$12)=0,1,(1+Inputs!$C$11)^INT((A353-Inputs!$C$22)/Inputs!$C$12)),0)</f>
        <v>0</v>
      </c>
      <c r="H353" s="29" t="n">
        <f aca="false">1/(1+Inputs!$C$23)^(A353-1)</f>
        <v>0.0741529757018456</v>
      </c>
      <c r="I353" s="29" t="n">
        <f aca="false">1/(1+Inputs!$C$23)^A353</f>
        <v>0.073594282185047</v>
      </c>
      <c r="J353" s="30" t="n">
        <f aca="false">F353*H353+G353*I353</f>
        <v>0</v>
      </c>
      <c r="K353" s="30" t="n">
        <f aca="false">M352</f>
        <v>-2.31665708150703E-009</v>
      </c>
      <c r="L353" s="30" t="n">
        <f aca="false">IF(D353="Yes",(K353-F353)*Inputs!$C$23,0)</f>
        <v>0</v>
      </c>
      <c r="M353" s="30" t="n">
        <f aca="false">K353-F353+L353-G353</f>
        <v>-2.31665708150703E-009</v>
      </c>
      <c r="N353" s="30" t="n">
        <f aca="false">F353+G353</f>
        <v>0</v>
      </c>
      <c r="O353" s="30" t="n">
        <f aca="false">N353-L353</f>
        <v>0</v>
      </c>
      <c r="P353" s="30" t="n">
        <f aca="false">R352</f>
        <v>1.30967237055302E-009</v>
      </c>
      <c r="Q353" s="30" t="n">
        <f aca="false">IF(A353&lt;=Inputs!$C$24,Inputs!$C$29/Inputs!$C$24,0)</f>
        <v>0</v>
      </c>
      <c r="R353" s="30" t="n">
        <f aca="false">P353-Q353</f>
        <v>1.30967237055302E-009</v>
      </c>
      <c r="S353" s="10" t="str">
        <f aca="false">"FY "&amp;(YEAR(B353)-(MONTH(B353)&lt;4))&amp;"-"&amp;RIGHT(YEAR(B353)-(MONTH(B353)&lt;4)+1,2)</f>
        <v>FY 2054-55</v>
      </c>
    </row>
    <row r="354" customFormat="false" ht="15" hidden="false" customHeight="false" outlineLevel="0" collapsed="false">
      <c r="A354" s="22" t="n">
        <v>346</v>
      </c>
      <c r="B354" s="24" t="n">
        <f aca="false">EDATE(Inputs!$C$6,A354-1)</f>
        <v>56615</v>
      </c>
      <c r="C354" s="24" t="n">
        <f aca="false">EDATE(Inputs!$C$6,A354)-1</f>
        <v>56645</v>
      </c>
      <c r="D354" s="10" t="str">
        <f aca="false">IF(A354&lt;=Inputs!$C$7,"Yes","No")</f>
        <v>No</v>
      </c>
      <c r="E354" s="27" t="n">
        <f aca="false">IF(N(Inputs!$C$12)=0,1,(1+Inputs!$C$11)^INT((A354-1)/Inputs!$C$12))</f>
        <v>3.92012913845866</v>
      </c>
      <c r="F354" s="28" t="n">
        <f aca="false">IF(AND(D354="Yes",Inputs!$C$10="Advance",MOD(A354-1,Inputs!$C$22)=0),Inputs!$C$8*E354,0)</f>
        <v>0</v>
      </c>
      <c r="G354" s="28" t="n">
        <f aca="false">IF(AND(D354="Yes",Inputs!$C$10="Arrears",MOD(A354,Inputs!$C$22)=0),Inputs!$C$8*IF(N(Inputs!$C$12)=0,1,(1+Inputs!$C$11)^INT((A354-Inputs!$C$22)/Inputs!$C$12)),0)</f>
        <v>0</v>
      </c>
      <c r="H354" s="29" t="n">
        <f aca="false">1/(1+Inputs!$C$23)^(A354-1)</f>
        <v>0.073594282185047</v>
      </c>
      <c r="I354" s="29" t="n">
        <f aca="false">1/(1+Inputs!$C$23)^A354</f>
        <v>0.0730397980535463</v>
      </c>
      <c r="J354" s="30" t="n">
        <f aca="false">F354*H354+G354*I354</f>
        <v>0</v>
      </c>
      <c r="K354" s="30" t="n">
        <f aca="false">M353</f>
        <v>-2.31665708150703E-009</v>
      </c>
      <c r="L354" s="30" t="n">
        <f aca="false">IF(D354="Yes",(K354-F354)*Inputs!$C$23,0)</f>
        <v>0</v>
      </c>
      <c r="M354" s="30" t="n">
        <f aca="false">K354-F354+L354-G354</f>
        <v>-2.31665708150703E-009</v>
      </c>
      <c r="N354" s="30" t="n">
        <f aca="false">F354+G354</f>
        <v>0</v>
      </c>
      <c r="O354" s="30" t="n">
        <f aca="false">N354-L354</f>
        <v>0</v>
      </c>
      <c r="P354" s="30" t="n">
        <f aca="false">R353</f>
        <v>1.30967237055302E-009</v>
      </c>
      <c r="Q354" s="30" t="n">
        <f aca="false">IF(A354&lt;=Inputs!$C$24,Inputs!$C$29/Inputs!$C$24,0)</f>
        <v>0</v>
      </c>
      <c r="R354" s="30" t="n">
        <f aca="false">P354-Q354</f>
        <v>1.30967237055302E-009</v>
      </c>
      <c r="S354" s="10" t="str">
        <f aca="false">"FY "&amp;(YEAR(B354)-(MONTH(B354)&lt;4))&amp;"-"&amp;RIGHT(YEAR(B354)-(MONTH(B354)&lt;4)+1,2)</f>
        <v>FY 2054-55</v>
      </c>
    </row>
    <row r="355" customFormat="false" ht="15" hidden="false" customHeight="false" outlineLevel="0" collapsed="false">
      <c r="A355" s="22" t="n">
        <v>347</v>
      </c>
      <c r="B355" s="24" t="n">
        <f aca="false">EDATE(Inputs!$C$6,A355-1)</f>
        <v>56646</v>
      </c>
      <c r="C355" s="24" t="n">
        <f aca="false">EDATE(Inputs!$C$6,A355)-1</f>
        <v>56673</v>
      </c>
      <c r="D355" s="10" t="str">
        <f aca="false">IF(A355&lt;=Inputs!$C$7,"Yes","No")</f>
        <v>No</v>
      </c>
      <c r="E355" s="27" t="n">
        <f aca="false">IF(N(Inputs!$C$12)=0,1,(1+Inputs!$C$11)^INT((A355-1)/Inputs!$C$12))</f>
        <v>3.92012913845866</v>
      </c>
      <c r="F355" s="28" t="n">
        <f aca="false">IF(AND(D355="Yes",Inputs!$C$10="Advance",MOD(A355-1,Inputs!$C$22)=0),Inputs!$C$8*E355,0)</f>
        <v>0</v>
      </c>
      <c r="G355" s="28" t="n">
        <f aca="false">IF(AND(D355="Yes",Inputs!$C$10="Arrears",MOD(A355,Inputs!$C$22)=0),Inputs!$C$8*IF(N(Inputs!$C$12)=0,1,(1+Inputs!$C$11)^INT((A355-Inputs!$C$22)/Inputs!$C$12)),0)</f>
        <v>0</v>
      </c>
      <c r="H355" s="29" t="n">
        <f aca="false">1/(1+Inputs!$C$23)^(A355-1)</f>
        <v>0.0730397980535463</v>
      </c>
      <c r="I355" s="29" t="n">
        <f aca="false">1/(1+Inputs!$C$23)^A355</f>
        <v>0.0724894915924156</v>
      </c>
      <c r="J355" s="30" t="n">
        <f aca="false">F355*H355+G355*I355</f>
        <v>0</v>
      </c>
      <c r="K355" s="30" t="n">
        <f aca="false">M354</f>
        <v>-2.31665708150703E-009</v>
      </c>
      <c r="L355" s="30" t="n">
        <f aca="false">IF(D355="Yes",(K355-F355)*Inputs!$C$23,0)</f>
        <v>0</v>
      </c>
      <c r="M355" s="30" t="n">
        <f aca="false">K355-F355+L355-G355</f>
        <v>-2.31665708150703E-009</v>
      </c>
      <c r="N355" s="30" t="n">
        <f aca="false">F355+G355</f>
        <v>0</v>
      </c>
      <c r="O355" s="30" t="n">
        <f aca="false">N355-L355</f>
        <v>0</v>
      </c>
      <c r="P355" s="30" t="n">
        <f aca="false">R354</f>
        <v>1.30967237055302E-009</v>
      </c>
      <c r="Q355" s="30" t="n">
        <f aca="false">IF(A355&lt;=Inputs!$C$24,Inputs!$C$29/Inputs!$C$24,0)</f>
        <v>0</v>
      </c>
      <c r="R355" s="30" t="n">
        <f aca="false">P355-Q355</f>
        <v>1.30967237055302E-009</v>
      </c>
      <c r="S355" s="10" t="str">
        <f aca="false">"FY "&amp;(YEAR(B355)-(MONTH(B355)&lt;4))&amp;"-"&amp;RIGHT(YEAR(B355)-(MONTH(B355)&lt;4)+1,2)</f>
        <v>FY 2054-55</v>
      </c>
    </row>
    <row r="356" customFormat="false" ht="15" hidden="false" customHeight="false" outlineLevel="0" collapsed="false">
      <c r="A356" s="22" t="n">
        <v>348</v>
      </c>
      <c r="B356" s="24" t="n">
        <f aca="false">EDATE(Inputs!$C$6,A356-1)</f>
        <v>56674</v>
      </c>
      <c r="C356" s="24" t="n">
        <f aca="false">EDATE(Inputs!$C$6,A356)-1</f>
        <v>56704</v>
      </c>
      <c r="D356" s="10" t="str">
        <f aca="false">IF(A356&lt;=Inputs!$C$7,"Yes","No")</f>
        <v>No</v>
      </c>
      <c r="E356" s="27" t="n">
        <f aca="false">IF(N(Inputs!$C$12)=0,1,(1+Inputs!$C$11)^INT((A356-1)/Inputs!$C$12))</f>
        <v>3.92012913845866</v>
      </c>
      <c r="F356" s="28" t="n">
        <f aca="false">IF(AND(D356="Yes",Inputs!$C$10="Advance",MOD(A356-1,Inputs!$C$22)=0),Inputs!$C$8*E356,0)</f>
        <v>0</v>
      </c>
      <c r="G356" s="28" t="n">
        <f aca="false">IF(AND(D356="Yes",Inputs!$C$10="Arrears",MOD(A356,Inputs!$C$22)=0),Inputs!$C$8*IF(N(Inputs!$C$12)=0,1,(1+Inputs!$C$11)^INT((A356-Inputs!$C$22)/Inputs!$C$12)),0)</f>
        <v>0</v>
      </c>
      <c r="H356" s="29" t="n">
        <f aca="false">1/(1+Inputs!$C$23)^(A356-1)</f>
        <v>0.0724894915924156</v>
      </c>
      <c r="I356" s="29" t="n">
        <f aca="false">1/(1+Inputs!$C$23)^A356</f>
        <v>0.0719433313256779</v>
      </c>
      <c r="J356" s="30" t="n">
        <f aca="false">F356*H356+G356*I356</f>
        <v>0</v>
      </c>
      <c r="K356" s="30" t="n">
        <f aca="false">M355</f>
        <v>-2.31665708150703E-009</v>
      </c>
      <c r="L356" s="30" t="n">
        <f aca="false">IF(D356="Yes",(K356-F356)*Inputs!$C$23,0)</f>
        <v>0</v>
      </c>
      <c r="M356" s="30" t="n">
        <f aca="false">K356-F356+L356-G356</f>
        <v>-2.31665708150703E-009</v>
      </c>
      <c r="N356" s="30" t="n">
        <f aca="false">F356+G356</f>
        <v>0</v>
      </c>
      <c r="O356" s="30" t="n">
        <f aca="false">N356-L356</f>
        <v>0</v>
      </c>
      <c r="P356" s="30" t="n">
        <f aca="false">R355</f>
        <v>1.30967237055302E-009</v>
      </c>
      <c r="Q356" s="30" t="n">
        <f aca="false">IF(A356&lt;=Inputs!$C$24,Inputs!$C$29/Inputs!$C$24,0)</f>
        <v>0</v>
      </c>
      <c r="R356" s="30" t="n">
        <f aca="false">P356-Q356</f>
        <v>1.30967237055302E-009</v>
      </c>
      <c r="S356" s="10" t="str">
        <f aca="false">"FY "&amp;(YEAR(B356)-(MONTH(B356)&lt;4))&amp;"-"&amp;RIGHT(YEAR(B356)-(MONTH(B356)&lt;4)+1,2)</f>
        <v>FY 2054-55</v>
      </c>
    </row>
    <row r="357" customFormat="false" ht="15" hidden="false" customHeight="false" outlineLevel="0" collapsed="false">
      <c r="A357" s="22" t="n">
        <v>349</v>
      </c>
      <c r="B357" s="24" t="n">
        <f aca="false">EDATE(Inputs!$C$6,A357-1)</f>
        <v>56705</v>
      </c>
      <c r="C357" s="24" t="n">
        <f aca="false">EDATE(Inputs!$C$6,A357)-1</f>
        <v>56734</v>
      </c>
      <c r="D357" s="10" t="str">
        <f aca="false">IF(A357&lt;=Inputs!$C$7,"Yes","No")</f>
        <v>No</v>
      </c>
      <c r="E357" s="27" t="n">
        <f aca="false">IF(N(Inputs!$C$12)=0,1,(1+Inputs!$C$11)^INT((A357-1)/Inputs!$C$12))</f>
        <v>4.11613559538159</v>
      </c>
      <c r="F357" s="28" t="n">
        <f aca="false">IF(AND(D357="Yes",Inputs!$C$10="Advance",MOD(A357-1,Inputs!$C$22)=0),Inputs!$C$8*E357,0)</f>
        <v>0</v>
      </c>
      <c r="G357" s="28" t="n">
        <f aca="false">IF(AND(D357="Yes",Inputs!$C$10="Arrears",MOD(A357,Inputs!$C$22)=0),Inputs!$C$8*IF(N(Inputs!$C$12)=0,1,(1+Inputs!$C$11)^INT((A357-Inputs!$C$22)/Inputs!$C$12)),0)</f>
        <v>0</v>
      </c>
      <c r="H357" s="29" t="n">
        <f aca="false">1/(1+Inputs!$C$23)^(A357-1)</f>
        <v>0.0719433313256779</v>
      </c>
      <c r="I357" s="29" t="n">
        <f aca="false">1/(1+Inputs!$C$23)^A357</f>
        <v>0.0714012860145071</v>
      </c>
      <c r="J357" s="30" t="n">
        <f aca="false">F357*H357+G357*I357</f>
        <v>0</v>
      </c>
      <c r="K357" s="30" t="n">
        <f aca="false">M356</f>
        <v>-2.31665708150703E-009</v>
      </c>
      <c r="L357" s="30" t="n">
        <f aca="false">IF(D357="Yes",(K357-F357)*Inputs!$C$23,0)</f>
        <v>0</v>
      </c>
      <c r="M357" s="30" t="n">
        <f aca="false">K357-F357+L357-G357</f>
        <v>-2.31665708150703E-009</v>
      </c>
      <c r="N357" s="30" t="n">
        <f aca="false">F357+G357</f>
        <v>0</v>
      </c>
      <c r="O357" s="30" t="n">
        <f aca="false">N357-L357</f>
        <v>0</v>
      </c>
      <c r="P357" s="30" t="n">
        <f aca="false">R356</f>
        <v>1.30967237055302E-009</v>
      </c>
      <c r="Q357" s="30" t="n">
        <f aca="false">IF(A357&lt;=Inputs!$C$24,Inputs!$C$29/Inputs!$C$24,0)</f>
        <v>0</v>
      </c>
      <c r="R357" s="30" t="n">
        <f aca="false">P357-Q357</f>
        <v>1.30967237055302E-009</v>
      </c>
      <c r="S357" s="10" t="str">
        <f aca="false">"FY "&amp;(YEAR(B357)-(MONTH(B357)&lt;4))&amp;"-"&amp;RIGHT(YEAR(B357)-(MONTH(B357)&lt;4)+1,2)</f>
        <v>FY 2055-56</v>
      </c>
    </row>
    <row r="358" customFormat="false" ht="15" hidden="false" customHeight="false" outlineLevel="0" collapsed="false">
      <c r="A358" s="22" t="n">
        <v>350</v>
      </c>
      <c r="B358" s="24" t="n">
        <f aca="false">EDATE(Inputs!$C$6,A358-1)</f>
        <v>56735</v>
      </c>
      <c r="C358" s="24" t="n">
        <f aca="false">EDATE(Inputs!$C$6,A358)-1</f>
        <v>56765</v>
      </c>
      <c r="D358" s="10" t="str">
        <f aca="false">IF(A358&lt;=Inputs!$C$7,"Yes","No")</f>
        <v>No</v>
      </c>
      <c r="E358" s="27" t="n">
        <f aca="false">IF(N(Inputs!$C$12)=0,1,(1+Inputs!$C$11)^INT((A358-1)/Inputs!$C$12))</f>
        <v>4.11613559538159</v>
      </c>
      <c r="F358" s="28" t="n">
        <f aca="false">IF(AND(D358="Yes",Inputs!$C$10="Advance",MOD(A358-1,Inputs!$C$22)=0),Inputs!$C$8*E358,0)</f>
        <v>0</v>
      </c>
      <c r="G358" s="28" t="n">
        <f aca="false">IF(AND(D358="Yes",Inputs!$C$10="Arrears",MOD(A358,Inputs!$C$22)=0),Inputs!$C$8*IF(N(Inputs!$C$12)=0,1,(1+Inputs!$C$11)^INT((A358-Inputs!$C$22)/Inputs!$C$12)),0)</f>
        <v>0</v>
      </c>
      <c r="H358" s="29" t="n">
        <f aca="false">1/(1+Inputs!$C$23)^(A358-1)</f>
        <v>0.0714012860145071</v>
      </c>
      <c r="I358" s="29" t="n">
        <f aca="false">1/(1+Inputs!$C$23)^A358</f>
        <v>0.0708633246554407</v>
      </c>
      <c r="J358" s="30" t="n">
        <f aca="false">F358*H358+G358*I358</f>
        <v>0</v>
      </c>
      <c r="K358" s="30" t="n">
        <f aca="false">M357</f>
        <v>-2.31665708150703E-009</v>
      </c>
      <c r="L358" s="30" t="n">
        <f aca="false">IF(D358="Yes",(K358-F358)*Inputs!$C$23,0)</f>
        <v>0</v>
      </c>
      <c r="M358" s="30" t="n">
        <f aca="false">K358-F358+L358-G358</f>
        <v>-2.31665708150703E-009</v>
      </c>
      <c r="N358" s="30" t="n">
        <f aca="false">F358+G358</f>
        <v>0</v>
      </c>
      <c r="O358" s="30" t="n">
        <f aca="false">N358-L358</f>
        <v>0</v>
      </c>
      <c r="P358" s="30" t="n">
        <f aca="false">R357</f>
        <v>1.30967237055302E-009</v>
      </c>
      <c r="Q358" s="30" t="n">
        <f aca="false">IF(A358&lt;=Inputs!$C$24,Inputs!$C$29/Inputs!$C$24,0)</f>
        <v>0</v>
      </c>
      <c r="R358" s="30" t="n">
        <f aca="false">P358-Q358</f>
        <v>1.30967237055302E-009</v>
      </c>
      <c r="S358" s="10" t="str">
        <f aca="false">"FY "&amp;(YEAR(B358)-(MONTH(B358)&lt;4))&amp;"-"&amp;RIGHT(YEAR(B358)-(MONTH(B358)&lt;4)+1,2)</f>
        <v>FY 2055-56</v>
      </c>
    </row>
    <row r="359" customFormat="false" ht="15" hidden="false" customHeight="false" outlineLevel="0" collapsed="false">
      <c r="A359" s="22" t="n">
        <v>351</v>
      </c>
      <c r="B359" s="24" t="n">
        <f aca="false">EDATE(Inputs!$C$6,A359-1)</f>
        <v>56766</v>
      </c>
      <c r="C359" s="24" t="n">
        <f aca="false">EDATE(Inputs!$C$6,A359)-1</f>
        <v>56795</v>
      </c>
      <c r="D359" s="10" t="str">
        <f aca="false">IF(A359&lt;=Inputs!$C$7,"Yes","No")</f>
        <v>No</v>
      </c>
      <c r="E359" s="27" t="n">
        <f aca="false">IF(N(Inputs!$C$12)=0,1,(1+Inputs!$C$11)^INT((A359-1)/Inputs!$C$12))</f>
        <v>4.11613559538159</v>
      </c>
      <c r="F359" s="28" t="n">
        <f aca="false">IF(AND(D359="Yes",Inputs!$C$10="Advance",MOD(A359-1,Inputs!$C$22)=0),Inputs!$C$8*E359,0)</f>
        <v>0</v>
      </c>
      <c r="G359" s="28" t="n">
        <f aca="false">IF(AND(D359="Yes",Inputs!$C$10="Arrears",MOD(A359,Inputs!$C$22)=0),Inputs!$C$8*IF(N(Inputs!$C$12)=0,1,(1+Inputs!$C$11)^INT((A359-Inputs!$C$22)/Inputs!$C$12)),0)</f>
        <v>0</v>
      </c>
      <c r="H359" s="29" t="n">
        <f aca="false">1/(1+Inputs!$C$23)^(A359-1)</f>
        <v>0.0708633246554407</v>
      </c>
      <c r="I359" s="29" t="n">
        <f aca="false">1/(1+Inputs!$C$23)^A359</f>
        <v>0.0703294164786067</v>
      </c>
      <c r="J359" s="30" t="n">
        <f aca="false">F359*H359+G359*I359</f>
        <v>0</v>
      </c>
      <c r="K359" s="30" t="n">
        <f aca="false">M358</f>
        <v>-2.31665708150703E-009</v>
      </c>
      <c r="L359" s="30" t="n">
        <f aca="false">IF(D359="Yes",(K359-F359)*Inputs!$C$23,0)</f>
        <v>0</v>
      </c>
      <c r="M359" s="30" t="n">
        <f aca="false">K359-F359+L359-G359</f>
        <v>-2.31665708150703E-009</v>
      </c>
      <c r="N359" s="30" t="n">
        <f aca="false">F359+G359</f>
        <v>0</v>
      </c>
      <c r="O359" s="30" t="n">
        <f aca="false">N359-L359</f>
        <v>0</v>
      </c>
      <c r="P359" s="30" t="n">
        <f aca="false">R358</f>
        <v>1.30967237055302E-009</v>
      </c>
      <c r="Q359" s="30" t="n">
        <f aca="false">IF(A359&lt;=Inputs!$C$24,Inputs!$C$29/Inputs!$C$24,0)</f>
        <v>0</v>
      </c>
      <c r="R359" s="30" t="n">
        <f aca="false">P359-Q359</f>
        <v>1.30967237055302E-009</v>
      </c>
      <c r="S359" s="10" t="str">
        <f aca="false">"FY "&amp;(YEAR(B359)-(MONTH(B359)&lt;4))&amp;"-"&amp;RIGHT(YEAR(B359)-(MONTH(B359)&lt;4)+1,2)</f>
        <v>FY 2055-56</v>
      </c>
    </row>
    <row r="360" customFormat="false" ht="15" hidden="false" customHeight="false" outlineLevel="0" collapsed="false">
      <c r="A360" s="22" t="n">
        <v>352</v>
      </c>
      <c r="B360" s="24" t="n">
        <f aca="false">EDATE(Inputs!$C$6,A360-1)</f>
        <v>56796</v>
      </c>
      <c r="C360" s="24" t="n">
        <f aca="false">EDATE(Inputs!$C$6,A360)-1</f>
        <v>56826</v>
      </c>
      <c r="D360" s="10" t="str">
        <f aca="false">IF(A360&lt;=Inputs!$C$7,"Yes","No")</f>
        <v>No</v>
      </c>
      <c r="E360" s="27" t="n">
        <f aca="false">IF(N(Inputs!$C$12)=0,1,(1+Inputs!$C$11)^INT((A360-1)/Inputs!$C$12))</f>
        <v>4.11613559538159</v>
      </c>
      <c r="F360" s="28" t="n">
        <f aca="false">IF(AND(D360="Yes",Inputs!$C$10="Advance",MOD(A360-1,Inputs!$C$22)=0),Inputs!$C$8*E360,0)</f>
        <v>0</v>
      </c>
      <c r="G360" s="28" t="n">
        <f aca="false">IF(AND(D360="Yes",Inputs!$C$10="Arrears",MOD(A360,Inputs!$C$22)=0),Inputs!$C$8*IF(N(Inputs!$C$12)=0,1,(1+Inputs!$C$11)^INT((A360-Inputs!$C$22)/Inputs!$C$12)),0)</f>
        <v>0</v>
      </c>
      <c r="H360" s="29" t="n">
        <f aca="false">1/(1+Inputs!$C$23)^(A360-1)</f>
        <v>0.0703294164786067</v>
      </c>
      <c r="I360" s="29" t="n">
        <f aca="false">1/(1+Inputs!$C$23)^A360</f>
        <v>0.0697995309459638</v>
      </c>
      <c r="J360" s="30" t="n">
        <f aca="false">F360*H360+G360*I360</f>
        <v>0</v>
      </c>
      <c r="K360" s="30" t="n">
        <f aca="false">M359</f>
        <v>-2.31665708150703E-009</v>
      </c>
      <c r="L360" s="30" t="n">
        <f aca="false">IF(D360="Yes",(K360-F360)*Inputs!$C$23,0)</f>
        <v>0</v>
      </c>
      <c r="M360" s="30" t="n">
        <f aca="false">K360-F360+L360-G360</f>
        <v>-2.31665708150703E-009</v>
      </c>
      <c r="N360" s="30" t="n">
        <f aca="false">F360+G360</f>
        <v>0</v>
      </c>
      <c r="O360" s="30" t="n">
        <f aca="false">N360-L360</f>
        <v>0</v>
      </c>
      <c r="P360" s="30" t="n">
        <f aca="false">R359</f>
        <v>1.30967237055302E-009</v>
      </c>
      <c r="Q360" s="30" t="n">
        <f aca="false">IF(A360&lt;=Inputs!$C$24,Inputs!$C$29/Inputs!$C$24,0)</f>
        <v>0</v>
      </c>
      <c r="R360" s="30" t="n">
        <f aca="false">P360-Q360</f>
        <v>1.30967237055302E-009</v>
      </c>
      <c r="S360" s="10" t="str">
        <f aca="false">"FY "&amp;(YEAR(B360)-(MONTH(B360)&lt;4))&amp;"-"&amp;RIGHT(YEAR(B360)-(MONTH(B360)&lt;4)+1,2)</f>
        <v>FY 2055-56</v>
      </c>
    </row>
    <row r="361" customFormat="false" ht="15" hidden="false" customHeight="false" outlineLevel="0" collapsed="false">
      <c r="A361" s="22" t="n">
        <v>353</v>
      </c>
      <c r="B361" s="24" t="n">
        <f aca="false">EDATE(Inputs!$C$6,A361-1)</f>
        <v>56827</v>
      </c>
      <c r="C361" s="24" t="n">
        <f aca="false">EDATE(Inputs!$C$6,A361)-1</f>
        <v>56857</v>
      </c>
      <c r="D361" s="10" t="str">
        <f aca="false">IF(A361&lt;=Inputs!$C$7,"Yes","No")</f>
        <v>No</v>
      </c>
      <c r="E361" s="27" t="n">
        <f aca="false">IF(N(Inputs!$C$12)=0,1,(1+Inputs!$C$11)^INT((A361-1)/Inputs!$C$12))</f>
        <v>4.11613559538159</v>
      </c>
      <c r="F361" s="28" t="n">
        <f aca="false">IF(AND(D361="Yes",Inputs!$C$10="Advance",MOD(A361-1,Inputs!$C$22)=0),Inputs!$C$8*E361,0)</f>
        <v>0</v>
      </c>
      <c r="G361" s="28" t="n">
        <f aca="false">IF(AND(D361="Yes",Inputs!$C$10="Arrears",MOD(A361,Inputs!$C$22)=0),Inputs!$C$8*IF(N(Inputs!$C$12)=0,1,(1+Inputs!$C$11)^INT((A361-Inputs!$C$22)/Inputs!$C$12)),0)</f>
        <v>0</v>
      </c>
      <c r="H361" s="29" t="n">
        <f aca="false">1/(1+Inputs!$C$23)^(A361-1)</f>
        <v>0.0697995309459638</v>
      </c>
      <c r="I361" s="29" t="n">
        <f aca="false">1/(1+Inputs!$C$23)^A361</f>
        <v>0.0692736377495547</v>
      </c>
      <c r="J361" s="30" t="n">
        <f aca="false">F361*H361+G361*I361</f>
        <v>0</v>
      </c>
      <c r="K361" s="30" t="n">
        <f aca="false">M360</f>
        <v>-2.31665708150703E-009</v>
      </c>
      <c r="L361" s="30" t="n">
        <f aca="false">IF(D361="Yes",(K361-F361)*Inputs!$C$23,0)</f>
        <v>0</v>
      </c>
      <c r="M361" s="30" t="n">
        <f aca="false">K361-F361+L361-G361</f>
        <v>-2.31665708150703E-009</v>
      </c>
      <c r="N361" s="30" t="n">
        <f aca="false">F361+G361</f>
        <v>0</v>
      </c>
      <c r="O361" s="30" t="n">
        <f aca="false">N361-L361</f>
        <v>0</v>
      </c>
      <c r="P361" s="30" t="n">
        <f aca="false">R360</f>
        <v>1.30967237055302E-009</v>
      </c>
      <c r="Q361" s="30" t="n">
        <f aca="false">IF(A361&lt;=Inputs!$C$24,Inputs!$C$29/Inputs!$C$24,0)</f>
        <v>0</v>
      </c>
      <c r="R361" s="30" t="n">
        <f aca="false">P361-Q361</f>
        <v>1.30967237055302E-009</v>
      </c>
      <c r="S361" s="10" t="str">
        <f aca="false">"FY "&amp;(YEAR(B361)-(MONTH(B361)&lt;4))&amp;"-"&amp;RIGHT(YEAR(B361)-(MONTH(B361)&lt;4)+1,2)</f>
        <v>FY 2055-56</v>
      </c>
    </row>
    <row r="362" customFormat="false" ht="15" hidden="false" customHeight="false" outlineLevel="0" collapsed="false">
      <c r="A362" s="22" t="n">
        <v>354</v>
      </c>
      <c r="B362" s="24" t="n">
        <f aca="false">EDATE(Inputs!$C$6,A362-1)</f>
        <v>56858</v>
      </c>
      <c r="C362" s="24" t="n">
        <f aca="false">EDATE(Inputs!$C$6,A362)-1</f>
        <v>56887</v>
      </c>
      <c r="D362" s="10" t="str">
        <f aca="false">IF(A362&lt;=Inputs!$C$7,"Yes","No")</f>
        <v>No</v>
      </c>
      <c r="E362" s="27" t="n">
        <f aca="false">IF(N(Inputs!$C$12)=0,1,(1+Inputs!$C$11)^INT((A362-1)/Inputs!$C$12))</f>
        <v>4.11613559538159</v>
      </c>
      <c r="F362" s="28" t="n">
        <f aca="false">IF(AND(D362="Yes",Inputs!$C$10="Advance",MOD(A362-1,Inputs!$C$22)=0),Inputs!$C$8*E362,0)</f>
        <v>0</v>
      </c>
      <c r="G362" s="28" t="n">
        <f aca="false">IF(AND(D362="Yes",Inputs!$C$10="Arrears",MOD(A362,Inputs!$C$22)=0),Inputs!$C$8*IF(N(Inputs!$C$12)=0,1,(1+Inputs!$C$11)^INT((A362-Inputs!$C$22)/Inputs!$C$12)),0)</f>
        <v>0</v>
      </c>
      <c r="H362" s="29" t="n">
        <f aca="false">1/(1+Inputs!$C$23)^(A362-1)</f>
        <v>0.0692736377495547</v>
      </c>
      <c r="I362" s="29" t="n">
        <f aca="false">1/(1+Inputs!$C$23)^A362</f>
        <v>0.0687517068097722</v>
      </c>
      <c r="J362" s="30" t="n">
        <f aca="false">F362*H362+G362*I362</f>
        <v>0</v>
      </c>
      <c r="K362" s="30" t="n">
        <f aca="false">M361</f>
        <v>-2.31665708150703E-009</v>
      </c>
      <c r="L362" s="30" t="n">
        <f aca="false">IF(D362="Yes",(K362-F362)*Inputs!$C$23,0)</f>
        <v>0</v>
      </c>
      <c r="M362" s="30" t="n">
        <f aca="false">K362-F362+L362-G362</f>
        <v>-2.31665708150703E-009</v>
      </c>
      <c r="N362" s="30" t="n">
        <f aca="false">F362+G362</f>
        <v>0</v>
      </c>
      <c r="O362" s="30" t="n">
        <f aca="false">N362-L362</f>
        <v>0</v>
      </c>
      <c r="P362" s="30" t="n">
        <f aca="false">R361</f>
        <v>1.30967237055302E-009</v>
      </c>
      <c r="Q362" s="30" t="n">
        <f aca="false">IF(A362&lt;=Inputs!$C$24,Inputs!$C$29/Inputs!$C$24,0)</f>
        <v>0</v>
      </c>
      <c r="R362" s="30" t="n">
        <f aca="false">P362-Q362</f>
        <v>1.30967237055302E-009</v>
      </c>
      <c r="S362" s="10" t="str">
        <f aca="false">"FY "&amp;(YEAR(B362)-(MONTH(B362)&lt;4))&amp;"-"&amp;RIGHT(YEAR(B362)-(MONTH(B362)&lt;4)+1,2)</f>
        <v>FY 2055-56</v>
      </c>
    </row>
    <row r="363" customFormat="false" ht="15" hidden="false" customHeight="false" outlineLevel="0" collapsed="false">
      <c r="A363" s="22" t="n">
        <v>355</v>
      </c>
      <c r="B363" s="24" t="n">
        <f aca="false">EDATE(Inputs!$C$6,A363-1)</f>
        <v>56888</v>
      </c>
      <c r="C363" s="24" t="n">
        <f aca="false">EDATE(Inputs!$C$6,A363)-1</f>
        <v>56918</v>
      </c>
      <c r="D363" s="10" t="str">
        <f aca="false">IF(A363&lt;=Inputs!$C$7,"Yes","No")</f>
        <v>No</v>
      </c>
      <c r="E363" s="27" t="n">
        <f aca="false">IF(N(Inputs!$C$12)=0,1,(1+Inputs!$C$11)^INT((A363-1)/Inputs!$C$12))</f>
        <v>4.11613559538159</v>
      </c>
      <c r="F363" s="28" t="n">
        <f aca="false">IF(AND(D363="Yes",Inputs!$C$10="Advance",MOD(A363-1,Inputs!$C$22)=0),Inputs!$C$8*E363,0)</f>
        <v>0</v>
      </c>
      <c r="G363" s="28" t="n">
        <f aca="false">IF(AND(D363="Yes",Inputs!$C$10="Arrears",MOD(A363,Inputs!$C$22)=0),Inputs!$C$8*IF(N(Inputs!$C$12)=0,1,(1+Inputs!$C$11)^INT((A363-Inputs!$C$22)/Inputs!$C$12)),0)</f>
        <v>0</v>
      </c>
      <c r="H363" s="29" t="n">
        <f aca="false">1/(1+Inputs!$C$23)^(A363-1)</f>
        <v>0.0687517068097722</v>
      </c>
      <c r="I363" s="29" t="n">
        <f aca="false">1/(1+Inputs!$C$23)^A363</f>
        <v>0.0682337082736393</v>
      </c>
      <c r="J363" s="30" t="n">
        <f aca="false">F363*H363+G363*I363</f>
        <v>0</v>
      </c>
      <c r="K363" s="30" t="n">
        <f aca="false">M362</f>
        <v>-2.31665708150703E-009</v>
      </c>
      <c r="L363" s="30" t="n">
        <f aca="false">IF(D363="Yes",(K363-F363)*Inputs!$C$23,0)</f>
        <v>0</v>
      </c>
      <c r="M363" s="30" t="n">
        <f aca="false">K363-F363+L363-G363</f>
        <v>-2.31665708150703E-009</v>
      </c>
      <c r="N363" s="30" t="n">
        <f aca="false">F363+G363</f>
        <v>0</v>
      </c>
      <c r="O363" s="30" t="n">
        <f aca="false">N363-L363</f>
        <v>0</v>
      </c>
      <c r="P363" s="30" t="n">
        <f aca="false">R362</f>
        <v>1.30967237055302E-009</v>
      </c>
      <c r="Q363" s="30" t="n">
        <f aca="false">IF(A363&lt;=Inputs!$C$24,Inputs!$C$29/Inputs!$C$24,0)</f>
        <v>0</v>
      </c>
      <c r="R363" s="30" t="n">
        <f aca="false">P363-Q363</f>
        <v>1.30967237055302E-009</v>
      </c>
      <c r="S363" s="10" t="str">
        <f aca="false">"FY "&amp;(YEAR(B363)-(MONTH(B363)&lt;4))&amp;"-"&amp;RIGHT(YEAR(B363)-(MONTH(B363)&lt;4)+1,2)</f>
        <v>FY 2055-56</v>
      </c>
    </row>
    <row r="364" customFormat="false" ht="15" hidden="false" customHeight="false" outlineLevel="0" collapsed="false">
      <c r="A364" s="22" t="n">
        <v>356</v>
      </c>
      <c r="B364" s="24" t="n">
        <f aca="false">EDATE(Inputs!$C$6,A364-1)</f>
        <v>56919</v>
      </c>
      <c r="C364" s="24" t="n">
        <f aca="false">EDATE(Inputs!$C$6,A364)-1</f>
        <v>56948</v>
      </c>
      <c r="D364" s="10" t="str">
        <f aca="false">IF(A364&lt;=Inputs!$C$7,"Yes","No")</f>
        <v>No</v>
      </c>
      <c r="E364" s="27" t="n">
        <f aca="false">IF(N(Inputs!$C$12)=0,1,(1+Inputs!$C$11)^INT((A364-1)/Inputs!$C$12))</f>
        <v>4.11613559538159</v>
      </c>
      <c r="F364" s="28" t="n">
        <f aca="false">IF(AND(D364="Yes",Inputs!$C$10="Advance",MOD(A364-1,Inputs!$C$22)=0),Inputs!$C$8*E364,0)</f>
        <v>0</v>
      </c>
      <c r="G364" s="28" t="n">
        <f aca="false">IF(AND(D364="Yes",Inputs!$C$10="Arrears",MOD(A364,Inputs!$C$22)=0),Inputs!$C$8*IF(N(Inputs!$C$12)=0,1,(1+Inputs!$C$11)^INT((A364-Inputs!$C$22)/Inputs!$C$12)),0)</f>
        <v>0</v>
      </c>
      <c r="H364" s="29" t="n">
        <f aca="false">1/(1+Inputs!$C$23)^(A364-1)</f>
        <v>0.0682337082736393</v>
      </c>
      <c r="I364" s="29" t="n">
        <f aca="false">1/(1+Inputs!$C$23)^A364</f>
        <v>0.0677196125131011</v>
      </c>
      <c r="J364" s="30" t="n">
        <f aca="false">F364*H364+G364*I364</f>
        <v>0</v>
      </c>
      <c r="K364" s="30" t="n">
        <f aca="false">M363</f>
        <v>-2.31665708150703E-009</v>
      </c>
      <c r="L364" s="30" t="n">
        <f aca="false">IF(D364="Yes",(K364-F364)*Inputs!$C$23,0)</f>
        <v>0</v>
      </c>
      <c r="M364" s="30" t="n">
        <f aca="false">K364-F364+L364-G364</f>
        <v>-2.31665708150703E-009</v>
      </c>
      <c r="N364" s="30" t="n">
        <f aca="false">F364+G364</f>
        <v>0</v>
      </c>
      <c r="O364" s="30" t="n">
        <f aca="false">N364-L364</f>
        <v>0</v>
      </c>
      <c r="P364" s="30" t="n">
        <f aca="false">R363</f>
        <v>1.30967237055302E-009</v>
      </c>
      <c r="Q364" s="30" t="n">
        <f aca="false">IF(A364&lt;=Inputs!$C$24,Inputs!$C$29/Inputs!$C$24,0)</f>
        <v>0</v>
      </c>
      <c r="R364" s="30" t="n">
        <f aca="false">P364-Q364</f>
        <v>1.30967237055302E-009</v>
      </c>
      <c r="S364" s="10" t="str">
        <f aca="false">"FY "&amp;(YEAR(B364)-(MONTH(B364)&lt;4))&amp;"-"&amp;RIGHT(YEAR(B364)-(MONTH(B364)&lt;4)+1,2)</f>
        <v>FY 2055-56</v>
      </c>
    </row>
    <row r="365" customFormat="false" ht="15" hidden="false" customHeight="false" outlineLevel="0" collapsed="false">
      <c r="A365" s="22" t="n">
        <v>357</v>
      </c>
      <c r="B365" s="24" t="n">
        <f aca="false">EDATE(Inputs!$C$6,A365-1)</f>
        <v>56949</v>
      </c>
      <c r="C365" s="24" t="n">
        <f aca="false">EDATE(Inputs!$C$6,A365)-1</f>
        <v>56979</v>
      </c>
      <c r="D365" s="10" t="str">
        <f aca="false">IF(A365&lt;=Inputs!$C$7,"Yes","No")</f>
        <v>No</v>
      </c>
      <c r="E365" s="27" t="n">
        <f aca="false">IF(N(Inputs!$C$12)=0,1,(1+Inputs!$C$11)^INT((A365-1)/Inputs!$C$12))</f>
        <v>4.11613559538159</v>
      </c>
      <c r="F365" s="28" t="n">
        <f aca="false">IF(AND(D365="Yes",Inputs!$C$10="Advance",MOD(A365-1,Inputs!$C$22)=0),Inputs!$C$8*E365,0)</f>
        <v>0</v>
      </c>
      <c r="G365" s="28" t="n">
        <f aca="false">IF(AND(D365="Yes",Inputs!$C$10="Arrears",MOD(A365,Inputs!$C$22)=0),Inputs!$C$8*IF(N(Inputs!$C$12)=0,1,(1+Inputs!$C$11)^INT((A365-Inputs!$C$22)/Inputs!$C$12)),0)</f>
        <v>0</v>
      </c>
      <c r="H365" s="29" t="n">
        <f aca="false">1/(1+Inputs!$C$23)^(A365-1)</f>
        <v>0.0677196125131011</v>
      </c>
      <c r="I365" s="29" t="n">
        <f aca="false">1/(1+Inputs!$C$23)^A365</f>
        <v>0.0672093901233307</v>
      </c>
      <c r="J365" s="30" t="n">
        <f aca="false">F365*H365+G365*I365</f>
        <v>0</v>
      </c>
      <c r="K365" s="30" t="n">
        <f aca="false">M364</f>
        <v>-2.31665708150703E-009</v>
      </c>
      <c r="L365" s="30" t="n">
        <f aca="false">IF(D365="Yes",(K365-F365)*Inputs!$C$23,0)</f>
        <v>0</v>
      </c>
      <c r="M365" s="30" t="n">
        <f aca="false">K365-F365+L365-G365</f>
        <v>-2.31665708150703E-009</v>
      </c>
      <c r="N365" s="30" t="n">
        <f aca="false">F365+G365</f>
        <v>0</v>
      </c>
      <c r="O365" s="30" t="n">
        <f aca="false">N365-L365</f>
        <v>0</v>
      </c>
      <c r="P365" s="30" t="n">
        <f aca="false">R364</f>
        <v>1.30967237055302E-009</v>
      </c>
      <c r="Q365" s="30" t="n">
        <f aca="false">IF(A365&lt;=Inputs!$C$24,Inputs!$C$29/Inputs!$C$24,0)</f>
        <v>0</v>
      </c>
      <c r="R365" s="30" t="n">
        <f aca="false">P365-Q365</f>
        <v>1.30967237055302E-009</v>
      </c>
      <c r="S365" s="10" t="str">
        <f aca="false">"FY "&amp;(YEAR(B365)-(MONTH(B365)&lt;4))&amp;"-"&amp;RIGHT(YEAR(B365)-(MONTH(B365)&lt;4)+1,2)</f>
        <v>FY 2055-56</v>
      </c>
    </row>
    <row r="366" customFormat="false" ht="15" hidden="false" customHeight="false" outlineLevel="0" collapsed="false">
      <c r="A366" s="22" t="n">
        <v>358</v>
      </c>
      <c r="B366" s="24" t="n">
        <f aca="false">EDATE(Inputs!$C$6,A366-1)</f>
        <v>56980</v>
      </c>
      <c r="C366" s="24" t="n">
        <f aca="false">EDATE(Inputs!$C$6,A366)-1</f>
        <v>57010</v>
      </c>
      <c r="D366" s="10" t="str">
        <f aca="false">IF(A366&lt;=Inputs!$C$7,"Yes","No")</f>
        <v>No</v>
      </c>
      <c r="E366" s="27" t="n">
        <f aca="false">IF(N(Inputs!$C$12)=0,1,(1+Inputs!$C$11)^INT((A366-1)/Inputs!$C$12))</f>
        <v>4.11613559538159</v>
      </c>
      <c r="F366" s="28" t="n">
        <f aca="false">IF(AND(D366="Yes",Inputs!$C$10="Advance",MOD(A366-1,Inputs!$C$22)=0),Inputs!$C$8*E366,0)</f>
        <v>0</v>
      </c>
      <c r="G366" s="28" t="n">
        <f aca="false">IF(AND(D366="Yes",Inputs!$C$10="Arrears",MOD(A366,Inputs!$C$22)=0),Inputs!$C$8*IF(N(Inputs!$C$12)=0,1,(1+Inputs!$C$11)^INT((A366-Inputs!$C$22)/Inputs!$C$12)),0)</f>
        <v>0</v>
      </c>
      <c r="H366" s="29" t="n">
        <f aca="false">1/(1+Inputs!$C$23)^(A366-1)</f>
        <v>0.0672093901233307</v>
      </c>
      <c r="I366" s="29" t="n">
        <f aca="false">1/(1+Inputs!$C$23)^A366</f>
        <v>0.0667030119210469</v>
      </c>
      <c r="J366" s="30" t="n">
        <f aca="false">F366*H366+G366*I366</f>
        <v>0</v>
      </c>
      <c r="K366" s="30" t="n">
        <f aca="false">M365</f>
        <v>-2.31665708150703E-009</v>
      </c>
      <c r="L366" s="30" t="n">
        <f aca="false">IF(D366="Yes",(K366-F366)*Inputs!$C$23,0)</f>
        <v>0</v>
      </c>
      <c r="M366" s="30" t="n">
        <f aca="false">K366-F366+L366-G366</f>
        <v>-2.31665708150703E-009</v>
      </c>
      <c r="N366" s="30" t="n">
        <f aca="false">F366+G366</f>
        <v>0</v>
      </c>
      <c r="O366" s="30" t="n">
        <f aca="false">N366-L366</f>
        <v>0</v>
      </c>
      <c r="P366" s="30" t="n">
        <f aca="false">R365</f>
        <v>1.30967237055302E-009</v>
      </c>
      <c r="Q366" s="30" t="n">
        <f aca="false">IF(A366&lt;=Inputs!$C$24,Inputs!$C$29/Inputs!$C$24,0)</f>
        <v>0</v>
      </c>
      <c r="R366" s="30" t="n">
        <f aca="false">P366-Q366</f>
        <v>1.30967237055302E-009</v>
      </c>
      <c r="S366" s="10" t="str">
        <f aca="false">"FY "&amp;(YEAR(B366)-(MONTH(B366)&lt;4))&amp;"-"&amp;RIGHT(YEAR(B366)-(MONTH(B366)&lt;4)+1,2)</f>
        <v>FY 2055-56</v>
      </c>
    </row>
    <row r="367" customFormat="false" ht="15" hidden="false" customHeight="false" outlineLevel="0" collapsed="false">
      <c r="A367" s="22" t="n">
        <v>359</v>
      </c>
      <c r="B367" s="24" t="n">
        <f aca="false">EDATE(Inputs!$C$6,A367-1)</f>
        <v>57011</v>
      </c>
      <c r="C367" s="24" t="n">
        <f aca="false">EDATE(Inputs!$C$6,A367)-1</f>
        <v>57039</v>
      </c>
      <c r="D367" s="10" t="str">
        <f aca="false">IF(A367&lt;=Inputs!$C$7,"Yes","No")</f>
        <v>No</v>
      </c>
      <c r="E367" s="27" t="n">
        <f aca="false">IF(N(Inputs!$C$12)=0,1,(1+Inputs!$C$11)^INT((A367-1)/Inputs!$C$12))</f>
        <v>4.11613559538159</v>
      </c>
      <c r="F367" s="28" t="n">
        <f aca="false">IF(AND(D367="Yes",Inputs!$C$10="Advance",MOD(A367-1,Inputs!$C$22)=0),Inputs!$C$8*E367,0)</f>
        <v>0</v>
      </c>
      <c r="G367" s="28" t="n">
        <f aca="false">IF(AND(D367="Yes",Inputs!$C$10="Arrears",MOD(A367,Inputs!$C$22)=0),Inputs!$C$8*IF(N(Inputs!$C$12)=0,1,(1+Inputs!$C$11)^INT((A367-Inputs!$C$22)/Inputs!$C$12)),0)</f>
        <v>0</v>
      </c>
      <c r="H367" s="29" t="n">
        <f aca="false">1/(1+Inputs!$C$23)^(A367-1)</f>
        <v>0.0667030119210469</v>
      </c>
      <c r="I367" s="29" t="n">
        <f aca="false">1/(1+Inputs!$C$23)^A367</f>
        <v>0.0662004489428453</v>
      </c>
      <c r="J367" s="30" t="n">
        <f aca="false">F367*H367+G367*I367</f>
        <v>0</v>
      </c>
      <c r="K367" s="30" t="n">
        <f aca="false">M366</f>
        <v>-2.31665708150703E-009</v>
      </c>
      <c r="L367" s="30" t="n">
        <f aca="false">IF(D367="Yes",(K367-F367)*Inputs!$C$23,0)</f>
        <v>0</v>
      </c>
      <c r="M367" s="30" t="n">
        <f aca="false">K367-F367+L367-G367</f>
        <v>-2.31665708150703E-009</v>
      </c>
      <c r="N367" s="30" t="n">
        <f aca="false">F367+G367</f>
        <v>0</v>
      </c>
      <c r="O367" s="30" t="n">
        <f aca="false">N367-L367</f>
        <v>0</v>
      </c>
      <c r="P367" s="30" t="n">
        <f aca="false">R366</f>
        <v>1.30967237055302E-009</v>
      </c>
      <c r="Q367" s="30" t="n">
        <f aca="false">IF(A367&lt;=Inputs!$C$24,Inputs!$C$29/Inputs!$C$24,0)</f>
        <v>0</v>
      </c>
      <c r="R367" s="30" t="n">
        <f aca="false">P367-Q367</f>
        <v>1.30967237055302E-009</v>
      </c>
      <c r="S367" s="10" t="str">
        <f aca="false">"FY "&amp;(YEAR(B367)-(MONTH(B367)&lt;4))&amp;"-"&amp;RIGHT(YEAR(B367)-(MONTH(B367)&lt;4)+1,2)</f>
        <v>FY 2055-56</v>
      </c>
    </row>
    <row r="368" customFormat="false" ht="15" hidden="false" customHeight="false" outlineLevel="0" collapsed="false">
      <c r="A368" s="22" t="n">
        <v>360</v>
      </c>
      <c r="B368" s="24" t="n">
        <f aca="false">EDATE(Inputs!$C$6,A368-1)</f>
        <v>57040</v>
      </c>
      <c r="C368" s="24" t="n">
        <f aca="false">EDATE(Inputs!$C$6,A368)-1</f>
        <v>57070</v>
      </c>
      <c r="D368" s="10" t="str">
        <f aca="false">IF(A368&lt;=Inputs!$C$7,"Yes","No")</f>
        <v>No</v>
      </c>
      <c r="E368" s="27" t="n">
        <f aca="false">IF(N(Inputs!$C$12)=0,1,(1+Inputs!$C$11)^INT((A368-1)/Inputs!$C$12))</f>
        <v>4.11613559538159</v>
      </c>
      <c r="F368" s="28" t="n">
        <f aca="false">IF(AND(D368="Yes",Inputs!$C$10="Advance",MOD(A368-1,Inputs!$C$22)=0),Inputs!$C$8*E368,0)</f>
        <v>0</v>
      </c>
      <c r="G368" s="28" t="n">
        <f aca="false">IF(AND(D368="Yes",Inputs!$C$10="Arrears",MOD(A368,Inputs!$C$22)=0),Inputs!$C$8*IF(N(Inputs!$C$12)=0,1,(1+Inputs!$C$11)^INT((A368-Inputs!$C$22)/Inputs!$C$12)),0)</f>
        <v>0</v>
      </c>
      <c r="H368" s="29" t="n">
        <f aca="false">1/(1+Inputs!$C$23)^(A368-1)</f>
        <v>0.0662004489428453</v>
      </c>
      <c r="I368" s="29" t="n">
        <f aca="false">1/(1+Inputs!$C$23)^A368</f>
        <v>0.0657016724435416</v>
      </c>
      <c r="J368" s="30" t="n">
        <f aca="false">F368*H368+G368*I368</f>
        <v>0</v>
      </c>
      <c r="K368" s="30" t="n">
        <f aca="false">M367</f>
        <v>-2.31665708150703E-009</v>
      </c>
      <c r="L368" s="30" t="n">
        <f aca="false">IF(D368="Yes",(K368-F368)*Inputs!$C$23,0)</f>
        <v>0</v>
      </c>
      <c r="M368" s="30" t="n">
        <f aca="false">K368-F368+L368-G368</f>
        <v>-2.31665708150703E-009</v>
      </c>
      <c r="N368" s="30" t="n">
        <f aca="false">F368+G368</f>
        <v>0</v>
      </c>
      <c r="O368" s="30" t="n">
        <f aca="false">N368-L368</f>
        <v>0</v>
      </c>
      <c r="P368" s="30" t="n">
        <f aca="false">R367</f>
        <v>1.30967237055302E-009</v>
      </c>
      <c r="Q368" s="30" t="n">
        <f aca="false">IF(A368&lt;=Inputs!$C$24,Inputs!$C$29/Inputs!$C$24,0)</f>
        <v>0</v>
      </c>
      <c r="R368" s="30" t="n">
        <f aca="false">P368-Q368</f>
        <v>1.30967237055302E-009</v>
      </c>
      <c r="S368" s="10" t="str">
        <f aca="false">"FY "&amp;(YEAR(B368)-(MONTH(B368)&lt;4))&amp;"-"&amp;RIGHT(YEAR(B368)-(MONTH(B368)&lt;4)+1,2)</f>
        <v>FY 2055-56</v>
      </c>
    </row>
  </sheetData>
  <conditionalFormatting sqref="A9:S368">
    <cfRule type="expression" priority="2" aboveAverage="0" equalAverage="0" bottom="0" percent="0" rank="0" text="" dxfId="0">
      <formula>$D9="No"</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L4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3"/>
    <col collapsed="false" customWidth="true" hidden="false" outlineLevel="0" max="3" min="2" style="0" width="12"/>
    <col collapsed="false" customWidth="true" hidden="false" outlineLevel="0" max="12" min="4" style="0" width="15"/>
  </cols>
  <sheetData>
    <row r="1" customFormat="false" ht="17.35" hidden="false" customHeight="false" outlineLevel="0" collapsed="false">
      <c r="A1" s="15" t="s">
        <v>98</v>
      </c>
    </row>
    <row r="2" customFormat="false" ht="15" hidden="false" customHeight="false" outlineLevel="0" collapsed="false">
      <c r="A2" s="16" t="s">
        <v>45</v>
      </c>
    </row>
    <row r="5" customFormat="false" ht="43.5" hidden="false" customHeight="true" outlineLevel="0" collapsed="false">
      <c r="A5" s="26" t="s">
        <v>97</v>
      </c>
      <c r="B5" s="26" t="s">
        <v>99</v>
      </c>
      <c r="C5" s="26" t="s">
        <v>100</v>
      </c>
      <c r="D5" s="26" t="s">
        <v>101</v>
      </c>
      <c r="E5" s="26" t="s">
        <v>102</v>
      </c>
      <c r="F5" s="26" t="s">
        <v>93</v>
      </c>
      <c r="G5" s="26" t="s">
        <v>95</v>
      </c>
      <c r="H5" s="26" t="s">
        <v>91</v>
      </c>
      <c r="I5" s="26" t="s">
        <v>103</v>
      </c>
      <c r="J5" s="26" t="s">
        <v>104</v>
      </c>
      <c r="K5" s="26" t="s">
        <v>105</v>
      </c>
      <c r="L5" s="26" t="s">
        <v>106</v>
      </c>
    </row>
    <row r="6" customFormat="false" ht="15" hidden="false" customHeight="false" outlineLevel="0" collapsed="false">
      <c r="A6" s="10" t="str">
        <f aca="false">"FY "&amp;YEAR(B6)&amp;"-"&amp;RIGHT(YEAR(C6),2)</f>
        <v>FY 2026-27</v>
      </c>
      <c r="B6" s="24" t="n">
        <f aca="false">DATE(YEAR(Inputs!$C$6)-(MONTH(Inputs!$C$6)&lt;4),4,1)</f>
        <v>46113</v>
      </c>
      <c r="C6" s="24" t="n">
        <f aca="false">EDATE(B6,12)-1</f>
        <v>46477</v>
      </c>
      <c r="D6" s="28" t="n">
        <f aca="false">SUMIFS(Schedule!$N$9:$N$368,Schedule!$B$9:$B$368,"&gt;="&amp;$B6,Schedule!$B$9:$B$368,"&lt;="&amp;$C6)</f>
        <v>1200000</v>
      </c>
      <c r="E6" s="28" t="n">
        <f aca="false">SUMIFS(Schedule!$L$9:$L$368,Schedule!$B$9:$B$368,"&gt;="&amp;$B6,Schedule!$B$9:$B$368,"&lt;="&amp;$C6)</f>
        <v>442923.163212794</v>
      </c>
      <c r="F6" s="28" t="n">
        <f aca="false">SUMIFS(Schedule!$O$9:$O$368,Schedule!$B$9:$B$368,"&gt;="&amp;$B6,Schedule!$B$9:$B$368,"&lt;="&amp;$C6)</f>
        <v>757076.836787206</v>
      </c>
      <c r="G6" s="28" t="n">
        <f aca="false">SUMIFS(Schedule!$Q$9:$Q$368,Schedule!$B$9:$B$368,"&gt;="&amp;$B6,Schedule!$B$9:$B$368,"&lt;="&amp;$C6)</f>
        <v>1070667.58389824</v>
      </c>
      <c r="H6" s="28" t="n">
        <f aca="false">IF($B6&gt;Inputs!$C$25,0,IFERROR(INDEX(Schedule!$M$9:$M$368,MATCH($C6,Schedule!$C$9:$C$368,1)),Inputs!$C$28))</f>
        <v>4546261.08270401</v>
      </c>
      <c r="I6" s="28" t="n">
        <f aca="false">MIN(H6,SUMIFS(Schedule!$O$9:$O$368,Schedule!$B$9:$B$368,"&gt;"&amp;$C6,Schedule!$B$9:$B$368,"&lt;="&amp;EDATE($C6,12)))</f>
        <v>892043.833238933</v>
      </c>
      <c r="J6" s="28" t="n">
        <f aca="false">H6-I6</f>
        <v>3654217.24946508</v>
      </c>
      <c r="K6" s="28" t="n">
        <f aca="false">IF($B6&gt;EDATE(Inputs!$C$6,Inputs!$C$24),0,IFERROR(INDEX(Schedule!$R$9:$R$368,MATCH($C6,Schedule!$C$9:$C$368,1)),Inputs!$C$29))</f>
        <v>4282670.33559298</v>
      </c>
      <c r="L6" s="28" t="n">
        <f aca="false">E6+G6</f>
        <v>1513590.74711104</v>
      </c>
    </row>
    <row r="7" customFormat="false" ht="15" hidden="false" customHeight="false" outlineLevel="0" collapsed="false">
      <c r="A7" s="10" t="str">
        <f aca="false">"FY "&amp;YEAR(B7)&amp;"-"&amp;RIGHT(YEAR(C7),2)</f>
        <v>FY 2027-28</v>
      </c>
      <c r="B7" s="24" t="n">
        <f aca="false">EDATE(B6,12)</f>
        <v>46478</v>
      </c>
      <c r="C7" s="24" t="n">
        <f aca="false">EDATE(B7,12)-1</f>
        <v>46843</v>
      </c>
      <c r="D7" s="28" t="n">
        <f aca="false">SUMIFS(Schedule!$N$9:$N$368,Schedule!$B$9:$B$368,"&gt;="&amp;$B7,Schedule!$B$9:$B$368,"&lt;="&amp;$C7)</f>
        <v>1260000</v>
      </c>
      <c r="E7" s="28" t="n">
        <f aca="false">SUMIFS(Schedule!$L$9:$L$368,Schedule!$B$9:$B$368,"&gt;="&amp;$B7,Schedule!$B$9:$B$368,"&lt;="&amp;$C7)</f>
        <v>367956.166761067</v>
      </c>
      <c r="F7" s="28" t="n">
        <f aca="false">SUMIFS(Schedule!$O$9:$O$368,Schedule!$B$9:$B$368,"&gt;="&amp;$B7,Schedule!$B$9:$B$368,"&lt;="&amp;$C7)</f>
        <v>892043.833238933</v>
      </c>
      <c r="G7" s="28" t="n">
        <f aca="false">SUMIFS(Schedule!$Q$9:$Q$368,Schedule!$B$9:$B$368,"&gt;="&amp;$B7,Schedule!$B$9:$B$368,"&lt;="&amp;$C7)</f>
        <v>1070667.58389824</v>
      </c>
      <c r="H7" s="28" t="n">
        <f aca="false">IF($B7&gt;Inputs!$C$25,0,IFERROR(INDEX(Schedule!$M$9:$M$368,MATCH($C7,Schedule!$C$9:$C$368,1)),Inputs!$C$28))</f>
        <v>3654217.24946508</v>
      </c>
      <c r="I7" s="28" t="n">
        <f aca="false">MIN(H7,SUMIFS(Schedule!$O$9:$O$368,Schedule!$B$9:$B$368,"&gt;"&amp;$C7,Schedule!$B$9:$B$368,"&lt;="&amp;EDATE($C7,12)))</f>
        <v>1042984.92920142</v>
      </c>
      <c r="J7" s="28" t="n">
        <f aca="false">H7-I7</f>
        <v>2611232.32026366</v>
      </c>
      <c r="K7" s="28" t="n">
        <f aca="false">IF($B7&gt;EDATE(Inputs!$C$6,Inputs!$C$24),0,IFERROR(INDEX(Schedule!$R$9:$R$368,MATCH($C7,Schedule!$C$9:$C$368,1)),Inputs!$C$29))</f>
        <v>3212002.75169473</v>
      </c>
      <c r="L7" s="28" t="n">
        <f aca="false">E7+G7</f>
        <v>1438623.75065931</v>
      </c>
    </row>
    <row r="8" customFormat="false" ht="15" hidden="false" customHeight="false" outlineLevel="0" collapsed="false">
      <c r="A8" s="10" t="str">
        <f aca="false">"FY "&amp;YEAR(B8)&amp;"-"&amp;RIGHT(YEAR(C8),2)</f>
        <v>FY 2028-29</v>
      </c>
      <c r="B8" s="24" t="n">
        <f aca="false">EDATE(B7,12)</f>
        <v>46844</v>
      </c>
      <c r="C8" s="24" t="n">
        <f aca="false">EDATE(B8,12)-1</f>
        <v>47208</v>
      </c>
      <c r="D8" s="28" t="n">
        <f aca="false">SUMIFS(Schedule!$N$9:$N$368,Schedule!$B$9:$B$368,"&gt;="&amp;$B8,Schedule!$B$9:$B$368,"&lt;="&amp;$C8)</f>
        <v>1323000</v>
      </c>
      <c r="E8" s="28" t="n">
        <f aca="false">SUMIFS(Schedule!$L$9:$L$368,Schedule!$B$9:$B$368,"&gt;="&amp;$B8,Schedule!$B$9:$B$368,"&lt;="&amp;$C8)</f>
        <v>280015.070798579</v>
      </c>
      <c r="F8" s="28" t="n">
        <f aca="false">SUMIFS(Schedule!$O$9:$O$368,Schedule!$B$9:$B$368,"&gt;="&amp;$B8,Schedule!$B$9:$B$368,"&lt;="&amp;$C8)</f>
        <v>1042984.92920142</v>
      </c>
      <c r="G8" s="28" t="n">
        <f aca="false">SUMIFS(Schedule!$Q$9:$Q$368,Schedule!$B$9:$B$368,"&gt;="&amp;$B8,Schedule!$B$9:$B$368,"&lt;="&amp;$C8)</f>
        <v>1070667.58389824</v>
      </c>
      <c r="H8" s="28" t="n">
        <f aca="false">IF($B8&gt;Inputs!$C$25,0,IFERROR(INDEX(Schedule!$M$9:$M$368,MATCH($C8,Schedule!$C$9:$C$368,1)),Inputs!$C$28))</f>
        <v>2611232.32026365</v>
      </c>
      <c r="I8" s="28" t="n">
        <f aca="false">MIN(H8,SUMIFS(Schedule!$O$9:$O$368,Schedule!$B$9:$B$368,"&gt;"&amp;$C8,Schedule!$B$9:$B$368,"&lt;="&amp;EDATE($C8,12)))</f>
        <v>1211575.27587059</v>
      </c>
      <c r="J8" s="28" t="n">
        <f aca="false">H8-I8</f>
        <v>1399657.04439307</v>
      </c>
      <c r="K8" s="28" t="n">
        <f aca="false">IF($B8&gt;EDATE(Inputs!$C$6,Inputs!$C$24),0,IFERROR(INDEX(Schedule!$R$9:$R$368,MATCH($C8,Schedule!$C$9:$C$368,1)),Inputs!$C$29))</f>
        <v>2141335.16779649</v>
      </c>
      <c r="L8" s="28" t="n">
        <f aca="false">E8+G8</f>
        <v>1350682.65469682</v>
      </c>
    </row>
    <row r="9" customFormat="false" ht="15" hidden="false" customHeight="false" outlineLevel="0" collapsed="false">
      <c r="A9" s="10" t="str">
        <f aca="false">"FY "&amp;YEAR(B9)&amp;"-"&amp;RIGHT(YEAR(C9),2)</f>
        <v>FY 2029-30</v>
      </c>
      <c r="B9" s="24" t="n">
        <f aca="false">EDATE(B8,12)</f>
        <v>47209</v>
      </c>
      <c r="C9" s="24" t="n">
        <f aca="false">EDATE(B9,12)-1</f>
        <v>47573</v>
      </c>
      <c r="D9" s="28" t="n">
        <f aca="false">SUMIFS(Schedule!$N$9:$N$368,Schedule!$B$9:$B$368,"&gt;="&amp;$B9,Schedule!$B$9:$B$368,"&lt;="&amp;$C9)</f>
        <v>1389150</v>
      </c>
      <c r="E9" s="28" t="n">
        <f aca="false">SUMIFS(Schedule!$L$9:$L$368,Schedule!$B$9:$B$368,"&gt;="&amp;$B9,Schedule!$B$9:$B$368,"&lt;="&amp;$C9)</f>
        <v>177574.724129415</v>
      </c>
      <c r="F9" s="28" t="n">
        <f aca="false">SUMIFS(Schedule!$O$9:$O$368,Schedule!$B$9:$B$368,"&gt;="&amp;$B9,Schedule!$B$9:$B$368,"&lt;="&amp;$C9)</f>
        <v>1211575.27587059</v>
      </c>
      <c r="G9" s="28" t="n">
        <f aca="false">SUMIFS(Schedule!$Q$9:$Q$368,Schedule!$B$9:$B$368,"&gt;="&amp;$B9,Schedule!$B$9:$B$368,"&lt;="&amp;$C9)</f>
        <v>1070667.58389824</v>
      </c>
      <c r="H9" s="28" t="n">
        <f aca="false">IF($B9&gt;Inputs!$C$25,0,IFERROR(INDEX(Schedule!$M$9:$M$368,MATCH($C9,Schedule!$C$9:$C$368,1)),Inputs!$C$28))</f>
        <v>1399657.04439307</v>
      </c>
      <c r="I9" s="28" t="n">
        <f aca="false">MIN(H9,SUMIFS(Schedule!$O$9:$O$368,Schedule!$B$9:$B$368,"&gt;"&amp;$C9,Schedule!$B$9:$B$368,"&lt;="&amp;EDATE($C9,12)))</f>
        <v>1399657.04439307</v>
      </c>
      <c r="J9" s="28" t="n">
        <f aca="false">H9-I9</f>
        <v>0</v>
      </c>
      <c r="K9" s="28" t="n">
        <f aca="false">IF($B9&gt;EDATE(Inputs!$C$6,Inputs!$C$24),0,IFERROR(INDEX(Schedule!$R$9:$R$368,MATCH($C9,Schedule!$C$9:$C$368,1)),Inputs!$C$29))</f>
        <v>1070667.58389824</v>
      </c>
      <c r="L9" s="28" t="n">
        <f aca="false">E9+G9</f>
        <v>1248242.30802766</v>
      </c>
    </row>
    <row r="10" customFormat="false" ht="15" hidden="false" customHeight="false" outlineLevel="0" collapsed="false">
      <c r="A10" s="10" t="str">
        <f aca="false">"FY "&amp;YEAR(B10)&amp;"-"&amp;RIGHT(YEAR(C10),2)</f>
        <v>FY 2030-31</v>
      </c>
      <c r="B10" s="24" t="n">
        <f aca="false">EDATE(B9,12)</f>
        <v>47574</v>
      </c>
      <c r="C10" s="24" t="n">
        <f aca="false">EDATE(B10,12)-1</f>
        <v>47938</v>
      </c>
      <c r="D10" s="28" t="n">
        <f aca="false">SUMIFS(Schedule!$N$9:$N$368,Schedule!$B$9:$B$368,"&gt;="&amp;$B10,Schedule!$B$9:$B$368,"&lt;="&amp;$C10)</f>
        <v>1458607.5</v>
      </c>
      <c r="E10" s="28" t="n">
        <f aca="false">SUMIFS(Schedule!$L$9:$L$368,Schedule!$B$9:$B$368,"&gt;="&amp;$B10,Schedule!$B$9:$B$368,"&lt;="&amp;$C10)</f>
        <v>58950.4556069286</v>
      </c>
      <c r="F10" s="28" t="n">
        <f aca="false">SUMIFS(Schedule!$O$9:$O$368,Schedule!$B$9:$B$368,"&gt;="&amp;$B10,Schedule!$B$9:$B$368,"&lt;="&amp;$C10)</f>
        <v>1399657.04439307</v>
      </c>
      <c r="G10" s="28" t="n">
        <f aca="false">SUMIFS(Schedule!$Q$9:$Q$368,Schedule!$B$9:$B$368,"&gt;="&amp;$B10,Schedule!$B$9:$B$368,"&lt;="&amp;$C10)</f>
        <v>1070667.58389824</v>
      </c>
      <c r="H10" s="28" t="n">
        <f aca="false">IF($B10&gt;Inputs!$C$25,0,IFERROR(INDEX(Schedule!$M$9:$M$368,MATCH($C10,Schedule!$C$9:$C$368,1)),Inputs!$C$28))</f>
        <v>-2.31665708150703E-009</v>
      </c>
      <c r="I10" s="28" t="n">
        <f aca="false">MIN(H10,SUMIFS(Schedule!$O$9:$O$368,Schedule!$B$9:$B$368,"&gt;"&amp;$C10,Schedule!$B$9:$B$368,"&lt;="&amp;EDATE($C10,12)))</f>
        <v>-2.31665708150703E-009</v>
      </c>
      <c r="J10" s="28" t="n">
        <f aca="false">H10-I10</f>
        <v>0</v>
      </c>
      <c r="K10" s="28" t="n">
        <f aca="false">IF($B10&gt;EDATE(Inputs!$C$6,Inputs!$C$24),0,IFERROR(INDEX(Schedule!$R$9:$R$368,MATCH($C10,Schedule!$C$9:$C$368,1)),Inputs!$C$29))</f>
        <v>1.30967237055302E-009</v>
      </c>
      <c r="L10" s="28" t="n">
        <f aca="false">E10+G10</f>
        <v>1129618.03950517</v>
      </c>
    </row>
    <row r="11" customFormat="false" ht="15" hidden="false" customHeight="false" outlineLevel="0" collapsed="false">
      <c r="A11" s="10" t="str">
        <f aca="false">"FY "&amp;YEAR(B11)&amp;"-"&amp;RIGHT(YEAR(C11),2)</f>
        <v>FY 2031-32</v>
      </c>
      <c r="B11" s="24" t="n">
        <f aca="false">EDATE(B10,12)</f>
        <v>47939</v>
      </c>
      <c r="C11" s="24" t="n">
        <f aca="false">EDATE(B11,12)-1</f>
        <v>48304</v>
      </c>
      <c r="D11" s="28" t="n">
        <f aca="false">SUMIFS(Schedule!$N$9:$N$368,Schedule!$B$9:$B$368,"&gt;="&amp;$B11,Schedule!$B$9:$B$368,"&lt;="&amp;$C11)</f>
        <v>0</v>
      </c>
      <c r="E11" s="28" t="n">
        <f aca="false">SUMIFS(Schedule!$L$9:$L$368,Schedule!$B$9:$B$368,"&gt;="&amp;$B11,Schedule!$B$9:$B$368,"&lt;="&amp;$C11)</f>
        <v>0</v>
      </c>
      <c r="F11" s="28" t="n">
        <f aca="false">SUMIFS(Schedule!$O$9:$O$368,Schedule!$B$9:$B$368,"&gt;="&amp;$B11,Schedule!$B$9:$B$368,"&lt;="&amp;$C11)</f>
        <v>0</v>
      </c>
      <c r="G11" s="28" t="n">
        <f aca="false">SUMIFS(Schedule!$Q$9:$Q$368,Schedule!$B$9:$B$368,"&gt;="&amp;$B11,Schedule!$B$9:$B$368,"&lt;="&amp;$C11)</f>
        <v>0</v>
      </c>
      <c r="H11" s="28" t="n">
        <f aca="false">IF($B11&gt;Inputs!$C$25,0,IFERROR(INDEX(Schedule!$M$9:$M$368,MATCH($C11,Schedule!$C$9:$C$368,1)),Inputs!$C$28))</f>
        <v>0</v>
      </c>
      <c r="I11" s="28" t="n">
        <f aca="false">MIN(H11,SUMIFS(Schedule!$O$9:$O$368,Schedule!$B$9:$B$368,"&gt;"&amp;$C11,Schedule!$B$9:$B$368,"&lt;="&amp;EDATE($C11,12)))</f>
        <v>0</v>
      </c>
      <c r="J11" s="28" t="n">
        <f aca="false">H11-I11</f>
        <v>0</v>
      </c>
      <c r="K11" s="28" t="n">
        <f aca="false">IF($B11&gt;EDATE(Inputs!$C$6,Inputs!$C$24),0,IFERROR(INDEX(Schedule!$R$9:$R$368,MATCH($C11,Schedule!$C$9:$C$368,1)),Inputs!$C$29))</f>
        <v>1.30967237055302E-009</v>
      </c>
      <c r="L11" s="28" t="n">
        <f aca="false">E11+G11</f>
        <v>0</v>
      </c>
    </row>
    <row r="12" customFormat="false" ht="15" hidden="false" customHeight="false" outlineLevel="0" collapsed="false">
      <c r="A12" s="10" t="str">
        <f aca="false">"FY "&amp;YEAR(B12)&amp;"-"&amp;RIGHT(YEAR(C12),2)</f>
        <v>FY 2032-33</v>
      </c>
      <c r="B12" s="24" t="n">
        <f aca="false">EDATE(B11,12)</f>
        <v>48305</v>
      </c>
      <c r="C12" s="24" t="n">
        <f aca="false">EDATE(B12,12)-1</f>
        <v>48669</v>
      </c>
      <c r="D12" s="28" t="n">
        <f aca="false">SUMIFS(Schedule!$N$9:$N$368,Schedule!$B$9:$B$368,"&gt;="&amp;$B12,Schedule!$B$9:$B$368,"&lt;="&amp;$C12)</f>
        <v>0</v>
      </c>
      <c r="E12" s="28" t="n">
        <f aca="false">SUMIFS(Schedule!$L$9:$L$368,Schedule!$B$9:$B$368,"&gt;="&amp;$B12,Schedule!$B$9:$B$368,"&lt;="&amp;$C12)</f>
        <v>0</v>
      </c>
      <c r="F12" s="28" t="n">
        <f aca="false">SUMIFS(Schedule!$O$9:$O$368,Schedule!$B$9:$B$368,"&gt;="&amp;$B12,Schedule!$B$9:$B$368,"&lt;="&amp;$C12)</f>
        <v>0</v>
      </c>
      <c r="G12" s="28" t="n">
        <f aca="false">SUMIFS(Schedule!$Q$9:$Q$368,Schedule!$B$9:$B$368,"&gt;="&amp;$B12,Schedule!$B$9:$B$368,"&lt;="&amp;$C12)</f>
        <v>0</v>
      </c>
      <c r="H12" s="28" t="n">
        <f aca="false">IF($B12&gt;Inputs!$C$25,0,IFERROR(INDEX(Schedule!$M$9:$M$368,MATCH($C12,Schedule!$C$9:$C$368,1)),Inputs!$C$28))</f>
        <v>0</v>
      </c>
      <c r="I12" s="28" t="n">
        <f aca="false">MIN(H12,SUMIFS(Schedule!$O$9:$O$368,Schedule!$B$9:$B$368,"&gt;"&amp;$C12,Schedule!$B$9:$B$368,"&lt;="&amp;EDATE($C12,12)))</f>
        <v>0</v>
      </c>
      <c r="J12" s="28" t="n">
        <f aca="false">H12-I12</f>
        <v>0</v>
      </c>
      <c r="K12" s="28" t="n">
        <f aca="false">IF($B12&gt;EDATE(Inputs!$C$6,Inputs!$C$24),0,IFERROR(INDEX(Schedule!$R$9:$R$368,MATCH($C12,Schedule!$C$9:$C$368,1)),Inputs!$C$29))</f>
        <v>0</v>
      </c>
      <c r="L12" s="28" t="n">
        <f aca="false">E12+G12</f>
        <v>0</v>
      </c>
    </row>
    <row r="13" customFormat="false" ht="15" hidden="false" customHeight="false" outlineLevel="0" collapsed="false">
      <c r="A13" s="10" t="str">
        <f aca="false">"FY "&amp;YEAR(B13)&amp;"-"&amp;RIGHT(YEAR(C13),2)</f>
        <v>FY 2033-34</v>
      </c>
      <c r="B13" s="24" t="n">
        <f aca="false">EDATE(B12,12)</f>
        <v>48670</v>
      </c>
      <c r="C13" s="24" t="n">
        <f aca="false">EDATE(B13,12)-1</f>
        <v>49034</v>
      </c>
      <c r="D13" s="28" t="n">
        <f aca="false">SUMIFS(Schedule!$N$9:$N$368,Schedule!$B$9:$B$368,"&gt;="&amp;$B13,Schedule!$B$9:$B$368,"&lt;="&amp;$C13)</f>
        <v>0</v>
      </c>
      <c r="E13" s="28" t="n">
        <f aca="false">SUMIFS(Schedule!$L$9:$L$368,Schedule!$B$9:$B$368,"&gt;="&amp;$B13,Schedule!$B$9:$B$368,"&lt;="&amp;$C13)</f>
        <v>0</v>
      </c>
      <c r="F13" s="28" t="n">
        <f aca="false">SUMIFS(Schedule!$O$9:$O$368,Schedule!$B$9:$B$368,"&gt;="&amp;$B13,Schedule!$B$9:$B$368,"&lt;="&amp;$C13)</f>
        <v>0</v>
      </c>
      <c r="G13" s="28" t="n">
        <f aca="false">SUMIFS(Schedule!$Q$9:$Q$368,Schedule!$B$9:$B$368,"&gt;="&amp;$B13,Schedule!$B$9:$B$368,"&lt;="&amp;$C13)</f>
        <v>0</v>
      </c>
      <c r="H13" s="28" t="n">
        <f aca="false">IF($B13&gt;Inputs!$C$25,0,IFERROR(INDEX(Schedule!$M$9:$M$368,MATCH($C13,Schedule!$C$9:$C$368,1)),Inputs!$C$28))</f>
        <v>0</v>
      </c>
      <c r="I13" s="28" t="n">
        <f aca="false">MIN(H13,SUMIFS(Schedule!$O$9:$O$368,Schedule!$B$9:$B$368,"&gt;"&amp;$C13,Schedule!$B$9:$B$368,"&lt;="&amp;EDATE($C13,12)))</f>
        <v>0</v>
      </c>
      <c r="J13" s="28" t="n">
        <f aca="false">H13-I13</f>
        <v>0</v>
      </c>
      <c r="K13" s="28" t="n">
        <f aca="false">IF($B13&gt;EDATE(Inputs!$C$6,Inputs!$C$24),0,IFERROR(INDEX(Schedule!$R$9:$R$368,MATCH($C13,Schedule!$C$9:$C$368,1)),Inputs!$C$29))</f>
        <v>0</v>
      </c>
      <c r="L13" s="28" t="n">
        <f aca="false">E13+G13</f>
        <v>0</v>
      </c>
    </row>
    <row r="14" customFormat="false" ht="15" hidden="false" customHeight="false" outlineLevel="0" collapsed="false">
      <c r="A14" s="10" t="str">
        <f aca="false">"FY "&amp;YEAR(B14)&amp;"-"&amp;RIGHT(YEAR(C14),2)</f>
        <v>FY 2034-35</v>
      </c>
      <c r="B14" s="24" t="n">
        <f aca="false">EDATE(B13,12)</f>
        <v>49035</v>
      </c>
      <c r="C14" s="24" t="n">
        <f aca="false">EDATE(B14,12)-1</f>
        <v>49399</v>
      </c>
      <c r="D14" s="28" t="n">
        <f aca="false">SUMIFS(Schedule!$N$9:$N$368,Schedule!$B$9:$B$368,"&gt;="&amp;$B14,Schedule!$B$9:$B$368,"&lt;="&amp;$C14)</f>
        <v>0</v>
      </c>
      <c r="E14" s="28" t="n">
        <f aca="false">SUMIFS(Schedule!$L$9:$L$368,Schedule!$B$9:$B$368,"&gt;="&amp;$B14,Schedule!$B$9:$B$368,"&lt;="&amp;$C14)</f>
        <v>0</v>
      </c>
      <c r="F14" s="28" t="n">
        <f aca="false">SUMIFS(Schedule!$O$9:$O$368,Schedule!$B$9:$B$368,"&gt;="&amp;$B14,Schedule!$B$9:$B$368,"&lt;="&amp;$C14)</f>
        <v>0</v>
      </c>
      <c r="G14" s="28" t="n">
        <f aca="false">SUMIFS(Schedule!$Q$9:$Q$368,Schedule!$B$9:$B$368,"&gt;="&amp;$B14,Schedule!$B$9:$B$368,"&lt;="&amp;$C14)</f>
        <v>0</v>
      </c>
      <c r="H14" s="28" t="n">
        <f aca="false">IF($B14&gt;Inputs!$C$25,0,IFERROR(INDEX(Schedule!$M$9:$M$368,MATCH($C14,Schedule!$C$9:$C$368,1)),Inputs!$C$28))</f>
        <v>0</v>
      </c>
      <c r="I14" s="28" t="n">
        <f aca="false">MIN(H14,SUMIFS(Schedule!$O$9:$O$368,Schedule!$B$9:$B$368,"&gt;"&amp;$C14,Schedule!$B$9:$B$368,"&lt;="&amp;EDATE($C14,12)))</f>
        <v>0</v>
      </c>
      <c r="J14" s="28" t="n">
        <f aca="false">H14-I14</f>
        <v>0</v>
      </c>
      <c r="K14" s="28" t="n">
        <f aca="false">IF($B14&gt;EDATE(Inputs!$C$6,Inputs!$C$24),0,IFERROR(INDEX(Schedule!$R$9:$R$368,MATCH($C14,Schedule!$C$9:$C$368,1)),Inputs!$C$29))</f>
        <v>0</v>
      </c>
      <c r="L14" s="28" t="n">
        <f aca="false">E14+G14</f>
        <v>0</v>
      </c>
    </row>
    <row r="15" customFormat="false" ht="15" hidden="false" customHeight="false" outlineLevel="0" collapsed="false">
      <c r="A15" s="10" t="str">
        <f aca="false">"FY "&amp;YEAR(B15)&amp;"-"&amp;RIGHT(YEAR(C15),2)</f>
        <v>FY 2035-36</v>
      </c>
      <c r="B15" s="24" t="n">
        <f aca="false">EDATE(B14,12)</f>
        <v>49400</v>
      </c>
      <c r="C15" s="24" t="n">
        <f aca="false">EDATE(B15,12)-1</f>
        <v>49765</v>
      </c>
      <c r="D15" s="28" t="n">
        <f aca="false">SUMIFS(Schedule!$N$9:$N$368,Schedule!$B$9:$B$368,"&gt;="&amp;$B15,Schedule!$B$9:$B$368,"&lt;="&amp;$C15)</f>
        <v>0</v>
      </c>
      <c r="E15" s="28" t="n">
        <f aca="false">SUMIFS(Schedule!$L$9:$L$368,Schedule!$B$9:$B$368,"&gt;="&amp;$B15,Schedule!$B$9:$B$368,"&lt;="&amp;$C15)</f>
        <v>0</v>
      </c>
      <c r="F15" s="28" t="n">
        <f aca="false">SUMIFS(Schedule!$O$9:$O$368,Schedule!$B$9:$B$368,"&gt;="&amp;$B15,Schedule!$B$9:$B$368,"&lt;="&amp;$C15)</f>
        <v>0</v>
      </c>
      <c r="G15" s="28" t="n">
        <f aca="false">SUMIFS(Schedule!$Q$9:$Q$368,Schedule!$B$9:$B$368,"&gt;="&amp;$B15,Schedule!$B$9:$B$368,"&lt;="&amp;$C15)</f>
        <v>0</v>
      </c>
      <c r="H15" s="28" t="n">
        <f aca="false">IF($B15&gt;Inputs!$C$25,0,IFERROR(INDEX(Schedule!$M$9:$M$368,MATCH($C15,Schedule!$C$9:$C$368,1)),Inputs!$C$28))</f>
        <v>0</v>
      </c>
      <c r="I15" s="28" t="n">
        <f aca="false">MIN(H15,SUMIFS(Schedule!$O$9:$O$368,Schedule!$B$9:$B$368,"&gt;"&amp;$C15,Schedule!$B$9:$B$368,"&lt;="&amp;EDATE($C15,12)))</f>
        <v>0</v>
      </c>
      <c r="J15" s="28" t="n">
        <f aca="false">H15-I15</f>
        <v>0</v>
      </c>
      <c r="K15" s="28" t="n">
        <f aca="false">IF($B15&gt;EDATE(Inputs!$C$6,Inputs!$C$24),0,IFERROR(INDEX(Schedule!$R$9:$R$368,MATCH($C15,Schedule!$C$9:$C$368,1)),Inputs!$C$29))</f>
        <v>0</v>
      </c>
      <c r="L15" s="28" t="n">
        <f aca="false">E15+G15</f>
        <v>0</v>
      </c>
    </row>
    <row r="16" customFormat="false" ht="15" hidden="false" customHeight="false" outlineLevel="0" collapsed="false">
      <c r="A16" s="10" t="str">
        <f aca="false">"FY "&amp;YEAR(B16)&amp;"-"&amp;RIGHT(YEAR(C16),2)</f>
        <v>FY 2036-37</v>
      </c>
      <c r="B16" s="24" t="n">
        <f aca="false">EDATE(B15,12)</f>
        <v>49766</v>
      </c>
      <c r="C16" s="24" t="n">
        <f aca="false">EDATE(B16,12)-1</f>
        <v>50130</v>
      </c>
      <c r="D16" s="28" t="n">
        <f aca="false">SUMIFS(Schedule!$N$9:$N$368,Schedule!$B$9:$B$368,"&gt;="&amp;$B16,Schedule!$B$9:$B$368,"&lt;="&amp;$C16)</f>
        <v>0</v>
      </c>
      <c r="E16" s="28" t="n">
        <f aca="false">SUMIFS(Schedule!$L$9:$L$368,Schedule!$B$9:$B$368,"&gt;="&amp;$B16,Schedule!$B$9:$B$368,"&lt;="&amp;$C16)</f>
        <v>0</v>
      </c>
      <c r="F16" s="28" t="n">
        <f aca="false">SUMIFS(Schedule!$O$9:$O$368,Schedule!$B$9:$B$368,"&gt;="&amp;$B16,Schedule!$B$9:$B$368,"&lt;="&amp;$C16)</f>
        <v>0</v>
      </c>
      <c r="G16" s="28" t="n">
        <f aca="false">SUMIFS(Schedule!$Q$9:$Q$368,Schedule!$B$9:$B$368,"&gt;="&amp;$B16,Schedule!$B$9:$B$368,"&lt;="&amp;$C16)</f>
        <v>0</v>
      </c>
      <c r="H16" s="28" t="n">
        <f aca="false">IF($B16&gt;Inputs!$C$25,0,IFERROR(INDEX(Schedule!$M$9:$M$368,MATCH($C16,Schedule!$C$9:$C$368,1)),Inputs!$C$28))</f>
        <v>0</v>
      </c>
      <c r="I16" s="28" t="n">
        <f aca="false">MIN(H16,SUMIFS(Schedule!$O$9:$O$368,Schedule!$B$9:$B$368,"&gt;"&amp;$C16,Schedule!$B$9:$B$368,"&lt;="&amp;EDATE($C16,12)))</f>
        <v>0</v>
      </c>
      <c r="J16" s="28" t="n">
        <f aca="false">H16-I16</f>
        <v>0</v>
      </c>
      <c r="K16" s="28" t="n">
        <f aca="false">IF($B16&gt;EDATE(Inputs!$C$6,Inputs!$C$24),0,IFERROR(INDEX(Schedule!$R$9:$R$368,MATCH($C16,Schedule!$C$9:$C$368,1)),Inputs!$C$29))</f>
        <v>0</v>
      </c>
      <c r="L16" s="28" t="n">
        <f aca="false">E16+G16</f>
        <v>0</v>
      </c>
    </row>
    <row r="17" customFormat="false" ht="15" hidden="false" customHeight="false" outlineLevel="0" collapsed="false">
      <c r="A17" s="10" t="str">
        <f aca="false">"FY "&amp;YEAR(B17)&amp;"-"&amp;RIGHT(YEAR(C17),2)</f>
        <v>FY 2037-38</v>
      </c>
      <c r="B17" s="24" t="n">
        <f aca="false">EDATE(B16,12)</f>
        <v>50131</v>
      </c>
      <c r="C17" s="24" t="n">
        <f aca="false">EDATE(B17,12)-1</f>
        <v>50495</v>
      </c>
      <c r="D17" s="28" t="n">
        <f aca="false">SUMIFS(Schedule!$N$9:$N$368,Schedule!$B$9:$B$368,"&gt;="&amp;$B17,Schedule!$B$9:$B$368,"&lt;="&amp;$C17)</f>
        <v>0</v>
      </c>
      <c r="E17" s="28" t="n">
        <f aca="false">SUMIFS(Schedule!$L$9:$L$368,Schedule!$B$9:$B$368,"&gt;="&amp;$B17,Schedule!$B$9:$B$368,"&lt;="&amp;$C17)</f>
        <v>0</v>
      </c>
      <c r="F17" s="28" t="n">
        <f aca="false">SUMIFS(Schedule!$O$9:$O$368,Schedule!$B$9:$B$368,"&gt;="&amp;$B17,Schedule!$B$9:$B$368,"&lt;="&amp;$C17)</f>
        <v>0</v>
      </c>
      <c r="G17" s="28" t="n">
        <f aca="false">SUMIFS(Schedule!$Q$9:$Q$368,Schedule!$B$9:$B$368,"&gt;="&amp;$B17,Schedule!$B$9:$B$368,"&lt;="&amp;$C17)</f>
        <v>0</v>
      </c>
      <c r="H17" s="28" t="n">
        <f aca="false">IF($B17&gt;Inputs!$C$25,0,IFERROR(INDEX(Schedule!$M$9:$M$368,MATCH($C17,Schedule!$C$9:$C$368,1)),Inputs!$C$28))</f>
        <v>0</v>
      </c>
      <c r="I17" s="28" t="n">
        <f aca="false">MIN(H17,SUMIFS(Schedule!$O$9:$O$368,Schedule!$B$9:$B$368,"&gt;"&amp;$C17,Schedule!$B$9:$B$368,"&lt;="&amp;EDATE($C17,12)))</f>
        <v>0</v>
      </c>
      <c r="J17" s="28" t="n">
        <f aca="false">H17-I17</f>
        <v>0</v>
      </c>
      <c r="K17" s="28" t="n">
        <f aca="false">IF($B17&gt;EDATE(Inputs!$C$6,Inputs!$C$24),0,IFERROR(INDEX(Schedule!$R$9:$R$368,MATCH($C17,Schedule!$C$9:$C$368,1)),Inputs!$C$29))</f>
        <v>0</v>
      </c>
      <c r="L17" s="28" t="n">
        <f aca="false">E17+G17</f>
        <v>0</v>
      </c>
    </row>
    <row r="18" customFormat="false" ht="15" hidden="false" customHeight="false" outlineLevel="0" collapsed="false">
      <c r="A18" s="10" t="str">
        <f aca="false">"FY "&amp;YEAR(B18)&amp;"-"&amp;RIGHT(YEAR(C18),2)</f>
        <v>FY 2038-39</v>
      </c>
      <c r="B18" s="24" t="n">
        <f aca="false">EDATE(B17,12)</f>
        <v>50496</v>
      </c>
      <c r="C18" s="24" t="n">
        <f aca="false">EDATE(B18,12)-1</f>
        <v>50860</v>
      </c>
      <c r="D18" s="28" t="n">
        <f aca="false">SUMIFS(Schedule!$N$9:$N$368,Schedule!$B$9:$B$368,"&gt;="&amp;$B18,Schedule!$B$9:$B$368,"&lt;="&amp;$C18)</f>
        <v>0</v>
      </c>
      <c r="E18" s="28" t="n">
        <f aca="false">SUMIFS(Schedule!$L$9:$L$368,Schedule!$B$9:$B$368,"&gt;="&amp;$B18,Schedule!$B$9:$B$368,"&lt;="&amp;$C18)</f>
        <v>0</v>
      </c>
      <c r="F18" s="28" t="n">
        <f aca="false">SUMIFS(Schedule!$O$9:$O$368,Schedule!$B$9:$B$368,"&gt;="&amp;$B18,Schedule!$B$9:$B$368,"&lt;="&amp;$C18)</f>
        <v>0</v>
      </c>
      <c r="G18" s="28" t="n">
        <f aca="false">SUMIFS(Schedule!$Q$9:$Q$368,Schedule!$B$9:$B$368,"&gt;="&amp;$B18,Schedule!$B$9:$B$368,"&lt;="&amp;$C18)</f>
        <v>0</v>
      </c>
      <c r="H18" s="28" t="n">
        <f aca="false">IF($B18&gt;Inputs!$C$25,0,IFERROR(INDEX(Schedule!$M$9:$M$368,MATCH($C18,Schedule!$C$9:$C$368,1)),Inputs!$C$28))</f>
        <v>0</v>
      </c>
      <c r="I18" s="28" t="n">
        <f aca="false">MIN(H18,SUMIFS(Schedule!$O$9:$O$368,Schedule!$B$9:$B$368,"&gt;"&amp;$C18,Schedule!$B$9:$B$368,"&lt;="&amp;EDATE($C18,12)))</f>
        <v>0</v>
      </c>
      <c r="J18" s="28" t="n">
        <f aca="false">H18-I18</f>
        <v>0</v>
      </c>
      <c r="K18" s="28" t="n">
        <f aca="false">IF($B18&gt;EDATE(Inputs!$C$6,Inputs!$C$24),0,IFERROR(INDEX(Schedule!$R$9:$R$368,MATCH($C18,Schedule!$C$9:$C$368,1)),Inputs!$C$29))</f>
        <v>0</v>
      </c>
      <c r="L18" s="28" t="n">
        <f aca="false">E18+G18</f>
        <v>0</v>
      </c>
    </row>
    <row r="19" customFormat="false" ht="15" hidden="false" customHeight="false" outlineLevel="0" collapsed="false">
      <c r="A19" s="10" t="str">
        <f aca="false">"FY "&amp;YEAR(B19)&amp;"-"&amp;RIGHT(YEAR(C19),2)</f>
        <v>FY 2039-40</v>
      </c>
      <c r="B19" s="24" t="n">
        <f aca="false">EDATE(B18,12)</f>
        <v>50861</v>
      </c>
      <c r="C19" s="24" t="n">
        <f aca="false">EDATE(B19,12)-1</f>
        <v>51226</v>
      </c>
      <c r="D19" s="28" t="n">
        <f aca="false">SUMIFS(Schedule!$N$9:$N$368,Schedule!$B$9:$B$368,"&gt;="&amp;$B19,Schedule!$B$9:$B$368,"&lt;="&amp;$C19)</f>
        <v>0</v>
      </c>
      <c r="E19" s="28" t="n">
        <f aca="false">SUMIFS(Schedule!$L$9:$L$368,Schedule!$B$9:$B$368,"&gt;="&amp;$B19,Schedule!$B$9:$B$368,"&lt;="&amp;$C19)</f>
        <v>0</v>
      </c>
      <c r="F19" s="28" t="n">
        <f aca="false">SUMIFS(Schedule!$O$9:$O$368,Schedule!$B$9:$B$368,"&gt;="&amp;$B19,Schedule!$B$9:$B$368,"&lt;="&amp;$C19)</f>
        <v>0</v>
      </c>
      <c r="G19" s="28" t="n">
        <f aca="false">SUMIFS(Schedule!$Q$9:$Q$368,Schedule!$B$9:$B$368,"&gt;="&amp;$B19,Schedule!$B$9:$B$368,"&lt;="&amp;$C19)</f>
        <v>0</v>
      </c>
      <c r="H19" s="28" t="n">
        <f aca="false">IF($B19&gt;Inputs!$C$25,0,IFERROR(INDEX(Schedule!$M$9:$M$368,MATCH($C19,Schedule!$C$9:$C$368,1)),Inputs!$C$28))</f>
        <v>0</v>
      </c>
      <c r="I19" s="28" t="n">
        <f aca="false">MIN(H19,SUMIFS(Schedule!$O$9:$O$368,Schedule!$B$9:$B$368,"&gt;"&amp;$C19,Schedule!$B$9:$B$368,"&lt;="&amp;EDATE($C19,12)))</f>
        <v>0</v>
      </c>
      <c r="J19" s="28" t="n">
        <f aca="false">H19-I19</f>
        <v>0</v>
      </c>
      <c r="K19" s="28" t="n">
        <f aca="false">IF($B19&gt;EDATE(Inputs!$C$6,Inputs!$C$24),0,IFERROR(INDEX(Schedule!$R$9:$R$368,MATCH($C19,Schedule!$C$9:$C$368,1)),Inputs!$C$29))</f>
        <v>0</v>
      </c>
      <c r="L19" s="28" t="n">
        <f aca="false">E19+G19</f>
        <v>0</v>
      </c>
    </row>
    <row r="20" customFormat="false" ht="15" hidden="false" customHeight="false" outlineLevel="0" collapsed="false">
      <c r="A20" s="10" t="str">
        <f aca="false">"FY "&amp;YEAR(B20)&amp;"-"&amp;RIGHT(YEAR(C20),2)</f>
        <v>FY 2040-41</v>
      </c>
      <c r="B20" s="24" t="n">
        <f aca="false">EDATE(B19,12)</f>
        <v>51227</v>
      </c>
      <c r="C20" s="24" t="n">
        <f aca="false">EDATE(B20,12)-1</f>
        <v>51591</v>
      </c>
      <c r="D20" s="28" t="n">
        <f aca="false">SUMIFS(Schedule!$N$9:$N$368,Schedule!$B$9:$B$368,"&gt;="&amp;$B20,Schedule!$B$9:$B$368,"&lt;="&amp;$C20)</f>
        <v>0</v>
      </c>
      <c r="E20" s="28" t="n">
        <f aca="false">SUMIFS(Schedule!$L$9:$L$368,Schedule!$B$9:$B$368,"&gt;="&amp;$B20,Schedule!$B$9:$B$368,"&lt;="&amp;$C20)</f>
        <v>0</v>
      </c>
      <c r="F20" s="28" t="n">
        <f aca="false">SUMIFS(Schedule!$O$9:$O$368,Schedule!$B$9:$B$368,"&gt;="&amp;$B20,Schedule!$B$9:$B$368,"&lt;="&amp;$C20)</f>
        <v>0</v>
      </c>
      <c r="G20" s="28" t="n">
        <f aca="false">SUMIFS(Schedule!$Q$9:$Q$368,Schedule!$B$9:$B$368,"&gt;="&amp;$B20,Schedule!$B$9:$B$368,"&lt;="&amp;$C20)</f>
        <v>0</v>
      </c>
      <c r="H20" s="28" t="n">
        <f aca="false">IF($B20&gt;Inputs!$C$25,0,IFERROR(INDEX(Schedule!$M$9:$M$368,MATCH($C20,Schedule!$C$9:$C$368,1)),Inputs!$C$28))</f>
        <v>0</v>
      </c>
      <c r="I20" s="28" t="n">
        <f aca="false">MIN(H20,SUMIFS(Schedule!$O$9:$O$368,Schedule!$B$9:$B$368,"&gt;"&amp;$C20,Schedule!$B$9:$B$368,"&lt;="&amp;EDATE($C20,12)))</f>
        <v>0</v>
      </c>
      <c r="J20" s="28" t="n">
        <f aca="false">H20-I20</f>
        <v>0</v>
      </c>
      <c r="K20" s="28" t="n">
        <f aca="false">IF($B20&gt;EDATE(Inputs!$C$6,Inputs!$C$24),0,IFERROR(INDEX(Schedule!$R$9:$R$368,MATCH($C20,Schedule!$C$9:$C$368,1)),Inputs!$C$29))</f>
        <v>0</v>
      </c>
      <c r="L20" s="28" t="n">
        <f aca="false">E20+G20</f>
        <v>0</v>
      </c>
    </row>
    <row r="21" customFormat="false" ht="15" hidden="false" customHeight="false" outlineLevel="0" collapsed="false">
      <c r="A21" s="10" t="str">
        <f aca="false">"FY "&amp;YEAR(B21)&amp;"-"&amp;RIGHT(YEAR(C21),2)</f>
        <v>FY 2041-42</v>
      </c>
      <c r="B21" s="24" t="n">
        <f aca="false">EDATE(B20,12)</f>
        <v>51592</v>
      </c>
      <c r="C21" s="24" t="n">
        <f aca="false">EDATE(B21,12)-1</f>
        <v>51956</v>
      </c>
      <c r="D21" s="28" t="n">
        <f aca="false">SUMIFS(Schedule!$N$9:$N$368,Schedule!$B$9:$B$368,"&gt;="&amp;$B21,Schedule!$B$9:$B$368,"&lt;="&amp;$C21)</f>
        <v>0</v>
      </c>
      <c r="E21" s="28" t="n">
        <f aca="false">SUMIFS(Schedule!$L$9:$L$368,Schedule!$B$9:$B$368,"&gt;="&amp;$B21,Schedule!$B$9:$B$368,"&lt;="&amp;$C21)</f>
        <v>0</v>
      </c>
      <c r="F21" s="28" t="n">
        <f aca="false">SUMIFS(Schedule!$O$9:$O$368,Schedule!$B$9:$B$368,"&gt;="&amp;$B21,Schedule!$B$9:$B$368,"&lt;="&amp;$C21)</f>
        <v>0</v>
      </c>
      <c r="G21" s="28" t="n">
        <f aca="false">SUMIFS(Schedule!$Q$9:$Q$368,Schedule!$B$9:$B$368,"&gt;="&amp;$B21,Schedule!$B$9:$B$368,"&lt;="&amp;$C21)</f>
        <v>0</v>
      </c>
      <c r="H21" s="28" t="n">
        <f aca="false">IF($B21&gt;Inputs!$C$25,0,IFERROR(INDEX(Schedule!$M$9:$M$368,MATCH($C21,Schedule!$C$9:$C$368,1)),Inputs!$C$28))</f>
        <v>0</v>
      </c>
      <c r="I21" s="28" t="n">
        <f aca="false">MIN(H21,SUMIFS(Schedule!$O$9:$O$368,Schedule!$B$9:$B$368,"&gt;"&amp;$C21,Schedule!$B$9:$B$368,"&lt;="&amp;EDATE($C21,12)))</f>
        <v>0</v>
      </c>
      <c r="J21" s="28" t="n">
        <f aca="false">H21-I21</f>
        <v>0</v>
      </c>
      <c r="K21" s="28" t="n">
        <f aca="false">IF($B21&gt;EDATE(Inputs!$C$6,Inputs!$C$24),0,IFERROR(INDEX(Schedule!$R$9:$R$368,MATCH($C21,Schedule!$C$9:$C$368,1)),Inputs!$C$29))</f>
        <v>0</v>
      </c>
      <c r="L21" s="28" t="n">
        <f aca="false">E21+G21</f>
        <v>0</v>
      </c>
    </row>
    <row r="22" customFormat="false" ht="15" hidden="false" customHeight="false" outlineLevel="0" collapsed="false">
      <c r="A22" s="10" t="str">
        <f aca="false">"FY "&amp;YEAR(B22)&amp;"-"&amp;RIGHT(YEAR(C22),2)</f>
        <v>FY 2042-43</v>
      </c>
      <c r="B22" s="24" t="n">
        <f aca="false">EDATE(B21,12)</f>
        <v>51957</v>
      </c>
      <c r="C22" s="24" t="n">
        <f aca="false">EDATE(B22,12)-1</f>
        <v>52321</v>
      </c>
      <c r="D22" s="28" t="n">
        <f aca="false">SUMIFS(Schedule!$N$9:$N$368,Schedule!$B$9:$B$368,"&gt;="&amp;$B22,Schedule!$B$9:$B$368,"&lt;="&amp;$C22)</f>
        <v>0</v>
      </c>
      <c r="E22" s="28" t="n">
        <f aca="false">SUMIFS(Schedule!$L$9:$L$368,Schedule!$B$9:$B$368,"&gt;="&amp;$B22,Schedule!$B$9:$B$368,"&lt;="&amp;$C22)</f>
        <v>0</v>
      </c>
      <c r="F22" s="28" t="n">
        <f aca="false">SUMIFS(Schedule!$O$9:$O$368,Schedule!$B$9:$B$368,"&gt;="&amp;$B22,Schedule!$B$9:$B$368,"&lt;="&amp;$C22)</f>
        <v>0</v>
      </c>
      <c r="G22" s="28" t="n">
        <f aca="false">SUMIFS(Schedule!$Q$9:$Q$368,Schedule!$B$9:$B$368,"&gt;="&amp;$B22,Schedule!$B$9:$B$368,"&lt;="&amp;$C22)</f>
        <v>0</v>
      </c>
      <c r="H22" s="28" t="n">
        <f aca="false">IF($B22&gt;Inputs!$C$25,0,IFERROR(INDEX(Schedule!$M$9:$M$368,MATCH($C22,Schedule!$C$9:$C$368,1)),Inputs!$C$28))</f>
        <v>0</v>
      </c>
      <c r="I22" s="28" t="n">
        <f aca="false">MIN(H22,SUMIFS(Schedule!$O$9:$O$368,Schedule!$B$9:$B$368,"&gt;"&amp;$C22,Schedule!$B$9:$B$368,"&lt;="&amp;EDATE($C22,12)))</f>
        <v>0</v>
      </c>
      <c r="J22" s="28" t="n">
        <f aca="false">H22-I22</f>
        <v>0</v>
      </c>
      <c r="K22" s="28" t="n">
        <f aca="false">IF($B22&gt;EDATE(Inputs!$C$6,Inputs!$C$24),0,IFERROR(INDEX(Schedule!$R$9:$R$368,MATCH($C22,Schedule!$C$9:$C$368,1)),Inputs!$C$29))</f>
        <v>0</v>
      </c>
      <c r="L22" s="28" t="n">
        <f aca="false">E22+G22</f>
        <v>0</v>
      </c>
    </row>
    <row r="23" customFormat="false" ht="15" hidden="false" customHeight="false" outlineLevel="0" collapsed="false">
      <c r="A23" s="10" t="str">
        <f aca="false">"FY "&amp;YEAR(B23)&amp;"-"&amp;RIGHT(YEAR(C23),2)</f>
        <v>FY 2043-44</v>
      </c>
      <c r="B23" s="24" t="n">
        <f aca="false">EDATE(B22,12)</f>
        <v>52322</v>
      </c>
      <c r="C23" s="24" t="n">
        <f aca="false">EDATE(B23,12)-1</f>
        <v>52687</v>
      </c>
      <c r="D23" s="28" t="n">
        <f aca="false">SUMIFS(Schedule!$N$9:$N$368,Schedule!$B$9:$B$368,"&gt;="&amp;$B23,Schedule!$B$9:$B$368,"&lt;="&amp;$C23)</f>
        <v>0</v>
      </c>
      <c r="E23" s="28" t="n">
        <f aca="false">SUMIFS(Schedule!$L$9:$L$368,Schedule!$B$9:$B$368,"&gt;="&amp;$B23,Schedule!$B$9:$B$368,"&lt;="&amp;$C23)</f>
        <v>0</v>
      </c>
      <c r="F23" s="28" t="n">
        <f aca="false">SUMIFS(Schedule!$O$9:$O$368,Schedule!$B$9:$B$368,"&gt;="&amp;$B23,Schedule!$B$9:$B$368,"&lt;="&amp;$C23)</f>
        <v>0</v>
      </c>
      <c r="G23" s="28" t="n">
        <f aca="false">SUMIFS(Schedule!$Q$9:$Q$368,Schedule!$B$9:$B$368,"&gt;="&amp;$B23,Schedule!$B$9:$B$368,"&lt;="&amp;$C23)</f>
        <v>0</v>
      </c>
      <c r="H23" s="28" t="n">
        <f aca="false">IF($B23&gt;Inputs!$C$25,0,IFERROR(INDEX(Schedule!$M$9:$M$368,MATCH($C23,Schedule!$C$9:$C$368,1)),Inputs!$C$28))</f>
        <v>0</v>
      </c>
      <c r="I23" s="28" t="n">
        <f aca="false">MIN(H23,SUMIFS(Schedule!$O$9:$O$368,Schedule!$B$9:$B$368,"&gt;"&amp;$C23,Schedule!$B$9:$B$368,"&lt;="&amp;EDATE($C23,12)))</f>
        <v>0</v>
      </c>
      <c r="J23" s="28" t="n">
        <f aca="false">H23-I23</f>
        <v>0</v>
      </c>
      <c r="K23" s="28" t="n">
        <f aca="false">IF($B23&gt;EDATE(Inputs!$C$6,Inputs!$C$24),0,IFERROR(INDEX(Schedule!$R$9:$R$368,MATCH($C23,Schedule!$C$9:$C$368,1)),Inputs!$C$29))</f>
        <v>0</v>
      </c>
      <c r="L23" s="28" t="n">
        <f aca="false">E23+G23</f>
        <v>0</v>
      </c>
    </row>
    <row r="24" customFormat="false" ht="15" hidden="false" customHeight="false" outlineLevel="0" collapsed="false">
      <c r="A24" s="10" t="str">
        <f aca="false">"FY "&amp;YEAR(B24)&amp;"-"&amp;RIGHT(YEAR(C24),2)</f>
        <v>FY 2044-45</v>
      </c>
      <c r="B24" s="24" t="n">
        <f aca="false">EDATE(B23,12)</f>
        <v>52688</v>
      </c>
      <c r="C24" s="24" t="n">
        <f aca="false">EDATE(B24,12)-1</f>
        <v>53052</v>
      </c>
      <c r="D24" s="28" t="n">
        <f aca="false">SUMIFS(Schedule!$N$9:$N$368,Schedule!$B$9:$B$368,"&gt;="&amp;$B24,Schedule!$B$9:$B$368,"&lt;="&amp;$C24)</f>
        <v>0</v>
      </c>
      <c r="E24" s="28" t="n">
        <f aca="false">SUMIFS(Schedule!$L$9:$L$368,Schedule!$B$9:$B$368,"&gt;="&amp;$B24,Schedule!$B$9:$B$368,"&lt;="&amp;$C24)</f>
        <v>0</v>
      </c>
      <c r="F24" s="28" t="n">
        <f aca="false">SUMIFS(Schedule!$O$9:$O$368,Schedule!$B$9:$B$368,"&gt;="&amp;$B24,Schedule!$B$9:$B$368,"&lt;="&amp;$C24)</f>
        <v>0</v>
      </c>
      <c r="G24" s="28" t="n">
        <f aca="false">SUMIFS(Schedule!$Q$9:$Q$368,Schedule!$B$9:$B$368,"&gt;="&amp;$B24,Schedule!$B$9:$B$368,"&lt;="&amp;$C24)</f>
        <v>0</v>
      </c>
      <c r="H24" s="28" t="n">
        <f aca="false">IF($B24&gt;Inputs!$C$25,0,IFERROR(INDEX(Schedule!$M$9:$M$368,MATCH($C24,Schedule!$C$9:$C$368,1)),Inputs!$C$28))</f>
        <v>0</v>
      </c>
      <c r="I24" s="28" t="n">
        <f aca="false">MIN(H24,SUMIFS(Schedule!$O$9:$O$368,Schedule!$B$9:$B$368,"&gt;"&amp;$C24,Schedule!$B$9:$B$368,"&lt;="&amp;EDATE($C24,12)))</f>
        <v>0</v>
      </c>
      <c r="J24" s="28" t="n">
        <f aca="false">H24-I24</f>
        <v>0</v>
      </c>
      <c r="K24" s="28" t="n">
        <f aca="false">IF($B24&gt;EDATE(Inputs!$C$6,Inputs!$C$24),0,IFERROR(INDEX(Schedule!$R$9:$R$368,MATCH($C24,Schedule!$C$9:$C$368,1)),Inputs!$C$29))</f>
        <v>0</v>
      </c>
      <c r="L24" s="28" t="n">
        <f aca="false">E24+G24</f>
        <v>0</v>
      </c>
    </row>
    <row r="25" customFormat="false" ht="15" hidden="false" customHeight="false" outlineLevel="0" collapsed="false">
      <c r="A25" s="10" t="str">
        <f aca="false">"FY "&amp;YEAR(B25)&amp;"-"&amp;RIGHT(YEAR(C25),2)</f>
        <v>FY 2045-46</v>
      </c>
      <c r="B25" s="24" t="n">
        <f aca="false">EDATE(B24,12)</f>
        <v>53053</v>
      </c>
      <c r="C25" s="24" t="n">
        <f aca="false">EDATE(B25,12)-1</f>
        <v>53417</v>
      </c>
      <c r="D25" s="28" t="n">
        <f aca="false">SUMIFS(Schedule!$N$9:$N$368,Schedule!$B$9:$B$368,"&gt;="&amp;$B25,Schedule!$B$9:$B$368,"&lt;="&amp;$C25)</f>
        <v>0</v>
      </c>
      <c r="E25" s="28" t="n">
        <f aca="false">SUMIFS(Schedule!$L$9:$L$368,Schedule!$B$9:$B$368,"&gt;="&amp;$B25,Schedule!$B$9:$B$368,"&lt;="&amp;$C25)</f>
        <v>0</v>
      </c>
      <c r="F25" s="28" t="n">
        <f aca="false">SUMIFS(Schedule!$O$9:$O$368,Schedule!$B$9:$B$368,"&gt;="&amp;$B25,Schedule!$B$9:$B$368,"&lt;="&amp;$C25)</f>
        <v>0</v>
      </c>
      <c r="G25" s="28" t="n">
        <f aca="false">SUMIFS(Schedule!$Q$9:$Q$368,Schedule!$B$9:$B$368,"&gt;="&amp;$B25,Schedule!$B$9:$B$368,"&lt;="&amp;$C25)</f>
        <v>0</v>
      </c>
      <c r="H25" s="28" t="n">
        <f aca="false">IF($B25&gt;Inputs!$C$25,0,IFERROR(INDEX(Schedule!$M$9:$M$368,MATCH($C25,Schedule!$C$9:$C$368,1)),Inputs!$C$28))</f>
        <v>0</v>
      </c>
      <c r="I25" s="28" t="n">
        <f aca="false">MIN(H25,SUMIFS(Schedule!$O$9:$O$368,Schedule!$B$9:$B$368,"&gt;"&amp;$C25,Schedule!$B$9:$B$368,"&lt;="&amp;EDATE($C25,12)))</f>
        <v>0</v>
      </c>
      <c r="J25" s="28" t="n">
        <f aca="false">H25-I25</f>
        <v>0</v>
      </c>
      <c r="K25" s="28" t="n">
        <f aca="false">IF($B25&gt;EDATE(Inputs!$C$6,Inputs!$C$24),0,IFERROR(INDEX(Schedule!$R$9:$R$368,MATCH($C25,Schedule!$C$9:$C$368,1)),Inputs!$C$29))</f>
        <v>0</v>
      </c>
      <c r="L25" s="28" t="n">
        <f aca="false">E25+G25</f>
        <v>0</v>
      </c>
    </row>
    <row r="26" customFormat="false" ht="15" hidden="false" customHeight="false" outlineLevel="0" collapsed="false">
      <c r="A26" s="10" t="str">
        <f aca="false">"FY "&amp;YEAR(B26)&amp;"-"&amp;RIGHT(YEAR(C26),2)</f>
        <v>FY 2046-47</v>
      </c>
      <c r="B26" s="24" t="n">
        <f aca="false">EDATE(B25,12)</f>
        <v>53418</v>
      </c>
      <c r="C26" s="24" t="n">
        <f aca="false">EDATE(B26,12)-1</f>
        <v>53782</v>
      </c>
      <c r="D26" s="28" t="n">
        <f aca="false">SUMIFS(Schedule!$N$9:$N$368,Schedule!$B$9:$B$368,"&gt;="&amp;$B26,Schedule!$B$9:$B$368,"&lt;="&amp;$C26)</f>
        <v>0</v>
      </c>
      <c r="E26" s="28" t="n">
        <f aca="false">SUMIFS(Schedule!$L$9:$L$368,Schedule!$B$9:$B$368,"&gt;="&amp;$B26,Schedule!$B$9:$B$368,"&lt;="&amp;$C26)</f>
        <v>0</v>
      </c>
      <c r="F26" s="28" t="n">
        <f aca="false">SUMIFS(Schedule!$O$9:$O$368,Schedule!$B$9:$B$368,"&gt;="&amp;$B26,Schedule!$B$9:$B$368,"&lt;="&amp;$C26)</f>
        <v>0</v>
      </c>
      <c r="G26" s="28" t="n">
        <f aca="false">SUMIFS(Schedule!$Q$9:$Q$368,Schedule!$B$9:$B$368,"&gt;="&amp;$B26,Schedule!$B$9:$B$368,"&lt;="&amp;$C26)</f>
        <v>0</v>
      </c>
      <c r="H26" s="28" t="n">
        <f aca="false">IF($B26&gt;Inputs!$C$25,0,IFERROR(INDEX(Schedule!$M$9:$M$368,MATCH($C26,Schedule!$C$9:$C$368,1)),Inputs!$C$28))</f>
        <v>0</v>
      </c>
      <c r="I26" s="28" t="n">
        <f aca="false">MIN(H26,SUMIFS(Schedule!$O$9:$O$368,Schedule!$B$9:$B$368,"&gt;"&amp;$C26,Schedule!$B$9:$B$368,"&lt;="&amp;EDATE($C26,12)))</f>
        <v>0</v>
      </c>
      <c r="J26" s="28" t="n">
        <f aca="false">H26-I26</f>
        <v>0</v>
      </c>
      <c r="K26" s="28" t="n">
        <f aca="false">IF($B26&gt;EDATE(Inputs!$C$6,Inputs!$C$24),0,IFERROR(INDEX(Schedule!$R$9:$R$368,MATCH($C26,Schedule!$C$9:$C$368,1)),Inputs!$C$29))</f>
        <v>0</v>
      </c>
      <c r="L26" s="28" t="n">
        <f aca="false">E26+G26</f>
        <v>0</v>
      </c>
    </row>
    <row r="27" customFormat="false" ht="15" hidden="false" customHeight="false" outlineLevel="0" collapsed="false">
      <c r="A27" s="10" t="str">
        <f aca="false">"FY "&amp;YEAR(B27)&amp;"-"&amp;RIGHT(YEAR(C27),2)</f>
        <v>FY 2047-48</v>
      </c>
      <c r="B27" s="24" t="n">
        <f aca="false">EDATE(B26,12)</f>
        <v>53783</v>
      </c>
      <c r="C27" s="24" t="n">
        <f aca="false">EDATE(B27,12)-1</f>
        <v>54148</v>
      </c>
      <c r="D27" s="28" t="n">
        <f aca="false">SUMIFS(Schedule!$N$9:$N$368,Schedule!$B$9:$B$368,"&gt;="&amp;$B27,Schedule!$B$9:$B$368,"&lt;="&amp;$C27)</f>
        <v>0</v>
      </c>
      <c r="E27" s="28" t="n">
        <f aca="false">SUMIFS(Schedule!$L$9:$L$368,Schedule!$B$9:$B$368,"&gt;="&amp;$B27,Schedule!$B$9:$B$368,"&lt;="&amp;$C27)</f>
        <v>0</v>
      </c>
      <c r="F27" s="28" t="n">
        <f aca="false">SUMIFS(Schedule!$O$9:$O$368,Schedule!$B$9:$B$368,"&gt;="&amp;$B27,Schedule!$B$9:$B$368,"&lt;="&amp;$C27)</f>
        <v>0</v>
      </c>
      <c r="G27" s="28" t="n">
        <f aca="false">SUMIFS(Schedule!$Q$9:$Q$368,Schedule!$B$9:$B$368,"&gt;="&amp;$B27,Schedule!$B$9:$B$368,"&lt;="&amp;$C27)</f>
        <v>0</v>
      </c>
      <c r="H27" s="28" t="n">
        <f aca="false">IF($B27&gt;Inputs!$C$25,0,IFERROR(INDEX(Schedule!$M$9:$M$368,MATCH($C27,Schedule!$C$9:$C$368,1)),Inputs!$C$28))</f>
        <v>0</v>
      </c>
      <c r="I27" s="28" t="n">
        <f aca="false">MIN(H27,SUMIFS(Schedule!$O$9:$O$368,Schedule!$B$9:$B$368,"&gt;"&amp;$C27,Schedule!$B$9:$B$368,"&lt;="&amp;EDATE($C27,12)))</f>
        <v>0</v>
      </c>
      <c r="J27" s="28" t="n">
        <f aca="false">H27-I27</f>
        <v>0</v>
      </c>
      <c r="K27" s="28" t="n">
        <f aca="false">IF($B27&gt;EDATE(Inputs!$C$6,Inputs!$C$24),0,IFERROR(INDEX(Schedule!$R$9:$R$368,MATCH($C27,Schedule!$C$9:$C$368,1)),Inputs!$C$29))</f>
        <v>0</v>
      </c>
      <c r="L27" s="28" t="n">
        <f aca="false">E27+G27</f>
        <v>0</v>
      </c>
    </row>
    <row r="28" customFormat="false" ht="15" hidden="false" customHeight="false" outlineLevel="0" collapsed="false">
      <c r="A28" s="10" t="str">
        <f aca="false">"FY "&amp;YEAR(B28)&amp;"-"&amp;RIGHT(YEAR(C28),2)</f>
        <v>FY 2048-49</v>
      </c>
      <c r="B28" s="24" t="n">
        <f aca="false">EDATE(B27,12)</f>
        <v>54149</v>
      </c>
      <c r="C28" s="24" t="n">
        <f aca="false">EDATE(B28,12)-1</f>
        <v>54513</v>
      </c>
      <c r="D28" s="28" t="n">
        <f aca="false">SUMIFS(Schedule!$N$9:$N$368,Schedule!$B$9:$B$368,"&gt;="&amp;$B28,Schedule!$B$9:$B$368,"&lt;="&amp;$C28)</f>
        <v>0</v>
      </c>
      <c r="E28" s="28" t="n">
        <f aca="false">SUMIFS(Schedule!$L$9:$L$368,Schedule!$B$9:$B$368,"&gt;="&amp;$B28,Schedule!$B$9:$B$368,"&lt;="&amp;$C28)</f>
        <v>0</v>
      </c>
      <c r="F28" s="28" t="n">
        <f aca="false">SUMIFS(Schedule!$O$9:$O$368,Schedule!$B$9:$B$368,"&gt;="&amp;$B28,Schedule!$B$9:$B$368,"&lt;="&amp;$C28)</f>
        <v>0</v>
      </c>
      <c r="G28" s="28" t="n">
        <f aca="false">SUMIFS(Schedule!$Q$9:$Q$368,Schedule!$B$9:$B$368,"&gt;="&amp;$B28,Schedule!$B$9:$B$368,"&lt;="&amp;$C28)</f>
        <v>0</v>
      </c>
      <c r="H28" s="28" t="n">
        <f aca="false">IF($B28&gt;Inputs!$C$25,0,IFERROR(INDEX(Schedule!$M$9:$M$368,MATCH($C28,Schedule!$C$9:$C$368,1)),Inputs!$C$28))</f>
        <v>0</v>
      </c>
      <c r="I28" s="28" t="n">
        <f aca="false">MIN(H28,SUMIFS(Schedule!$O$9:$O$368,Schedule!$B$9:$B$368,"&gt;"&amp;$C28,Schedule!$B$9:$B$368,"&lt;="&amp;EDATE($C28,12)))</f>
        <v>0</v>
      </c>
      <c r="J28" s="28" t="n">
        <f aca="false">H28-I28</f>
        <v>0</v>
      </c>
      <c r="K28" s="28" t="n">
        <f aca="false">IF($B28&gt;EDATE(Inputs!$C$6,Inputs!$C$24),0,IFERROR(INDEX(Schedule!$R$9:$R$368,MATCH($C28,Schedule!$C$9:$C$368,1)),Inputs!$C$29))</f>
        <v>0</v>
      </c>
      <c r="L28" s="28" t="n">
        <f aca="false">E28+G28</f>
        <v>0</v>
      </c>
    </row>
    <row r="29" customFormat="false" ht="15" hidden="false" customHeight="false" outlineLevel="0" collapsed="false">
      <c r="A29" s="10" t="str">
        <f aca="false">"FY "&amp;YEAR(B29)&amp;"-"&amp;RIGHT(YEAR(C29),2)</f>
        <v>FY 2049-50</v>
      </c>
      <c r="B29" s="24" t="n">
        <f aca="false">EDATE(B28,12)</f>
        <v>54514</v>
      </c>
      <c r="C29" s="24" t="n">
        <f aca="false">EDATE(B29,12)-1</f>
        <v>54878</v>
      </c>
      <c r="D29" s="28" t="n">
        <f aca="false">SUMIFS(Schedule!$N$9:$N$368,Schedule!$B$9:$B$368,"&gt;="&amp;$B29,Schedule!$B$9:$B$368,"&lt;="&amp;$C29)</f>
        <v>0</v>
      </c>
      <c r="E29" s="28" t="n">
        <f aca="false">SUMIFS(Schedule!$L$9:$L$368,Schedule!$B$9:$B$368,"&gt;="&amp;$B29,Schedule!$B$9:$B$368,"&lt;="&amp;$C29)</f>
        <v>0</v>
      </c>
      <c r="F29" s="28" t="n">
        <f aca="false">SUMIFS(Schedule!$O$9:$O$368,Schedule!$B$9:$B$368,"&gt;="&amp;$B29,Schedule!$B$9:$B$368,"&lt;="&amp;$C29)</f>
        <v>0</v>
      </c>
      <c r="G29" s="28" t="n">
        <f aca="false">SUMIFS(Schedule!$Q$9:$Q$368,Schedule!$B$9:$B$368,"&gt;="&amp;$B29,Schedule!$B$9:$B$368,"&lt;="&amp;$C29)</f>
        <v>0</v>
      </c>
      <c r="H29" s="28" t="n">
        <f aca="false">IF($B29&gt;Inputs!$C$25,0,IFERROR(INDEX(Schedule!$M$9:$M$368,MATCH($C29,Schedule!$C$9:$C$368,1)),Inputs!$C$28))</f>
        <v>0</v>
      </c>
      <c r="I29" s="28" t="n">
        <f aca="false">MIN(H29,SUMIFS(Schedule!$O$9:$O$368,Schedule!$B$9:$B$368,"&gt;"&amp;$C29,Schedule!$B$9:$B$368,"&lt;="&amp;EDATE($C29,12)))</f>
        <v>0</v>
      </c>
      <c r="J29" s="28" t="n">
        <f aca="false">H29-I29</f>
        <v>0</v>
      </c>
      <c r="K29" s="28" t="n">
        <f aca="false">IF($B29&gt;EDATE(Inputs!$C$6,Inputs!$C$24),0,IFERROR(INDEX(Schedule!$R$9:$R$368,MATCH($C29,Schedule!$C$9:$C$368,1)),Inputs!$C$29))</f>
        <v>0</v>
      </c>
      <c r="L29" s="28" t="n">
        <f aca="false">E29+G29</f>
        <v>0</v>
      </c>
    </row>
    <row r="30" customFormat="false" ht="15" hidden="false" customHeight="false" outlineLevel="0" collapsed="false">
      <c r="A30" s="10" t="str">
        <f aca="false">"FY "&amp;YEAR(B30)&amp;"-"&amp;RIGHT(YEAR(C30),2)</f>
        <v>FY 2050-51</v>
      </c>
      <c r="B30" s="24" t="n">
        <f aca="false">EDATE(B29,12)</f>
        <v>54879</v>
      </c>
      <c r="C30" s="24" t="n">
        <f aca="false">EDATE(B30,12)-1</f>
        <v>55243</v>
      </c>
      <c r="D30" s="28" t="n">
        <f aca="false">SUMIFS(Schedule!$N$9:$N$368,Schedule!$B$9:$B$368,"&gt;="&amp;$B30,Schedule!$B$9:$B$368,"&lt;="&amp;$C30)</f>
        <v>0</v>
      </c>
      <c r="E30" s="28" t="n">
        <f aca="false">SUMIFS(Schedule!$L$9:$L$368,Schedule!$B$9:$B$368,"&gt;="&amp;$B30,Schedule!$B$9:$B$368,"&lt;="&amp;$C30)</f>
        <v>0</v>
      </c>
      <c r="F30" s="28" t="n">
        <f aca="false">SUMIFS(Schedule!$O$9:$O$368,Schedule!$B$9:$B$368,"&gt;="&amp;$B30,Schedule!$B$9:$B$368,"&lt;="&amp;$C30)</f>
        <v>0</v>
      </c>
      <c r="G30" s="28" t="n">
        <f aca="false">SUMIFS(Schedule!$Q$9:$Q$368,Schedule!$B$9:$B$368,"&gt;="&amp;$B30,Schedule!$B$9:$B$368,"&lt;="&amp;$C30)</f>
        <v>0</v>
      </c>
      <c r="H30" s="28" t="n">
        <f aca="false">IF($B30&gt;Inputs!$C$25,0,IFERROR(INDEX(Schedule!$M$9:$M$368,MATCH($C30,Schedule!$C$9:$C$368,1)),Inputs!$C$28))</f>
        <v>0</v>
      </c>
      <c r="I30" s="28" t="n">
        <f aca="false">MIN(H30,SUMIFS(Schedule!$O$9:$O$368,Schedule!$B$9:$B$368,"&gt;"&amp;$C30,Schedule!$B$9:$B$368,"&lt;="&amp;EDATE($C30,12)))</f>
        <v>0</v>
      </c>
      <c r="J30" s="28" t="n">
        <f aca="false">H30-I30</f>
        <v>0</v>
      </c>
      <c r="K30" s="28" t="n">
        <f aca="false">IF($B30&gt;EDATE(Inputs!$C$6,Inputs!$C$24),0,IFERROR(INDEX(Schedule!$R$9:$R$368,MATCH($C30,Schedule!$C$9:$C$368,1)),Inputs!$C$29))</f>
        <v>0</v>
      </c>
      <c r="L30" s="28" t="n">
        <f aca="false">E30+G30</f>
        <v>0</v>
      </c>
    </row>
    <row r="31" customFormat="false" ht="15" hidden="false" customHeight="false" outlineLevel="0" collapsed="false">
      <c r="A31" s="10" t="str">
        <f aca="false">"FY "&amp;YEAR(B31)&amp;"-"&amp;RIGHT(YEAR(C31),2)</f>
        <v>FY 2051-52</v>
      </c>
      <c r="B31" s="24" t="n">
        <f aca="false">EDATE(B30,12)</f>
        <v>55244</v>
      </c>
      <c r="C31" s="24" t="n">
        <f aca="false">EDATE(B31,12)-1</f>
        <v>55609</v>
      </c>
      <c r="D31" s="28" t="n">
        <f aca="false">SUMIFS(Schedule!$N$9:$N$368,Schedule!$B$9:$B$368,"&gt;="&amp;$B31,Schedule!$B$9:$B$368,"&lt;="&amp;$C31)</f>
        <v>0</v>
      </c>
      <c r="E31" s="28" t="n">
        <f aca="false">SUMIFS(Schedule!$L$9:$L$368,Schedule!$B$9:$B$368,"&gt;="&amp;$B31,Schedule!$B$9:$B$368,"&lt;="&amp;$C31)</f>
        <v>0</v>
      </c>
      <c r="F31" s="28" t="n">
        <f aca="false">SUMIFS(Schedule!$O$9:$O$368,Schedule!$B$9:$B$368,"&gt;="&amp;$B31,Schedule!$B$9:$B$368,"&lt;="&amp;$C31)</f>
        <v>0</v>
      </c>
      <c r="G31" s="28" t="n">
        <f aca="false">SUMIFS(Schedule!$Q$9:$Q$368,Schedule!$B$9:$B$368,"&gt;="&amp;$B31,Schedule!$B$9:$B$368,"&lt;="&amp;$C31)</f>
        <v>0</v>
      </c>
      <c r="H31" s="28" t="n">
        <f aca="false">IF($B31&gt;Inputs!$C$25,0,IFERROR(INDEX(Schedule!$M$9:$M$368,MATCH($C31,Schedule!$C$9:$C$368,1)),Inputs!$C$28))</f>
        <v>0</v>
      </c>
      <c r="I31" s="28" t="n">
        <f aca="false">MIN(H31,SUMIFS(Schedule!$O$9:$O$368,Schedule!$B$9:$B$368,"&gt;"&amp;$C31,Schedule!$B$9:$B$368,"&lt;="&amp;EDATE($C31,12)))</f>
        <v>0</v>
      </c>
      <c r="J31" s="28" t="n">
        <f aca="false">H31-I31</f>
        <v>0</v>
      </c>
      <c r="K31" s="28" t="n">
        <f aca="false">IF($B31&gt;EDATE(Inputs!$C$6,Inputs!$C$24),0,IFERROR(INDEX(Schedule!$R$9:$R$368,MATCH($C31,Schedule!$C$9:$C$368,1)),Inputs!$C$29))</f>
        <v>0</v>
      </c>
      <c r="L31" s="28" t="n">
        <f aca="false">E31+G31</f>
        <v>0</v>
      </c>
    </row>
    <row r="32" customFormat="false" ht="15" hidden="false" customHeight="false" outlineLevel="0" collapsed="false">
      <c r="A32" s="10" t="str">
        <f aca="false">"FY "&amp;YEAR(B32)&amp;"-"&amp;RIGHT(YEAR(C32),2)</f>
        <v>FY 2052-53</v>
      </c>
      <c r="B32" s="24" t="n">
        <f aca="false">EDATE(B31,12)</f>
        <v>55610</v>
      </c>
      <c r="C32" s="24" t="n">
        <f aca="false">EDATE(B32,12)-1</f>
        <v>55974</v>
      </c>
      <c r="D32" s="28" t="n">
        <f aca="false">SUMIFS(Schedule!$N$9:$N$368,Schedule!$B$9:$B$368,"&gt;="&amp;$B32,Schedule!$B$9:$B$368,"&lt;="&amp;$C32)</f>
        <v>0</v>
      </c>
      <c r="E32" s="28" t="n">
        <f aca="false">SUMIFS(Schedule!$L$9:$L$368,Schedule!$B$9:$B$368,"&gt;="&amp;$B32,Schedule!$B$9:$B$368,"&lt;="&amp;$C32)</f>
        <v>0</v>
      </c>
      <c r="F32" s="28" t="n">
        <f aca="false">SUMIFS(Schedule!$O$9:$O$368,Schedule!$B$9:$B$368,"&gt;="&amp;$B32,Schedule!$B$9:$B$368,"&lt;="&amp;$C32)</f>
        <v>0</v>
      </c>
      <c r="G32" s="28" t="n">
        <f aca="false">SUMIFS(Schedule!$Q$9:$Q$368,Schedule!$B$9:$B$368,"&gt;="&amp;$B32,Schedule!$B$9:$B$368,"&lt;="&amp;$C32)</f>
        <v>0</v>
      </c>
      <c r="H32" s="28" t="n">
        <f aca="false">IF($B32&gt;Inputs!$C$25,0,IFERROR(INDEX(Schedule!$M$9:$M$368,MATCH($C32,Schedule!$C$9:$C$368,1)),Inputs!$C$28))</f>
        <v>0</v>
      </c>
      <c r="I32" s="28" t="n">
        <f aca="false">MIN(H32,SUMIFS(Schedule!$O$9:$O$368,Schedule!$B$9:$B$368,"&gt;"&amp;$C32,Schedule!$B$9:$B$368,"&lt;="&amp;EDATE($C32,12)))</f>
        <v>0</v>
      </c>
      <c r="J32" s="28" t="n">
        <f aca="false">H32-I32</f>
        <v>0</v>
      </c>
      <c r="K32" s="28" t="n">
        <f aca="false">IF($B32&gt;EDATE(Inputs!$C$6,Inputs!$C$24),0,IFERROR(INDEX(Schedule!$R$9:$R$368,MATCH($C32,Schedule!$C$9:$C$368,1)),Inputs!$C$29))</f>
        <v>0</v>
      </c>
      <c r="L32" s="28" t="n">
        <f aca="false">E32+G32</f>
        <v>0</v>
      </c>
    </row>
    <row r="33" customFormat="false" ht="15" hidden="false" customHeight="false" outlineLevel="0" collapsed="false">
      <c r="A33" s="10" t="str">
        <f aca="false">"FY "&amp;YEAR(B33)&amp;"-"&amp;RIGHT(YEAR(C33),2)</f>
        <v>FY 2053-54</v>
      </c>
      <c r="B33" s="24" t="n">
        <f aca="false">EDATE(B32,12)</f>
        <v>55975</v>
      </c>
      <c r="C33" s="24" t="n">
        <f aca="false">EDATE(B33,12)-1</f>
        <v>56339</v>
      </c>
      <c r="D33" s="28" t="n">
        <f aca="false">SUMIFS(Schedule!$N$9:$N$368,Schedule!$B$9:$B$368,"&gt;="&amp;$B33,Schedule!$B$9:$B$368,"&lt;="&amp;$C33)</f>
        <v>0</v>
      </c>
      <c r="E33" s="28" t="n">
        <f aca="false">SUMIFS(Schedule!$L$9:$L$368,Schedule!$B$9:$B$368,"&gt;="&amp;$B33,Schedule!$B$9:$B$368,"&lt;="&amp;$C33)</f>
        <v>0</v>
      </c>
      <c r="F33" s="28" t="n">
        <f aca="false">SUMIFS(Schedule!$O$9:$O$368,Schedule!$B$9:$B$368,"&gt;="&amp;$B33,Schedule!$B$9:$B$368,"&lt;="&amp;$C33)</f>
        <v>0</v>
      </c>
      <c r="G33" s="28" t="n">
        <f aca="false">SUMIFS(Schedule!$Q$9:$Q$368,Schedule!$B$9:$B$368,"&gt;="&amp;$B33,Schedule!$B$9:$B$368,"&lt;="&amp;$C33)</f>
        <v>0</v>
      </c>
      <c r="H33" s="28" t="n">
        <f aca="false">IF($B33&gt;Inputs!$C$25,0,IFERROR(INDEX(Schedule!$M$9:$M$368,MATCH($C33,Schedule!$C$9:$C$368,1)),Inputs!$C$28))</f>
        <v>0</v>
      </c>
      <c r="I33" s="28" t="n">
        <f aca="false">MIN(H33,SUMIFS(Schedule!$O$9:$O$368,Schedule!$B$9:$B$368,"&gt;"&amp;$C33,Schedule!$B$9:$B$368,"&lt;="&amp;EDATE($C33,12)))</f>
        <v>0</v>
      </c>
      <c r="J33" s="28" t="n">
        <f aca="false">H33-I33</f>
        <v>0</v>
      </c>
      <c r="K33" s="28" t="n">
        <f aca="false">IF($B33&gt;EDATE(Inputs!$C$6,Inputs!$C$24),0,IFERROR(INDEX(Schedule!$R$9:$R$368,MATCH($C33,Schedule!$C$9:$C$368,1)),Inputs!$C$29))</f>
        <v>0</v>
      </c>
      <c r="L33" s="28" t="n">
        <f aca="false">E33+G33</f>
        <v>0</v>
      </c>
    </row>
    <row r="34" customFormat="false" ht="15" hidden="false" customHeight="false" outlineLevel="0" collapsed="false">
      <c r="A34" s="10" t="str">
        <f aca="false">"FY "&amp;YEAR(B34)&amp;"-"&amp;RIGHT(YEAR(C34),2)</f>
        <v>FY 2054-55</v>
      </c>
      <c r="B34" s="24" t="n">
        <f aca="false">EDATE(B33,12)</f>
        <v>56340</v>
      </c>
      <c r="C34" s="24" t="n">
        <f aca="false">EDATE(B34,12)-1</f>
        <v>56704</v>
      </c>
      <c r="D34" s="28" t="n">
        <f aca="false">SUMIFS(Schedule!$N$9:$N$368,Schedule!$B$9:$B$368,"&gt;="&amp;$B34,Schedule!$B$9:$B$368,"&lt;="&amp;$C34)</f>
        <v>0</v>
      </c>
      <c r="E34" s="28" t="n">
        <f aca="false">SUMIFS(Schedule!$L$9:$L$368,Schedule!$B$9:$B$368,"&gt;="&amp;$B34,Schedule!$B$9:$B$368,"&lt;="&amp;$C34)</f>
        <v>0</v>
      </c>
      <c r="F34" s="28" t="n">
        <f aca="false">SUMIFS(Schedule!$O$9:$O$368,Schedule!$B$9:$B$368,"&gt;="&amp;$B34,Schedule!$B$9:$B$368,"&lt;="&amp;$C34)</f>
        <v>0</v>
      </c>
      <c r="G34" s="28" t="n">
        <f aca="false">SUMIFS(Schedule!$Q$9:$Q$368,Schedule!$B$9:$B$368,"&gt;="&amp;$B34,Schedule!$B$9:$B$368,"&lt;="&amp;$C34)</f>
        <v>0</v>
      </c>
      <c r="H34" s="28" t="n">
        <f aca="false">IF($B34&gt;Inputs!$C$25,0,IFERROR(INDEX(Schedule!$M$9:$M$368,MATCH($C34,Schedule!$C$9:$C$368,1)),Inputs!$C$28))</f>
        <v>0</v>
      </c>
      <c r="I34" s="28" t="n">
        <f aca="false">MIN(H34,SUMIFS(Schedule!$O$9:$O$368,Schedule!$B$9:$B$368,"&gt;"&amp;$C34,Schedule!$B$9:$B$368,"&lt;="&amp;EDATE($C34,12)))</f>
        <v>0</v>
      </c>
      <c r="J34" s="28" t="n">
        <f aca="false">H34-I34</f>
        <v>0</v>
      </c>
      <c r="K34" s="28" t="n">
        <f aca="false">IF($B34&gt;EDATE(Inputs!$C$6,Inputs!$C$24),0,IFERROR(INDEX(Schedule!$R$9:$R$368,MATCH($C34,Schedule!$C$9:$C$368,1)),Inputs!$C$29))</f>
        <v>0</v>
      </c>
      <c r="L34" s="28" t="n">
        <f aca="false">E34+G34</f>
        <v>0</v>
      </c>
    </row>
    <row r="35" customFormat="false" ht="15" hidden="false" customHeight="false" outlineLevel="0" collapsed="false">
      <c r="A35" s="10" t="str">
        <f aca="false">"FY "&amp;YEAR(B35)&amp;"-"&amp;RIGHT(YEAR(C35),2)</f>
        <v>FY 2055-56</v>
      </c>
      <c r="B35" s="24" t="n">
        <f aca="false">EDATE(B34,12)</f>
        <v>56705</v>
      </c>
      <c r="C35" s="24" t="n">
        <f aca="false">EDATE(B35,12)-1</f>
        <v>57070</v>
      </c>
      <c r="D35" s="28" t="n">
        <f aca="false">SUMIFS(Schedule!$N$9:$N$368,Schedule!$B$9:$B$368,"&gt;="&amp;$B35,Schedule!$B$9:$B$368,"&lt;="&amp;$C35)</f>
        <v>0</v>
      </c>
      <c r="E35" s="28" t="n">
        <f aca="false">SUMIFS(Schedule!$L$9:$L$368,Schedule!$B$9:$B$368,"&gt;="&amp;$B35,Schedule!$B$9:$B$368,"&lt;="&amp;$C35)</f>
        <v>0</v>
      </c>
      <c r="F35" s="28" t="n">
        <f aca="false">SUMIFS(Schedule!$O$9:$O$368,Schedule!$B$9:$B$368,"&gt;="&amp;$B35,Schedule!$B$9:$B$368,"&lt;="&amp;$C35)</f>
        <v>0</v>
      </c>
      <c r="G35" s="28" t="n">
        <f aca="false">SUMIFS(Schedule!$Q$9:$Q$368,Schedule!$B$9:$B$368,"&gt;="&amp;$B35,Schedule!$B$9:$B$368,"&lt;="&amp;$C35)</f>
        <v>0</v>
      </c>
      <c r="H35" s="28" t="n">
        <f aca="false">IF($B35&gt;Inputs!$C$25,0,IFERROR(INDEX(Schedule!$M$9:$M$368,MATCH($C35,Schedule!$C$9:$C$368,1)),Inputs!$C$28))</f>
        <v>0</v>
      </c>
      <c r="I35" s="28" t="n">
        <f aca="false">MIN(H35,SUMIFS(Schedule!$O$9:$O$368,Schedule!$B$9:$B$368,"&gt;"&amp;$C35,Schedule!$B$9:$B$368,"&lt;="&amp;EDATE($C35,12)))</f>
        <v>0</v>
      </c>
      <c r="J35" s="28" t="n">
        <f aca="false">H35-I35</f>
        <v>0</v>
      </c>
      <c r="K35" s="28" t="n">
        <f aca="false">IF($B35&gt;EDATE(Inputs!$C$6,Inputs!$C$24),0,IFERROR(INDEX(Schedule!$R$9:$R$368,MATCH($C35,Schedule!$C$9:$C$368,1)),Inputs!$C$29))</f>
        <v>0</v>
      </c>
      <c r="L35" s="28" t="n">
        <f aca="false">E35+G35</f>
        <v>0</v>
      </c>
    </row>
    <row r="36" customFormat="false" ht="15" hidden="false" customHeight="false" outlineLevel="0" collapsed="false">
      <c r="A36" s="10" t="str">
        <f aca="false">"FY "&amp;YEAR(B36)&amp;"-"&amp;RIGHT(YEAR(C36),2)</f>
        <v>FY 2056-57</v>
      </c>
      <c r="B36" s="24" t="n">
        <f aca="false">EDATE(B35,12)</f>
        <v>57071</v>
      </c>
      <c r="C36" s="24" t="n">
        <f aca="false">EDATE(B36,12)-1</f>
        <v>57435</v>
      </c>
      <c r="D36" s="28" t="n">
        <f aca="false">SUMIFS(Schedule!$N$9:$N$368,Schedule!$B$9:$B$368,"&gt;="&amp;$B36,Schedule!$B$9:$B$368,"&lt;="&amp;$C36)</f>
        <v>0</v>
      </c>
      <c r="E36" s="28" t="n">
        <f aca="false">SUMIFS(Schedule!$L$9:$L$368,Schedule!$B$9:$B$368,"&gt;="&amp;$B36,Schedule!$B$9:$B$368,"&lt;="&amp;$C36)</f>
        <v>0</v>
      </c>
      <c r="F36" s="28" t="n">
        <f aca="false">SUMIFS(Schedule!$O$9:$O$368,Schedule!$B$9:$B$368,"&gt;="&amp;$B36,Schedule!$B$9:$B$368,"&lt;="&amp;$C36)</f>
        <v>0</v>
      </c>
      <c r="G36" s="28" t="n">
        <f aca="false">SUMIFS(Schedule!$Q$9:$Q$368,Schedule!$B$9:$B$368,"&gt;="&amp;$B36,Schedule!$B$9:$B$368,"&lt;="&amp;$C36)</f>
        <v>0</v>
      </c>
      <c r="H36" s="28" t="n">
        <f aca="false">IF($B36&gt;Inputs!$C$25,0,IFERROR(INDEX(Schedule!$M$9:$M$368,MATCH($C36,Schedule!$C$9:$C$368,1)),Inputs!$C$28))</f>
        <v>0</v>
      </c>
      <c r="I36" s="28" t="n">
        <f aca="false">MIN(H36,SUMIFS(Schedule!$O$9:$O$368,Schedule!$B$9:$B$368,"&gt;"&amp;$C36,Schedule!$B$9:$B$368,"&lt;="&amp;EDATE($C36,12)))</f>
        <v>0</v>
      </c>
      <c r="J36" s="28" t="n">
        <f aca="false">H36-I36</f>
        <v>0</v>
      </c>
      <c r="K36" s="28" t="n">
        <f aca="false">IF($B36&gt;EDATE(Inputs!$C$6,Inputs!$C$24),0,IFERROR(INDEX(Schedule!$R$9:$R$368,MATCH($C36,Schedule!$C$9:$C$368,1)),Inputs!$C$29))</f>
        <v>0</v>
      </c>
      <c r="L36" s="28" t="n">
        <f aca="false">E36+G36</f>
        <v>0</v>
      </c>
    </row>
    <row r="37" customFormat="false" ht="15" hidden="false" customHeight="false" outlineLevel="0" collapsed="false">
      <c r="A37" s="14" t="s">
        <v>107</v>
      </c>
      <c r="D37" s="25" t="n">
        <f aca="false">SUM(D6:D36)</f>
        <v>6630757.5</v>
      </c>
      <c r="E37" s="25" t="n">
        <f aca="false">SUM(E6:E36)</f>
        <v>1327419.58050878</v>
      </c>
      <c r="F37" s="25" t="n">
        <f aca="false">SUM(F6:F36)</f>
        <v>5303337.91949122</v>
      </c>
      <c r="G37" s="25" t="n">
        <f aca="false">SUM(G6:G36)</f>
        <v>5353337.91949122</v>
      </c>
      <c r="L37" s="25" t="n">
        <f aca="false">SUM(L6:L36)</f>
        <v>6680757.5</v>
      </c>
    </row>
    <row r="39" customFormat="false" ht="15" hidden="false" customHeight="false" outlineLevel="0" collapsed="false">
      <c r="A39" s="4" t="s">
        <v>108</v>
      </c>
    </row>
    <row r="40" customFormat="false" ht="15" hidden="false" customHeight="false" outlineLevel="0" collapsed="false">
      <c r="A40" s="10" t="s">
        <v>109</v>
      </c>
      <c r="B40" s="10"/>
      <c r="C40" s="10"/>
      <c r="D40" s="10"/>
      <c r="E40" s="10"/>
      <c r="F40" s="10"/>
      <c r="G40" s="10"/>
      <c r="H40" s="32" t="str">
        <f aca="false">IF(ABS(Inputs!C28-(Schedule!F9+NPV(Inputs!C23,Schedule!F10:F368)+NPV(Inputs!C23,Schedule!G9:G368)))&lt;1,"OK","CHECK")</f>
        <v>OK</v>
      </c>
    </row>
    <row r="41" customFormat="false" ht="15" hidden="false" customHeight="false" outlineLevel="0" collapsed="false">
      <c r="A41" s="10" t="s">
        <v>110</v>
      </c>
      <c r="B41" s="10"/>
      <c r="C41" s="10"/>
      <c r="D41" s="10"/>
      <c r="E41" s="10"/>
      <c r="F41" s="10"/>
      <c r="G41" s="10"/>
      <c r="H41" s="32" t="str">
        <f aca="false">IF(ABS(INDEX(Schedule!M9:M368,Inputs!C7))&lt;1,"OK","CHECK")</f>
        <v>OK</v>
      </c>
    </row>
    <row r="42" customFormat="false" ht="15" hidden="false" customHeight="false" outlineLevel="0" collapsed="false">
      <c r="A42" s="10" t="s">
        <v>111</v>
      </c>
      <c r="B42" s="10"/>
      <c r="C42" s="10"/>
      <c r="D42" s="10"/>
      <c r="E42" s="10"/>
      <c r="F42" s="10"/>
      <c r="G42" s="10"/>
      <c r="H42" s="32" t="str">
        <f aca="false">IF(ABS(Inputs!C30-Inputs!C28-Inputs!C31)&lt;1,"OK","CHECK")</f>
        <v>OK</v>
      </c>
    </row>
    <row r="43" customFormat="false" ht="15" hidden="false" customHeight="false" outlineLevel="0" collapsed="false">
      <c r="A43" s="10" t="s">
        <v>112</v>
      </c>
      <c r="B43" s="10"/>
      <c r="C43" s="10"/>
      <c r="D43" s="10"/>
      <c r="E43" s="10"/>
      <c r="F43" s="10"/>
      <c r="G43" s="10"/>
      <c r="H43" s="32" t="str">
        <f aca="false">IF(ABS(Inputs!C32-Inputs!C29)&lt;1,"OK","CHECK")</f>
        <v>OK</v>
      </c>
    </row>
    <row r="44" customFormat="false" ht="15" hidden="false" customHeight="false" outlineLevel="0" collapsed="false">
      <c r="A44" s="10" t="s">
        <v>113</v>
      </c>
      <c r="B44" s="10"/>
      <c r="C44" s="10"/>
      <c r="D44" s="10"/>
      <c r="E44" s="10"/>
      <c r="F44" s="10"/>
      <c r="G44" s="10"/>
      <c r="H44" s="32" t="str">
        <f aca="false">IF(AND(ABS(D37-Inputs!C30)&lt;1,ABS(E37-Inputs!C31)&lt;1,ABS(G37-Inputs!C32)&lt;1),"OK","CHECK")</f>
        <v>OK</v>
      </c>
    </row>
    <row r="45" customFormat="false" ht="15" hidden="false" customHeight="false" outlineLevel="0" collapsed="false">
      <c r="A45" s="10" t="s">
        <v>114</v>
      </c>
      <c r="B45" s="10"/>
      <c r="C45" s="10"/>
      <c r="D45" s="10"/>
      <c r="E45" s="10"/>
      <c r="F45" s="10"/>
      <c r="G45" s="10"/>
      <c r="H45" s="32" t="str">
        <f aca="false">IF(AND(Inputs!C7&gt;=1,Inputs!C7&lt;=360),"OK","CHECK")</f>
        <v>OK</v>
      </c>
    </row>
    <row r="46" customFormat="false" ht="15" hidden="false" customHeight="false" outlineLevel="0" collapsed="false">
      <c r="A46" s="10" t="s">
        <v>115</v>
      </c>
      <c r="B46" s="10"/>
      <c r="C46" s="10"/>
      <c r="D46" s="10"/>
      <c r="E46" s="10"/>
      <c r="F46" s="10"/>
      <c r="G46" s="10"/>
      <c r="H46" s="32" t="str">
        <f aca="false">IF(AND(Inputs!C24&gt;=1,Inputs!C24&lt;=360),"OK","CHECK")</f>
        <v>OK</v>
      </c>
    </row>
  </sheetData>
  <mergeCells count="7">
    <mergeCell ref="A40:G40"/>
    <mergeCell ref="A41:G41"/>
    <mergeCell ref="A42:G42"/>
    <mergeCell ref="A43:G43"/>
    <mergeCell ref="A44:G44"/>
    <mergeCell ref="A45:G45"/>
    <mergeCell ref="A46:G46"/>
  </mergeCells>
  <conditionalFormatting sqref="A6:L36">
    <cfRule type="expression" priority="2" aboveAverage="0" equalAverage="0" bottom="0" percent="0" rank="0" text="" dxfId="1">
      <formula>AND($D6=0,$G6=0,$H6=0)</formula>
    </cfRule>
  </conditionalFormatting>
  <conditionalFormatting sqref="H40:H46">
    <cfRule type="cellIs" priority="3" operator="equal" aboveAverage="0" equalAverage="0" bottom="0" percent="0" rank="0" text="" dxfId="2">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8"/>
    <col collapsed="false" customWidth="true" hidden="false" outlineLevel="0" max="2" min="2" style="0" width="26"/>
    <col collapsed="false" customWidth="true" hidden="false" outlineLevel="0" max="3" min="3" style="0" width="32"/>
    <col collapsed="false" customWidth="true" hidden="false" outlineLevel="0" max="4" min="4" style="0" width="14"/>
    <col collapsed="false" customWidth="true" hidden="false" outlineLevel="0" max="5" min="5" style="0" width="34"/>
  </cols>
  <sheetData>
    <row r="1" customFormat="false" ht="17.35" hidden="false" customHeight="false" outlineLevel="0" collapsed="false">
      <c r="A1" s="15" t="s">
        <v>116</v>
      </c>
    </row>
    <row r="2" customFormat="false" ht="15" hidden="false" customHeight="false" outlineLevel="0" collapsed="false">
      <c r="A2" s="16" t="s">
        <v>45</v>
      </c>
    </row>
    <row r="5" customFormat="false" ht="30" hidden="false" customHeight="true" outlineLevel="0" collapsed="false">
      <c r="A5" s="26" t="s">
        <v>117</v>
      </c>
      <c r="B5" s="26" t="s">
        <v>118</v>
      </c>
      <c r="C5" s="26" t="s">
        <v>119</v>
      </c>
      <c r="D5" s="26" t="s">
        <v>120</v>
      </c>
      <c r="E5" s="26" t="s">
        <v>121</v>
      </c>
    </row>
    <row r="6" customFormat="false" ht="15" hidden="false" customHeight="false" outlineLevel="0" collapsed="false">
      <c r="A6" s="10" t="s">
        <v>122</v>
      </c>
      <c r="B6" s="10" t="s">
        <v>123</v>
      </c>
      <c r="C6" s="10" t="s">
        <v>124</v>
      </c>
      <c r="D6" s="33" t="n">
        <f aca="false">Inputs!C28</f>
        <v>5303337.91949122</v>
      </c>
      <c r="E6" s="10" t="s">
        <v>125</v>
      </c>
    </row>
    <row r="7" customFormat="false" ht="15" hidden="false" customHeight="false" outlineLevel="0" collapsed="false">
      <c r="A7" s="10" t="s">
        <v>122</v>
      </c>
      <c r="B7" s="10" t="s">
        <v>123</v>
      </c>
      <c r="C7" s="10" t="s">
        <v>126</v>
      </c>
      <c r="D7" s="33" t="n">
        <f aca="false">Inputs!C15</f>
        <v>50000</v>
      </c>
      <c r="E7" s="10" t="s">
        <v>127</v>
      </c>
    </row>
    <row r="8" customFormat="false" ht="15" hidden="false" customHeight="false" outlineLevel="0" collapsed="false">
      <c r="A8" s="10" t="s">
        <v>122</v>
      </c>
      <c r="B8" s="10" t="s">
        <v>128</v>
      </c>
      <c r="C8" s="10" t="s">
        <v>123</v>
      </c>
      <c r="D8" s="33" t="n">
        <f aca="false">Inputs!C16</f>
        <v>0</v>
      </c>
      <c r="E8" s="10" t="s">
        <v>129</v>
      </c>
    </row>
    <row r="9" customFormat="false" ht="15" hidden="false" customHeight="false" outlineLevel="0" collapsed="false">
      <c r="A9" s="10" t="s">
        <v>122</v>
      </c>
      <c r="B9" s="10" t="s">
        <v>123</v>
      </c>
      <c r="C9" s="10" t="s">
        <v>130</v>
      </c>
      <c r="D9" s="33" t="n">
        <f aca="false">Inputs!C17</f>
        <v>0</v>
      </c>
      <c r="E9" s="10" t="s">
        <v>131</v>
      </c>
    </row>
    <row r="10" customFormat="false" ht="15" hidden="false" customHeight="false" outlineLevel="0" collapsed="false">
      <c r="A10" s="10" t="s">
        <v>122</v>
      </c>
      <c r="B10" s="10" t="s">
        <v>123</v>
      </c>
      <c r="C10" s="10" t="s">
        <v>132</v>
      </c>
      <c r="D10" s="33" t="n">
        <f aca="false">Inputs!C18</f>
        <v>0</v>
      </c>
      <c r="E10" s="10" t="s">
        <v>133</v>
      </c>
    </row>
    <row r="11" customFormat="false" ht="15" hidden="false" customHeight="false" outlineLevel="0" collapsed="false">
      <c r="A11" s="10" t="s">
        <v>134</v>
      </c>
      <c r="B11" s="10" t="s">
        <v>135</v>
      </c>
      <c r="C11" s="10" t="s">
        <v>124</v>
      </c>
      <c r="D11" s="33" t="n">
        <f aca="false">Schedule!L9</f>
        <v>39501.3182413061</v>
      </c>
      <c r="E11" s="10" t="s">
        <v>136</v>
      </c>
    </row>
    <row r="12" customFormat="false" ht="15" hidden="false" customHeight="false" outlineLevel="0" collapsed="false">
      <c r="A12" s="10" t="s">
        <v>134</v>
      </c>
      <c r="B12" s="10" t="s">
        <v>124</v>
      </c>
      <c r="C12" s="10" t="s">
        <v>137</v>
      </c>
      <c r="D12" s="33" t="n">
        <f aca="false">Schedule!N9</f>
        <v>100000</v>
      </c>
      <c r="E12" s="10" t="s">
        <v>138</v>
      </c>
    </row>
    <row r="13" customFormat="false" ht="15" hidden="false" customHeight="false" outlineLevel="0" collapsed="false">
      <c r="A13" s="10" t="s">
        <v>134</v>
      </c>
      <c r="B13" s="10" t="s">
        <v>139</v>
      </c>
      <c r="C13" s="10" t="s">
        <v>140</v>
      </c>
      <c r="D13" s="33" t="n">
        <f aca="false">Schedule!Q9</f>
        <v>89222.298658187</v>
      </c>
      <c r="E13" s="10" t="s">
        <v>141</v>
      </c>
    </row>
    <row r="15" customFormat="false" ht="15" hidden="false" customHeight="false" outlineLevel="0" collapsed="false">
      <c r="A15" s="34" t="s">
        <v>142</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2026-10-25T20:15:07Z</dcterms:created>
  <dc:creator>sachinnagpal.in</dc:creator>
  <dc:description/>
  <dc:language>en-US</dc:language>
  <cp:lastModifiedBy/>
  <dcterms:modified xsi:type="dcterms:W3CDTF">2026-10-25T20:15:08Z</dcterms:modified>
  <cp:revision>0</cp:revision>
  <dc:subject/>
  <dc:title>D-Ind-AS-116-Lease-Schedule.xlsx</dc:title>
</cp:coreProperties>
</file>

<file path=docProps/custom.xml><?xml version="1.0" encoding="utf-8"?>
<Properties xmlns="http://schemas.openxmlformats.org/officeDocument/2006/custom-properties" xmlns:vt="http://schemas.openxmlformats.org/officeDocument/2006/docPropsVTypes"/>
</file>